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27-May-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shares'!$A$1:$FA$216</definedName>
    <definedName name="Expry_Roll___20" localSheetId="15">'NIFTY GRP'!$A$1:$EY$51</definedName>
    <definedName name="fii" localSheetId="18">FII!$A$1:$N$16</definedName>
    <definedName name="_xlnm.Print_Area" localSheetId="14">Disclaimar!$A$1:$A$24</definedName>
    <definedName name="stats__2" localSheetId="16">'Data Vlaue (Cr)'!$A$1:$FB$216</definedName>
  </definedNames>
  <calcPr calcId="162913"/>
</workbook>
</file>

<file path=xl/calcChain.xml><?xml version="1.0" encoding="utf-8"?>
<calcChain xmlns="http://schemas.openxmlformats.org/spreadsheetml/2006/main">
  <c r="A6" i="13" l="1"/>
  <c r="B6" i="13" s="1"/>
  <c r="A7" i="13"/>
  <c r="B7" i="13" s="1"/>
  <c r="A8" i="13"/>
  <c r="B8" i="13" s="1"/>
  <c r="A9" i="13"/>
  <c r="B9" i="13" s="1"/>
  <c r="A10" i="13"/>
  <c r="B10" i="13" s="1"/>
  <c r="A11" i="13"/>
  <c r="B11" i="13" s="1"/>
  <c r="A12" i="13"/>
  <c r="B12" i="13" s="1"/>
  <c r="A13" i="13"/>
  <c r="B13" i="13" s="1"/>
  <c r="A14" i="13"/>
  <c r="B14" i="13" s="1"/>
  <c r="A15" i="13"/>
  <c r="B15" i="13" s="1"/>
  <c r="A16" i="13"/>
  <c r="B16" i="13" s="1"/>
  <c r="A17" i="13"/>
  <c r="B17" i="13" s="1"/>
  <c r="A18" i="13"/>
  <c r="B18" i="13" s="1"/>
  <c r="A19" i="13"/>
  <c r="B19" i="13" s="1"/>
  <c r="A20" i="13"/>
  <c r="B20" i="13" s="1"/>
  <c r="A21" i="13"/>
  <c r="B21" i="13" s="1"/>
  <c r="D21" i="13"/>
  <c r="A22" i="13"/>
  <c r="B22" i="13" s="1"/>
  <c r="A23" i="13"/>
  <c r="B23" i="13" s="1"/>
  <c r="A24" i="13"/>
  <c r="B24" i="13" s="1"/>
  <c r="A25" i="13"/>
  <c r="B25" i="13" s="1"/>
  <c r="D25" i="13"/>
  <c r="A26" i="13"/>
  <c r="B26" i="13" s="1"/>
  <c r="A27" i="13"/>
  <c r="B27" i="13" s="1"/>
  <c r="A28" i="13"/>
  <c r="B28" i="13" s="1"/>
  <c r="A29" i="13"/>
  <c r="B29" i="13" s="1"/>
  <c r="A30" i="13"/>
  <c r="D30" i="13" s="1"/>
  <c r="A31" i="13"/>
  <c r="D31" i="13"/>
  <c r="A32" i="13"/>
  <c r="D32" i="13" s="1"/>
  <c r="A33" i="13"/>
  <c r="D33" i="13" s="1"/>
  <c r="A34" i="13"/>
  <c r="D34" i="13" s="1"/>
  <c r="A35" i="13"/>
  <c r="D35" i="13" s="1"/>
  <c r="A36" i="13"/>
  <c r="D36" i="13" s="1"/>
  <c r="A37" i="13"/>
  <c r="D37" i="13" s="1"/>
  <c r="A38" i="13"/>
  <c r="D38" i="13" s="1"/>
  <c r="A39" i="13"/>
  <c r="D39" i="13" s="1"/>
  <c r="A40" i="13"/>
  <c r="D40" i="13" s="1"/>
  <c r="A41" i="13"/>
  <c r="D41" i="13" s="1"/>
  <c r="A42" i="13"/>
  <c r="D42" i="13" s="1"/>
  <c r="A43" i="13"/>
  <c r="D43" i="13" s="1"/>
  <c r="A44" i="13"/>
  <c r="D44" i="13" s="1"/>
  <c r="A45" i="13"/>
  <c r="D45" i="13"/>
  <c r="A46" i="13"/>
  <c r="D46" i="13" s="1"/>
  <c r="A47" i="13"/>
  <c r="D47" i="13" s="1"/>
  <c r="A48" i="13"/>
  <c r="D48" i="13" s="1"/>
  <c r="A49" i="13"/>
  <c r="D49" i="13" s="1"/>
  <c r="A50" i="13"/>
  <c r="D50" i="13" s="1"/>
  <c r="A51" i="13"/>
  <c r="D51" i="13" s="1"/>
  <c r="A52" i="13"/>
  <c r="D52" i="13" s="1"/>
  <c r="A53" i="13"/>
  <c r="D53" i="13" s="1"/>
  <c r="A54" i="13"/>
  <c r="D54" i="13" s="1"/>
  <c r="A55" i="13"/>
  <c r="D55" i="13" s="1"/>
  <c r="A56" i="13"/>
  <c r="D56" i="13" s="1"/>
  <c r="A57" i="13"/>
  <c r="D57" i="13" s="1"/>
  <c r="A58" i="13"/>
  <c r="D58" i="13" s="1"/>
  <c r="A59" i="13"/>
  <c r="D59" i="13" s="1"/>
  <c r="A60" i="13"/>
  <c r="D60" i="13" s="1"/>
  <c r="A61" i="13"/>
  <c r="D61" i="13" s="1"/>
  <c r="A62" i="13"/>
  <c r="D62" i="13" s="1"/>
  <c r="A63" i="13"/>
  <c r="D63" i="13" s="1"/>
  <c r="A64" i="13"/>
  <c r="D64" i="13" s="1"/>
  <c r="A65" i="13"/>
  <c r="D65" i="13" s="1"/>
  <c r="A66" i="13"/>
  <c r="D66" i="13" s="1"/>
  <c r="A67" i="13"/>
  <c r="D67" i="13" s="1"/>
  <c r="A68" i="13"/>
  <c r="D68" i="13" s="1"/>
  <c r="A69" i="13"/>
  <c r="D69" i="13" s="1"/>
  <c r="A70" i="13"/>
  <c r="D70" i="13" s="1"/>
  <c r="A71" i="13"/>
  <c r="D71" i="13" s="1"/>
  <c r="A72" i="13"/>
  <c r="D72" i="13" s="1"/>
  <c r="A73" i="13"/>
  <c r="D73" i="13" s="1"/>
  <c r="A74" i="13"/>
  <c r="D74" i="13" s="1"/>
  <c r="A75" i="13"/>
  <c r="D75" i="13" s="1"/>
  <c r="A76" i="13"/>
  <c r="D76" i="13" s="1"/>
  <c r="A77" i="13"/>
  <c r="D77" i="13"/>
  <c r="A78" i="13"/>
  <c r="D78" i="13" s="1"/>
  <c r="A79" i="13"/>
  <c r="D79" i="13" s="1"/>
  <c r="A80" i="13"/>
  <c r="D80" i="13" s="1"/>
  <c r="A81" i="13"/>
  <c r="D81" i="13" s="1"/>
  <c r="A82" i="13"/>
  <c r="D82" i="13" s="1"/>
  <c r="A83" i="13"/>
  <c r="D83" i="13" s="1"/>
  <c r="A84" i="13"/>
  <c r="D84" i="13" s="1"/>
  <c r="A85" i="13"/>
  <c r="D85" i="13"/>
  <c r="A86" i="13"/>
  <c r="D86" i="13" s="1"/>
  <c r="A87" i="13"/>
  <c r="D87" i="13" s="1"/>
  <c r="A88" i="13"/>
  <c r="D88" i="13" s="1"/>
  <c r="A89" i="13"/>
  <c r="D89" i="13" s="1"/>
  <c r="A90" i="13"/>
  <c r="D90" i="13" s="1"/>
  <c r="A91" i="13"/>
  <c r="C91" i="13" s="1"/>
  <c r="A92" i="13"/>
  <c r="C92" i="13" s="1"/>
  <c r="A93" i="13"/>
  <c r="C93" i="13" s="1"/>
  <c r="A94" i="13"/>
  <c r="C94" i="13" s="1"/>
  <c r="A95" i="13"/>
  <c r="C95" i="13" s="1"/>
  <c r="A96" i="13"/>
  <c r="C96" i="13" s="1"/>
  <c r="A97" i="13"/>
  <c r="C97" i="13" s="1"/>
  <c r="A98" i="13"/>
  <c r="C98" i="13" s="1"/>
  <c r="B98" i="13"/>
  <c r="A99" i="13"/>
  <c r="C99" i="13" s="1"/>
  <c r="A100" i="13"/>
  <c r="C100" i="13" s="1"/>
  <c r="A101" i="13"/>
  <c r="C101" i="13" s="1"/>
  <c r="A102" i="13"/>
  <c r="C102" i="13" s="1"/>
  <c r="B102" i="13"/>
  <c r="A103" i="13"/>
  <c r="C103" i="13" s="1"/>
  <c r="A104" i="13"/>
  <c r="C104" i="13" s="1"/>
  <c r="A105" i="13"/>
  <c r="C105" i="13" s="1"/>
  <c r="A106" i="13"/>
  <c r="C106" i="13" s="1"/>
  <c r="B106" i="13"/>
  <c r="A107" i="13"/>
  <c r="C107" i="13" s="1"/>
  <c r="A108" i="13"/>
  <c r="C108" i="13" s="1"/>
  <c r="A109" i="13"/>
  <c r="C109" i="13" s="1"/>
  <c r="A110" i="13"/>
  <c r="C110" i="13" s="1"/>
  <c r="A111" i="13"/>
  <c r="A112" i="13"/>
  <c r="B112" i="13" s="1"/>
  <c r="A113" i="13"/>
  <c r="A114" i="13"/>
  <c r="B114" i="13" s="1"/>
  <c r="A115" i="13"/>
  <c r="A116" i="13"/>
  <c r="B116" i="13" s="1"/>
  <c r="A117" i="13"/>
  <c r="A118" i="13"/>
  <c r="B118" i="13" s="1"/>
  <c r="A119" i="13"/>
  <c r="A120" i="13"/>
  <c r="B120" i="13" s="1"/>
  <c r="A121" i="13"/>
  <c r="A122" i="13"/>
  <c r="B122" i="13" s="1"/>
  <c r="A123" i="13"/>
  <c r="A124" i="13"/>
  <c r="B124" i="13" s="1"/>
  <c r="A125" i="13"/>
  <c r="A126" i="13"/>
  <c r="B126" i="13"/>
  <c r="A127" i="13"/>
  <c r="A128" i="13"/>
  <c r="B128" i="13" s="1"/>
  <c r="A129" i="13"/>
  <c r="A130" i="13"/>
  <c r="B130" i="13" s="1"/>
  <c r="A131" i="13"/>
  <c r="A132" i="13"/>
  <c r="B132" i="13" s="1"/>
  <c r="A133" i="13"/>
  <c r="A134" i="13"/>
  <c r="B134" i="13"/>
  <c r="A135" i="13"/>
  <c r="A136" i="13"/>
  <c r="B136" i="13" s="1"/>
  <c r="A137" i="13"/>
  <c r="A138" i="13"/>
  <c r="B138" i="13" s="1"/>
  <c r="A139" i="13"/>
  <c r="A140" i="13"/>
  <c r="B140" i="13" s="1"/>
  <c r="A141" i="13"/>
  <c r="A142" i="13"/>
  <c r="B142" i="13" s="1"/>
  <c r="A143" i="13"/>
  <c r="A144" i="13"/>
  <c r="B144" i="13" s="1"/>
  <c r="A145" i="13"/>
  <c r="A146" i="13"/>
  <c r="B146" i="13" s="1"/>
  <c r="A147" i="13"/>
  <c r="A148" i="13"/>
  <c r="B148" i="13" s="1"/>
  <c r="A149" i="13"/>
  <c r="A150" i="13"/>
  <c r="B150" i="13" s="1"/>
  <c r="A151" i="13"/>
  <c r="A152" i="13"/>
  <c r="B152" i="13" s="1"/>
  <c r="A153" i="13"/>
  <c r="A154" i="13"/>
  <c r="B154" i="13" s="1"/>
  <c r="A155" i="13"/>
  <c r="A156" i="13"/>
  <c r="B156" i="13" s="1"/>
  <c r="A157" i="13"/>
  <c r="A158" i="13"/>
  <c r="B158" i="13" s="1"/>
  <c r="A159" i="13"/>
  <c r="A160" i="13"/>
  <c r="B160" i="13" s="1"/>
  <c r="A161" i="13"/>
  <c r="A162" i="13"/>
  <c r="B162" i="13" s="1"/>
  <c r="A163" i="13"/>
  <c r="A164" i="13"/>
  <c r="B164" i="13" s="1"/>
  <c r="A165" i="13"/>
  <c r="A166" i="13"/>
  <c r="D166" i="13" s="1"/>
  <c r="B166" i="13"/>
  <c r="A167" i="13"/>
  <c r="D167" i="13" s="1"/>
  <c r="A168" i="13"/>
  <c r="D168" i="13" s="1"/>
  <c r="A169" i="13"/>
  <c r="D169" i="13" s="1"/>
  <c r="A170" i="13"/>
  <c r="D170" i="13" s="1"/>
  <c r="A171" i="13"/>
  <c r="D171" i="13" s="1"/>
  <c r="A172" i="13"/>
  <c r="D172" i="13" s="1"/>
  <c r="A173" i="13"/>
  <c r="D173" i="13" s="1"/>
  <c r="A174" i="13"/>
  <c r="D174" i="13" s="1"/>
  <c r="A175" i="13"/>
  <c r="D175" i="13" s="1"/>
  <c r="A176" i="13"/>
  <c r="D176" i="13" s="1"/>
  <c r="A177" i="13"/>
  <c r="D177" i="13" s="1"/>
  <c r="A178" i="13"/>
  <c r="D178" i="13" s="1"/>
  <c r="A179" i="13"/>
  <c r="D179" i="13" s="1"/>
  <c r="A180" i="13"/>
  <c r="D180" i="13" s="1"/>
  <c r="A181" i="13"/>
  <c r="D181" i="13" s="1"/>
  <c r="A182" i="13"/>
  <c r="D182" i="13" s="1"/>
  <c r="A183" i="13"/>
  <c r="D183" i="13" s="1"/>
  <c r="B183" i="13"/>
  <c r="A184" i="13"/>
  <c r="D184" i="13" s="1"/>
  <c r="A185" i="13"/>
  <c r="D185" i="13" s="1"/>
  <c r="B185" i="13"/>
  <c r="A186" i="13"/>
  <c r="D186" i="13" s="1"/>
  <c r="A187" i="13"/>
  <c r="D187" i="13" s="1"/>
  <c r="B187" i="13"/>
  <c r="A188" i="13"/>
  <c r="D188" i="13" s="1"/>
  <c r="A189" i="13"/>
  <c r="D189" i="13" s="1"/>
  <c r="A190" i="13"/>
  <c r="D190" i="13" s="1"/>
  <c r="A191" i="13"/>
  <c r="C191" i="13" s="1"/>
  <c r="A192" i="13"/>
  <c r="C192" i="13" s="1"/>
  <c r="A193" i="13"/>
  <c r="C193" i="13" s="1"/>
  <c r="A194" i="13"/>
  <c r="C194" i="13" s="1"/>
  <c r="A195" i="13"/>
  <c r="C195" i="13" s="1"/>
  <c r="A196" i="13"/>
  <c r="C196" i="13" s="1"/>
  <c r="A197" i="13"/>
  <c r="C197" i="13" s="1"/>
  <c r="A198" i="13"/>
  <c r="C198" i="13" s="1"/>
  <c r="A199" i="13"/>
  <c r="C199" i="13" s="1"/>
  <c r="A200" i="13"/>
  <c r="C200" i="13" s="1"/>
  <c r="A201" i="13"/>
  <c r="C201" i="13" s="1"/>
  <c r="A202" i="13"/>
  <c r="C202" i="13" s="1"/>
  <c r="A203" i="13"/>
  <c r="C203" i="13" s="1"/>
  <c r="A204" i="13"/>
  <c r="C204" i="13" s="1"/>
  <c r="A205" i="13"/>
  <c r="C205" i="13" s="1"/>
  <c r="A206" i="13"/>
  <c r="C206" i="13" s="1"/>
  <c r="A207" i="13"/>
  <c r="C207" i="13" s="1"/>
  <c r="A208" i="13"/>
  <c r="C208" i="13" s="1"/>
  <c r="A209" i="13"/>
  <c r="C209" i="13" s="1"/>
  <c r="A210" i="13"/>
  <c r="C210" i="13" s="1"/>
  <c r="A211" i="13"/>
  <c r="C211" i="13" s="1"/>
  <c r="A212" i="13"/>
  <c r="C212" i="13" s="1"/>
  <c r="A213" i="13"/>
  <c r="C213" i="13" s="1"/>
  <c r="A214" i="13"/>
  <c r="C214" i="13" s="1"/>
  <c r="B189" i="13" l="1"/>
  <c r="C182" i="13"/>
  <c r="B175" i="13"/>
  <c r="B186" i="13"/>
  <c r="B110" i="13"/>
  <c r="B94" i="13"/>
  <c r="D29" i="13"/>
  <c r="D23" i="13"/>
  <c r="D13" i="13"/>
  <c r="B214" i="13"/>
  <c r="B212" i="13"/>
  <c r="B210" i="13"/>
  <c r="B208" i="13"/>
  <c r="B206" i="13"/>
  <c r="B204" i="13"/>
  <c r="B202" i="13"/>
  <c r="B200" i="13"/>
  <c r="B198" i="13"/>
  <c r="B196" i="13"/>
  <c r="B194" i="13"/>
  <c r="B192" i="13"/>
  <c r="C187" i="13"/>
  <c r="C183" i="13"/>
  <c r="B182" i="13"/>
  <c r="B177" i="13"/>
  <c r="B170" i="13"/>
  <c r="C167" i="13"/>
  <c r="B108" i="13"/>
  <c r="B100" i="13"/>
  <c r="B92" i="13"/>
  <c r="D15" i="13"/>
  <c r="D7" i="13"/>
  <c r="C178" i="13"/>
  <c r="C171" i="13"/>
  <c r="D17" i="13"/>
  <c r="D9" i="13"/>
  <c r="B213" i="13"/>
  <c r="B211" i="13"/>
  <c r="B209" i="13"/>
  <c r="B207" i="13"/>
  <c r="B205" i="13"/>
  <c r="B203" i="13"/>
  <c r="B201" i="13"/>
  <c r="B199" i="13"/>
  <c r="B197" i="13"/>
  <c r="B195" i="13"/>
  <c r="B193" i="13"/>
  <c r="B191" i="13"/>
  <c r="B178" i="13"/>
  <c r="B173" i="13"/>
  <c r="B171" i="13"/>
  <c r="C166" i="13"/>
  <c r="B104" i="13"/>
  <c r="B96" i="13"/>
  <c r="D27" i="13"/>
  <c r="D19" i="13"/>
  <c r="D11"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C190" i="13"/>
  <c r="C179" i="13"/>
  <c r="C174" i="13"/>
  <c r="B169" i="13"/>
  <c r="B167" i="13"/>
  <c r="D28" i="13"/>
  <c r="D26" i="13"/>
  <c r="D24" i="13"/>
  <c r="D22" i="13"/>
  <c r="D20" i="13"/>
  <c r="D18" i="13"/>
  <c r="D16" i="13"/>
  <c r="D14" i="13"/>
  <c r="D12" i="13"/>
  <c r="D10" i="13"/>
  <c r="D8" i="13"/>
  <c r="D6" i="13"/>
  <c r="D214" i="13"/>
  <c r="B190" i="13"/>
  <c r="C186" i="13"/>
  <c r="B181" i="13"/>
  <c r="B179" i="13"/>
  <c r="C175" i="13"/>
  <c r="B174" i="13"/>
  <c r="C170" i="13"/>
  <c r="B109" i="13"/>
  <c r="B107" i="13"/>
  <c r="B105" i="13"/>
  <c r="B103" i="13"/>
  <c r="B101" i="13"/>
  <c r="B99" i="13"/>
  <c r="B97" i="13"/>
  <c r="B95" i="13"/>
  <c r="B93" i="13"/>
  <c r="B91" i="13"/>
  <c r="C163" i="13"/>
  <c r="D163" i="13"/>
  <c r="C157" i="13"/>
  <c r="D157" i="13"/>
  <c r="C151" i="13"/>
  <c r="D151" i="13"/>
  <c r="C145" i="13"/>
  <c r="D145" i="13"/>
  <c r="C139" i="13"/>
  <c r="D139" i="13"/>
  <c r="C135" i="13"/>
  <c r="D135" i="13"/>
  <c r="C129" i="13"/>
  <c r="D129" i="13"/>
  <c r="C123" i="13"/>
  <c r="D123" i="13"/>
  <c r="C119" i="13"/>
  <c r="D119" i="13"/>
  <c r="C115" i="13"/>
  <c r="D115" i="13"/>
  <c r="C111" i="13"/>
  <c r="D111" i="13"/>
  <c r="C159" i="13"/>
  <c r="D159" i="13"/>
  <c r="C153" i="13"/>
  <c r="D153" i="13"/>
  <c r="C147" i="13"/>
  <c r="D147" i="13"/>
  <c r="C141" i="13"/>
  <c r="D141" i="13"/>
  <c r="C133" i="13"/>
  <c r="D133" i="13"/>
  <c r="C125" i="13"/>
  <c r="D125" i="13"/>
  <c r="C117" i="13"/>
  <c r="D117" i="13"/>
  <c r="C188" i="13"/>
  <c r="C184" i="13"/>
  <c r="C180" i="13"/>
  <c r="C176" i="13"/>
  <c r="C172" i="13"/>
  <c r="C168" i="13"/>
  <c r="C164" i="13"/>
  <c r="D164" i="13"/>
  <c r="C162" i="13"/>
  <c r="D162" i="13"/>
  <c r="C160" i="13"/>
  <c r="D160" i="13"/>
  <c r="C158" i="13"/>
  <c r="D158" i="13"/>
  <c r="C156" i="13"/>
  <c r="D156" i="13"/>
  <c r="C154" i="13"/>
  <c r="D154" i="13"/>
  <c r="C152" i="13"/>
  <c r="D152" i="13"/>
  <c r="C150" i="13"/>
  <c r="D150" i="13"/>
  <c r="C148" i="13"/>
  <c r="D148" i="13"/>
  <c r="C146" i="13"/>
  <c r="D146" i="13"/>
  <c r="C144" i="13"/>
  <c r="D144" i="13"/>
  <c r="C142" i="13"/>
  <c r="D142" i="13"/>
  <c r="C140" i="13"/>
  <c r="D140" i="13"/>
  <c r="C138" i="13"/>
  <c r="D138" i="13"/>
  <c r="C136" i="13"/>
  <c r="D136" i="13"/>
  <c r="C134" i="13"/>
  <c r="D134" i="13"/>
  <c r="C132" i="13"/>
  <c r="D132" i="13"/>
  <c r="C130" i="13"/>
  <c r="D130" i="13"/>
  <c r="C128" i="13"/>
  <c r="D128" i="13"/>
  <c r="C126" i="13"/>
  <c r="D126" i="13"/>
  <c r="C124" i="13"/>
  <c r="D124" i="13"/>
  <c r="C122" i="13"/>
  <c r="D122" i="13"/>
  <c r="C120" i="13"/>
  <c r="D120" i="13"/>
  <c r="C118" i="13"/>
  <c r="D118" i="13"/>
  <c r="C116" i="13"/>
  <c r="D116" i="13"/>
  <c r="C114" i="13"/>
  <c r="D114" i="13"/>
  <c r="C112" i="13"/>
  <c r="D112" i="13"/>
  <c r="C165" i="13"/>
  <c r="D165" i="13"/>
  <c r="C161" i="13"/>
  <c r="D161" i="13"/>
  <c r="C155" i="13"/>
  <c r="D155" i="13"/>
  <c r="C149" i="13"/>
  <c r="D149" i="13"/>
  <c r="C143" i="13"/>
  <c r="D143" i="13"/>
  <c r="C137" i="13"/>
  <c r="D137" i="13"/>
  <c r="C131" i="13"/>
  <c r="D131" i="13"/>
  <c r="C127" i="13"/>
  <c r="D127" i="13"/>
  <c r="C121" i="13"/>
  <c r="D121" i="13"/>
  <c r="C113" i="13"/>
  <c r="D113" i="13"/>
  <c r="C189" i="13"/>
  <c r="B188" i="13"/>
  <c r="C185" i="13"/>
  <c r="B184" i="13"/>
  <c r="C181" i="13"/>
  <c r="B180" i="13"/>
  <c r="C177" i="13"/>
  <c r="B176" i="13"/>
  <c r="C173" i="13"/>
  <c r="B172" i="13"/>
  <c r="C169" i="13"/>
  <c r="B168" i="13"/>
  <c r="B165" i="13"/>
  <c r="B163" i="13"/>
  <c r="B161" i="13"/>
  <c r="B159" i="13"/>
  <c r="B157" i="13"/>
  <c r="B155" i="13"/>
  <c r="B153" i="13"/>
  <c r="B151" i="13"/>
  <c r="B149" i="13"/>
  <c r="B147" i="13"/>
  <c r="B145" i="13"/>
  <c r="B143" i="13"/>
  <c r="B141" i="13"/>
  <c r="B139" i="13"/>
  <c r="B137" i="13"/>
  <c r="B135" i="13"/>
  <c r="B133" i="13"/>
  <c r="B131" i="13"/>
  <c r="B129" i="13"/>
  <c r="B127" i="13"/>
  <c r="B125" i="13"/>
  <c r="B123" i="13"/>
  <c r="B121" i="13"/>
  <c r="B119" i="13"/>
  <c r="B117" i="13"/>
  <c r="B115" i="13"/>
  <c r="B113" i="13"/>
  <c r="B111" i="13"/>
  <c r="B89" i="13"/>
  <c r="C89" i="13"/>
  <c r="B87" i="13"/>
  <c r="C87" i="13"/>
  <c r="B85" i="13"/>
  <c r="C85" i="13"/>
  <c r="B83" i="13"/>
  <c r="C83" i="13"/>
  <c r="B81" i="13"/>
  <c r="C81" i="13"/>
  <c r="B79" i="13"/>
  <c r="C79" i="13"/>
  <c r="B77" i="13"/>
  <c r="C77" i="13"/>
  <c r="B75" i="13"/>
  <c r="C75" i="13"/>
  <c r="B73" i="13"/>
  <c r="C73" i="13"/>
  <c r="B71" i="13"/>
  <c r="C71" i="13"/>
  <c r="B69" i="13"/>
  <c r="C69" i="13"/>
  <c r="B67" i="13"/>
  <c r="C67" i="13"/>
  <c r="B65" i="13"/>
  <c r="C65" i="13"/>
  <c r="B63" i="13"/>
  <c r="C63" i="13"/>
  <c r="B61" i="13"/>
  <c r="C61" i="13"/>
  <c r="B59" i="13"/>
  <c r="C59" i="13"/>
  <c r="B57" i="13"/>
  <c r="C57" i="13"/>
  <c r="B55" i="13"/>
  <c r="C55" i="13"/>
  <c r="B53" i="13"/>
  <c r="C53" i="13"/>
  <c r="B51" i="13"/>
  <c r="C51" i="13"/>
  <c r="B49" i="13"/>
  <c r="C49" i="13"/>
  <c r="B47" i="13"/>
  <c r="C47" i="13"/>
  <c r="B45" i="13"/>
  <c r="C45" i="13"/>
  <c r="B43" i="13"/>
  <c r="C43" i="13"/>
  <c r="B41" i="13"/>
  <c r="C41" i="13"/>
  <c r="B39" i="13"/>
  <c r="C39" i="13"/>
  <c r="B37" i="13"/>
  <c r="C37" i="13"/>
  <c r="B35" i="13"/>
  <c r="C35" i="13"/>
  <c r="B33" i="13"/>
  <c r="C33" i="13"/>
  <c r="B31" i="13"/>
  <c r="C31" i="13"/>
  <c r="D110" i="13"/>
  <c r="D109" i="13"/>
  <c r="D108" i="13"/>
  <c r="D107" i="13"/>
  <c r="D106" i="13"/>
  <c r="D105" i="13"/>
  <c r="D104" i="13"/>
  <c r="D103" i="13"/>
  <c r="D102" i="13"/>
  <c r="D101" i="13"/>
  <c r="D100" i="13"/>
  <c r="D99" i="13"/>
  <c r="D98" i="13"/>
  <c r="D97" i="13"/>
  <c r="D96" i="13"/>
  <c r="D95" i="13"/>
  <c r="D94" i="13"/>
  <c r="D93" i="13"/>
  <c r="D92" i="13"/>
  <c r="D91" i="13"/>
  <c r="B90" i="13"/>
  <c r="C90" i="13"/>
  <c r="B88" i="13"/>
  <c r="C88" i="13"/>
  <c r="B86" i="13"/>
  <c r="C86" i="13"/>
  <c r="B84" i="13"/>
  <c r="C84" i="13"/>
  <c r="B82" i="13"/>
  <c r="C82" i="13"/>
  <c r="B80" i="13"/>
  <c r="C80" i="13"/>
  <c r="B78" i="13"/>
  <c r="C78" i="13"/>
  <c r="B76" i="13"/>
  <c r="C76" i="13"/>
  <c r="B74" i="13"/>
  <c r="C74" i="13"/>
  <c r="B72" i="13"/>
  <c r="C72" i="13"/>
  <c r="B70" i="13"/>
  <c r="C70" i="13"/>
  <c r="B68" i="13"/>
  <c r="C68" i="13"/>
  <c r="B66" i="13"/>
  <c r="C66" i="13"/>
  <c r="B64" i="13"/>
  <c r="C64" i="13"/>
  <c r="B62" i="13"/>
  <c r="C62" i="13"/>
  <c r="B60" i="13"/>
  <c r="C60" i="13"/>
  <c r="B58" i="13"/>
  <c r="C58" i="13"/>
  <c r="B56" i="13"/>
  <c r="C56" i="13"/>
  <c r="B54" i="13"/>
  <c r="C54" i="13"/>
  <c r="B52" i="13"/>
  <c r="C52" i="13"/>
  <c r="B50" i="13"/>
  <c r="C50" i="13"/>
  <c r="B48" i="13"/>
  <c r="C48" i="13"/>
  <c r="B46" i="13"/>
  <c r="C46" i="13"/>
  <c r="B44" i="13"/>
  <c r="C44" i="13"/>
  <c r="B42" i="13"/>
  <c r="C42" i="13"/>
  <c r="B40" i="13"/>
  <c r="C40" i="13"/>
  <c r="B38" i="13"/>
  <c r="C38" i="13"/>
  <c r="B36" i="13"/>
  <c r="C36" i="13"/>
  <c r="B34" i="13"/>
  <c r="C34" i="13"/>
  <c r="B32" i="13"/>
  <c r="C32" i="13"/>
  <c r="B30" i="13"/>
  <c r="C30" i="13"/>
  <c r="C29" i="13"/>
  <c r="C28" i="13"/>
  <c r="C27" i="13"/>
  <c r="C26" i="13"/>
  <c r="C25" i="13"/>
  <c r="C24" i="13"/>
  <c r="C23" i="13"/>
  <c r="C22" i="13"/>
  <c r="C21" i="13"/>
  <c r="C20" i="13"/>
  <c r="C19" i="13"/>
  <c r="C18" i="13"/>
  <c r="C17" i="13"/>
  <c r="C16" i="13"/>
  <c r="C15" i="13"/>
  <c r="C14" i="13"/>
  <c r="C13" i="13"/>
  <c r="C12" i="13"/>
  <c r="C11" i="13"/>
  <c r="C10" i="13"/>
  <c r="C9" i="13"/>
  <c r="C8" i="13"/>
  <c r="C7" i="13"/>
  <c r="C6" i="13"/>
  <c r="F257" i="2"/>
  <c r="G257" i="2"/>
  <c r="F258" i="2"/>
  <c r="F261" i="2" s="1"/>
  <c r="G258" i="2"/>
  <c r="F259" i="2"/>
  <c r="G259" i="2"/>
  <c r="F260" i="2"/>
  <c r="G260" i="2"/>
  <c r="H259" i="2" l="1"/>
  <c r="H257" i="2"/>
  <c r="G261" i="2"/>
  <c r="H261" i="2" s="1"/>
  <c r="H258" i="2"/>
  <c r="H260" i="2"/>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221" i="14" l="1"/>
  <c r="A220" i="13"/>
  <c r="A221" i="12"/>
  <c r="A221" i="11"/>
  <c r="A221" i="10"/>
  <c r="A221" i="6"/>
  <c r="A221" i="7"/>
  <c r="M221" i="7" s="1"/>
  <c r="S225" i="2"/>
  <c r="L3" i="21"/>
  <c r="J221" i="7" l="1"/>
  <c r="N221" i="7"/>
  <c r="B221" i="7"/>
  <c r="F221" i="7"/>
  <c r="C221" i="7"/>
  <c r="G221" i="7"/>
  <c r="K221" i="7"/>
  <c r="O221" i="7"/>
  <c r="D221" i="7"/>
  <c r="H221" i="7"/>
  <c r="L221" i="7"/>
  <c r="E221" i="7"/>
  <c r="I221" i="7"/>
  <c r="E225" i="2"/>
  <c r="I225" i="2"/>
  <c r="M225" i="2"/>
  <c r="Q225" i="2"/>
  <c r="D225" i="2"/>
  <c r="L225" i="2"/>
  <c r="B225" i="2"/>
  <c r="R225" i="2"/>
  <c r="H225" i="2"/>
  <c r="P225" i="2"/>
  <c r="C225" i="2"/>
  <c r="G220" i="13"/>
  <c r="A215" i="13"/>
  <c r="A216" i="13"/>
  <c r="A217" i="13"/>
  <c r="E217" i="13" s="1"/>
  <c r="A218" i="13"/>
  <c r="G218" i="13" s="1"/>
  <c r="A219" i="13"/>
  <c r="E219" i="13" s="1"/>
  <c r="N225" i="2" l="1"/>
  <c r="O225" i="2" s="1"/>
  <c r="J225" i="2"/>
  <c r="K225" i="2" s="1"/>
  <c r="G225" i="2"/>
  <c r="F225" i="2"/>
  <c r="B219" i="13"/>
  <c r="B217" i="13"/>
  <c r="F219" i="13"/>
  <c r="D218" i="13"/>
  <c r="F217" i="13"/>
  <c r="D220" i="13"/>
  <c r="C217" i="13"/>
  <c r="G217" i="13"/>
  <c r="E218" i="13"/>
  <c r="C219" i="13"/>
  <c r="G219" i="13"/>
  <c r="E220" i="13"/>
  <c r="D217" i="13"/>
  <c r="B218" i="13"/>
  <c r="F218" i="13"/>
  <c r="D219" i="13"/>
  <c r="B220" i="13"/>
  <c r="F220" i="13"/>
  <c r="C218" i="13"/>
  <c r="C220" i="13"/>
  <c r="F71" i="18"/>
  <c r="F36" i="18"/>
  <c r="F106" i="18"/>
  <c r="F69" i="18"/>
  <c r="E69" i="18"/>
  <c r="E106" i="18"/>
  <c r="E36" i="18"/>
  <c r="E71" i="18"/>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C219" i="14" s="1"/>
  <c r="A220" i="14"/>
  <c r="F220" i="14" s="1"/>
  <c r="E221" i="14"/>
  <c r="A9" i="14"/>
  <c r="A8" i="14"/>
  <c r="A7" i="14"/>
  <c r="Q221" i="3"/>
  <c r="A215" i="12"/>
  <c r="A216" i="12"/>
  <c r="A217" i="12"/>
  <c r="A218" i="12"/>
  <c r="A219" i="12"/>
  <c r="D219" i="12" s="1"/>
  <c r="A220" i="12"/>
  <c r="B220" i="12" s="1"/>
  <c r="D221" i="12"/>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I218" i="11" s="1"/>
  <c r="A219" i="11"/>
  <c r="N219" i="11" s="1"/>
  <c r="A220" i="11"/>
  <c r="E220" i="11" s="1"/>
  <c r="N221" i="11"/>
  <c r="A9" i="11"/>
  <c r="A8" i="11"/>
  <c r="A7" i="1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N218" i="10" s="1"/>
  <c r="A219" i="10"/>
  <c r="L219" i="10" s="1"/>
  <c r="A220" i="10"/>
  <c r="G220" i="10" s="1"/>
  <c r="A10" i="10"/>
  <c r="A9" i="10"/>
  <c r="A8" i="10"/>
  <c r="A7" i="10"/>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10" i="8"/>
  <c r="A9" i="8"/>
  <c r="A8" i="8"/>
  <c r="A7" i="8"/>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L218" i="6" s="1"/>
  <c r="A219" i="6"/>
  <c r="N219" i="6" s="1"/>
  <c r="A220" i="6"/>
  <c r="L220" i="6" s="1"/>
  <c r="G221" i="6"/>
  <c r="A10" i="6"/>
  <c r="A9" i="6"/>
  <c r="A8" i="6"/>
  <c r="A7" i="6"/>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I218" i="7" s="1"/>
  <c r="A219" i="7"/>
  <c r="I219" i="7" s="1"/>
  <c r="A220" i="7"/>
  <c r="I220" i="7" s="1"/>
  <c r="A10" i="7"/>
  <c r="A9" i="7"/>
  <c r="A8" i="7"/>
  <c r="A7" i="7"/>
  <c r="P218" i="3"/>
  <c r="O219" i="3"/>
  <c r="N220" i="3"/>
  <c r="A7" i="3"/>
  <c r="R222" i="2"/>
  <c r="R223" i="2"/>
  <c r="S224" i="2"/>
  <c r="A11" i="2"/>
  <c r="C221" i="3" l="1"/>
  <c r="I221" i="3"/>
  <c r="N221" i="3"/>
  <c r="E219" i="11"/>
  <c r="F219" i="12"/>
  <c r="M218" i="6"/>
  <c r="G218" i="10"/>
  <c r="F221" i="12"/>
  <c r="S222" i="2"/>
  <c r="O219" i="6"/>
  <c r="I219" i="10"/>
  <c r="O221" i="11"/>
  <c r="H221" i="12"/>
  <c r="E224" i="2"/>
  <c r="L220" i="10"/>
  <c r="D219" i="14"/>
  <c r="E223" i="2"/>
  <c r="P224" i="2"/>
  <c r="D221" i="3"/>
  <c r="J221" i="3"/>
  <c r="O221" i="3"/>
  <c r="C218" i="7"/>
  <c r="O219" i="7"/>
  <c r="C219" i="6"/>
  <c r="E220" i="6"/>
  <c r="K218" i="10"/>
  <c r="M219" i="10"/>
  <c r="E218" i="11"/>
  <c r="G219" i="11"/>
  <c r="C221" i="11"/>
  <c r="H219" i="12"/>
  <c r="J220" i="12"/>
  <c r="C220" i="14"/>
  <c r="D222" i="2"/>
  <c r="M223" i="2"/>
  <c r="F221" i="3"/>
  <c r="L221" i="3"/>
  <c r="P221" i="3"/>
  <c r="G218" i="7"/>
  <c r="E218" i="6"/>
  <c r="G219" i="6"/>
  <c r="I220" i="6"/>
  <c r="M220" i="12" s="1"/>
  <c r="O218" i="10"/>
  <c r="C220" i="10"/>
  <c r="M218" i="11"/>
  <c r="K219" i="11"/>
  <c r="G221" i="11"/>
  <c r="B219" i="12"/>
  <c r="J219" i="12"/>
  <c r="B221" i="12"/>
  <c r="J221" i="12"/>
  <c r="B221" i="14"/>
  <c r="G221" i="14" s="1"/>
  <c r="G219" i="7"/>
  <c r="F220" i="12"/>
  <c r="I222" i="2"/>
  <c r="S223" i="2"/>
  <c r="B221" i="3"/>
  <c r="G221" i="3"/>
  <c r="M221" i="3"/>
  <c r="M218" i="7"/>
  <c r="I218" i="6"/>
  <c r="M218" i="12" s="1"/>
  <c r="K219" i="6"/>
  <c r="N219" i="12" s="1"/>
  <c r="M220" i="6"/>
  <c r="C218" i="10"/>
  <c r="E219" i="10"/>
  <c r="C219" i="11"/>
  <c r="O219" i="11"/>
  <c r="K221" i="11"/>
  <c r="F221" i="14"/>
  <c r="N217" i="6"/>
  <c r="J217" i="6"/>
  <c r="F217" i="6"/>
  <c r="B217" i="6"/>
  <c r="M217" i="6"/>
  <c r="I217" i="6"/>
  <c r="E217" i="6"/>
  <c r="L217" i="6"/>
  <c r="H217" i="6"/>
  <c r="D217" i="6"/>
  <c r="E222" i="2"/>
  <c r="P222" i="2"/>
  <c r="B223" i="2"/>
  <c r="H223" i="2"/>
  <c r="P223" i="2"/>
  <c r="B224" i="2"/>
  <c r="L224" i="2"/>
  <c r="Q224" i="2"/>
  <c r="L220" i="7"/>
  <c r="H220" i="7"/>
  <c r="D220" i="7"/>
  <c r="N220" i="7"/>
  <c r="J220" i="7"/>
  <c r="F220" i="7"/>
  <c r="B220" i="7"/>
  <c r="D218" i="7"/>
  <c r="H218" i="7"/>
  <c r="O218" i="7"/>
  <c r="C220" i="7"/>
  <c r="K220" i="7"/>
  <c r="K217" i="6"/>
  <c r="C221" i="6"/>
  <c r="M221" i="10"/>
  <c r="I221" i="10"/>
  <c r="E221" i="10"/>
  <c r="O221" i="10"/>
  <c r="K221" i="10"/>
  <c r="G221" i="10"/>
  <c r="C221" i="10"/>
  <c r="L221" i="10"/>
  <c r="D221" i="10"/>
  <c r="J221" i="10"/>
  <c r="B221" i="10"/>
  <c r="H221" i="10"/>
  <c r="G217" i="6"/>
  <c r="O221" i="6"/>
  <c r="B222" i="2"/>
  <c r="L222" i="2"/>
  <c r="Q222" i="2"/>
  <c r="C223" i="2"/>
  <c r="I223" i="2"/>
  <c r="Q223" i="2"/>
  <c r="C224" i="2"/>
  <c r="H224" i="2"/>
  <c r="M224" i="2"/>
  <c r="R224" i="2"/>
  <c r="N219" i="7"/>
  <c r="J219" i="7"/>
  <c r="F219" i="7"/>
  <c r="B219" i="7"/>
  <c r="L219" i="7"/>
  <c r="H219" i="7"/>
  <c r="D219" i="7"/>
  <c r="E218" i="7"/>
  <c r="C219" i="7"/>
  <c r="K219" i="7"/>
  <c r="E220" i="7"/>
  <c r="M220" i="7"/>
  <c r="O217" i="6"/>
  <c r="F221" i="10"/>
  <c r="N221" i="6"/>
  <c r="J221" i="6"/>
  <c r="F221" i="6"/>
  <c r="B221" i="6"/>
  <c r="M221" i="6"/>
  <c r="I221" i="6"/>
  <c r="M221" i="12" s="1"/>
  <c r="E221" i="6"/>
  <c r="L221" i="6"/>
  <c r="O221" i="12" s="1"/>
  <c r="H221" i="6"/>
  <c r="L221" i="12" s="1"/>
  <c r="D221" i="6"/>
  <c r="C222" i="2"/>
  <c r="H222" i="2"/>
  <c r="M222" i="2"/>
  <c r="D223" i="2"/>
  <c r="L223" i="2"/>
  <c r="D224" i="2"/>
  <c r="I224" i="2"/>
  <c r="L218" i="7"/>
  <c r="N218" i="7"/>
  <c r="J218" i="7"/>
  <c r="B218" i="7"/>
  <c r="F218" i="7"/>
  <c r="K218" i="7"/>
  <c r="E219" i="7"/>
  <c r="M219" i="7"/>
  <c r="G220" i="7"/>
  <c r="O220" i="7"/>
  <c r="C217" i="6"/>
  <c r="K221" i="6"/>
  <c r="N221" i="12" s="1"/>
  <c r="N221" i="10"/>
  <c r="I218" i="12"/>
  <c r="E218" i="12"/>
  <c r="H218" i="12"/>
  <c r="D218" i="12"/>
  <c r="O218" i="12"/>
  <c r="K218" i="12"/>
  <c r="G218" i="12"/>
  <c r="C218" i="12"/>
  <c r="J218" i="12"/>
  <c r="F218" i="12"/>
  <c r="B218" i="12"/>
  <c r="B218" i="6"/>
  <c r="F218" i="6"/>
  <c r="J218" i="6"/>
  <c r="N218" i="6"/>
  <c r="D219" i="6"/>
  <c r="H219" i="6"/>
  <c r="L219" i="12" s="1"/>
  <c r="L219" i="6"/>
  <c r="O219" i="12" s="1"/>
  <c r="B220" i="6"/>
  <c r="F220" i="6"/>
  <c r="J220" i="6"/>
  <c r="N220" i="6"/>
  <c r="O220" i="10"/>
  <c r="K220" i="10"/>
  <c r="M220" i="10"/>
  <c r="D218" i="10"/>
  <c r="H218" i="10"/>
  <c r="L218" i="10"/>
  <c r="B219" i="10"/>
  <c r="F219" i="10"/>
  <c r="J219" i="10"/>
  <c r="N219" i="10"/>
  <c r="D220" i="10"/>
  <c r="H220" i="10"/>
  <c r="N220" i="10"/>
  <c r="L220" i="11"/>
  <c r="H220" i="11"/>
  <c r="D220" i="11"/>
  <c r="O220" i="11"/>
  <c r="K220" i="11"/>
  <c r="G220" i="11"/>
  <c r="C220" i="11"/>
  <c r="N220" i="11"/>
  <c r="J220" i="11"/>
  <c r="F220" i="11"/>
  <c r="B220" i="11"/>
  <c r="I220" i="11"/>
  <c r="C218" i="6"/>
  <c r="G218" i="6"/>
  <c r="K218" i="6"/>
  <c r="N218" i="12" s="1"/>
  <c r="O218" i="6"/>
  <c r="E219" i="6"/>
  <c r="I219" i="6"/>
  <c r="M219" i="12" s="1"/>
  <c r="M219" i="6"/>
  <c r="C220" i="6"/>
  <c r="G220" i="6"/>
  <c r="K220" i="6"/>
  <c r="N220" i="12" s="1"/>
  <c r="O220" i="6"/>
  <c r="E218" i="10"/>
  <c r="I218" i="10"/>
  <c r="M218" i="10"/>
  <c r="C219" i="10"/>
  <c r="G219" i="10"/>
  <c r="K219" i="10"/>
  <c r="O219" i="10"/>
  <c r="E220" i="10"/>
  <c r="I220" i="10"/>
  <c r="M220" i="11"/>
  <c r="D218" i="14"/>
  <c r="C218" i="14"/>
  <c r="F218" i="14"/>
  <c r="B218" i="14"/>
  <c r="D218" i="6"/>
  <c r="H218" i="6"/>
  <c r="L218" i="12" s="1"/>
  <c r="B219" i="6"/>
  <c r="F219" i="6"/>
  <c r="J219" i="6"/>
  <c r="D220" i="6"/>
  <c r="H220" i="6"/>
  <c r="L220" i="12" s="1"/>
  <c r="B218" i="10"/>
  <c r="F218" i="10"/>
  <c r="J218" i="10"/>
  <c r="D219" i="10"/>
  <c r="H219" i="10"/>
  <c r="B220" i="10"/>
  <c r="F220" i="10"/>
  <c r="J220" i="10"/>
  <c r="L218" i="11"/>
  <c r="H218" i="11"/>
  <c r="D218" i="11"/>
  <c r="O218" i="11"/>
  <c r="K218" i="11"/>
  <c r="G218" i="11"/>
  <c r="C218" i="11"/>
  <c r="N218" i="11"/>
  <c r="J218" i="11"/>
  <c r="F218" i="11"/>
  <c r="B218" i="11"/>
  <c r="E218" i="14"/>
  <c r="D219" i="11"/>
  <c r="H219" i="11"/>
  <c r="L219" i="11"/>
  <c r="D221" i="11"/>
  <c r="H221" i="11"/>
  <c r="L221" i="11"/>
  <c r="E219" i="12"/>
  <c r="I219" i="12"/>
  <c r="C220" i="12"/>
  <c r="G220" i="12"/>
  <c r="K220" i="12"/>
  <c r="O220" i="12"/>
  <c r="E221" i="12"/>
  <c r="I221" i="12"/>
  <c r="E219" i="14"/>
  <c r="D220" i="14"/>
  <c r="C221" i="14"/>
  <c r="I219" i="11"/>
  <c r="M219" i="11"/>
  <c r="E221" i="11"/>
  <c r="I221" i="11"/>
  <c r="M221" i="11"/>
  <c r="D220" i="12"/>
  <c r="H220" i="12"/>
  <c r="B219" i="14"/>
  <c r="F219" i="14"/>
  <c r="E220" i="14"/>
  <c r="D221" i="14"/>
  <c r="B219" i="11"/>
  <c r="F219" i="11"/>
  <c r="J219" i="11"/>
  <c r="B221" i="11"/>
  <c r="F221" i="11"/>
  <c r="J221" i="11"/>
  <c r="C219" i="12"/>
  <c r="G219" i="12"/>
  <c r="K219" i="12"/>
  <c r="E220" i="12"/>
  <c r="I220" i="12"/>
  <c r="C221" i="12"/>
  <c r="G221" i="12"/>
  <c r="K221" i="12"/>
  <c r="B220" i="14"/>
  <c r="G220" i="14" s="1"/>
  <c r="L219" i="3"/>
  <c r="D220" i="3"/>
  <c r="B218" i="3"/>
  <c r="F219" i="3"/>
  <c r="J220" i="3"/>
  <c r="Q218" i="3"/>
  <c r="G218" i="3"/>
  <c r="O220" i="3"/>
  <c r="M218" i="3"/>
  <c r="P219" i="3"/>
  <c r="C218" i="3"/>
  <c r="I218" i="3"/>
  <c r="N218" i="3"/>
  <c r="B219" i="3"/>
  <c r="G219" i="3"/>
  <c r="M219" i="3"/>
  <c r="Q219" i="3"/>
  <c r="F220" i="3"/>
  <c r="L220" i="3"/>
  <c r="P220" i="3"/>
  <c r="D218" i="3"/>
  <c r="J218" i="3"/>
  <c r="O218" i="3"/>
  <c r="C219" i="3"/>
  <c r="I219" i="3"/>
  <c r="N219" i="3"/>
  <c r="B220" i="3"/>
  <c r="G220" i="3"/>
  <c r="M220" i="3"/>
  <c r="Q220" i="3"/>
  <c r="F218" i="3"/>
  <c r="H218" i="3" s="1"/>
  <c r="L218" i="3"/>
  <c r="D219" i="3"/>
  <c r="J219" i="3"/>
  <c r="C220" i="3"/>
  <c r="I220" i="3"/>
  <c r="F40" i="18"/>
  <c r="F35" i="18"/>
  <c r="F165" i="18"/>
  <c r="F128" i="18"/>
  <c r="F12" i="18"/>
  <c r="F62" i="18"/>
  <c r="F213" i="18"/>
  <c r="F142" i="18"/>
  <c r="F25" i="18"/>
  <c r="N223" i="2" l="1"/>
  <c r="O223" i="2" s="1"/>
  <c r="F223" i="2"/>
  <c r="E221" i="3"/>
  <c r="K221" i="3"/>
  <c r="G223" i="2"/>
  <c r="J222" i="2"/>
  <c r="K222" i="2" s="1"/>
  <c r="G222" i="2"/>
  <c r="H221" i="3"/>
  <c r="J224" i="2"/>
  <c r="K224" i="2" s="1"/>
  <c r="F222" i="2"/>
  <c r="G218" i="14"/>
  <c r="G219" i="14"/>
  <c r="N222" i="2"/>
  <c r="O222" i="2" s="1"/>
  <c r="J223" i="2"/>
  <c r="K223" i="2" s="1"/>
  <c r="N224" i="2"/>
  <c r="O224" i="2" s="1"/>
  <c r="G224" i="2"/>
  <c r="F224" i="2"/>
  <c r="E220" i="3"/>
  <c r="K219" i="3"/>
  <c r="H219" i="3"/>
  <c r="H220" i="3"/>
  <c r="K220" i="3"/>
  <c r="K218" i="3"/>
  <c r="E219" i="3"/>
  <c r="E218" i="3"/>
  <c r="L4" i="21"/>
  <c r="F97" i="18"/>
  <c r="B215" i="14" l="1"/>
  <c r="C216" i="14"/>
  <c r="D217" i="14"/>
  <c r="D215" i="13"/>
  <c r="B216" i="13"/>
  <c r="A214" i="12"/>
  <c r="B214" i="12" s="1"/>
  <c r="B215" i="12"/>
  <c r="C216" i="12"/>
  <c r="B217" i="12"/>
  <c r="D213" i="11"/>
  <c r="B214" i="11"/>
  <c r="C215" i="11"/>
  <c r="D216" i="11"/>
  <c r="D217" i="11"/>
  <c r="B214" i="10"/>
  <c r="C215" i="10"/>
  <c r="B216" i="10"/>
  <c r="B217" i="10"/>
  <c r="B54" i="8"/>
  <c r="D55" i="8"/>
  <c r="B56" i="8"/>
  <c r="B212" i="6"/>
  <c r="C213" i="6"/>
  <c r="D214" i="6"/>
  <c r="B215" i="6"/>
  <c r="B216" i="6"/>
  <c r="B214" i="7"/>
  <c r="B215" i="7"/>
  <c r="D216" i="7"/>
  <c r="B217" i="7"/>
  <c r="B215" i="2"/>
  <c r="B216" i="2"/>
  <c r="D217" i="2"/>
  <c r="B219" i="2"/>
  <c r="B220" i="2"/>
  <c r="D221" i="2"/>
  <c r="L216" i="10" l="1"/>
  <c r="G215" i="13"/>
  <c r="I216" i="10"/>
  <c r="G216" i="10"/>
  <c r="N216" i="11"/>
  <c r="L215" i="2"/>
  <c r="O216" i="10"/>
  <c r="E216" i="10"/>
  <c r="K217" i="11"/>
  <c r="J216" i="12"/>
  <c r="I214" i="12"/>
  <c r="I216" i="12"/>
  <c r="I214" i="7"/>
  <c r="G216" i="11"/>
  <c r="B216" i="12"/>
  <c r="H214" i="12"/>
  <c r="E216" i="14"/>
  <c r="M215" i="6"/>
  <c r="N215" i="10"/>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F215" i="10"/>
  <c r="I214" i="10"/>
  <c r="M217" i="11"/>
  <c r="G217" i="11"/>
  <c r="B217" i="11"/>
  <c r="M214" i="11"/>
  <c r="N213" i="11"/>
  <c r="I213" i="11"/>
  <c r="C213" i="11"/>
  <c r="D214" i="12"/>
  <c r="I213" i="6"/>
  <c r="L217" i="10"/>
  <c r="Q219" i="2"/>
  <c r="R218" i="2"/>
  <c r="L218" i="2"/>
  <c r="D218" i="2"/>
  <c r="L215" i="6"/>
  <c r="H215" i="6"/>
  <c r="D215" i="6"/>
  <c r="O214" i="6"/>
  <c r="J214" i="6"/>
  <c r="E214" i="6"/>
  <c r="N213" i="6"/>
  <c r="F213" i="6"/>
  <c r="M212" i="6"/>
  <c r="K217" i="10"/>
  <c r="M216" i="11"/>
  <c r="F216" i="11"/>
  <c r="S221" i="2"/>
  <c r="I219" i="2"/>
  <c r="Q218" i="2"/>
  <c r="I218" i="2"/>
  <c r="C218" i="2"/>
  <c r="R217" i="2"/>
  <c r="Q216" i="2"/>
  <c r="F216" i="7"/>
  <c r="H214" i="7"/>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B216" i="3"/>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D213" i="3"/>
  <c r="J211" i="3"/>
  <c r="L217" i="7"/>
  <c r="H217" i="7"/>
  <c r="D217" i="7"/>
  <c r="O216" i="7"/>
  <c r="J216" i="7"/>
  <c r="E216" i="7"/>
  <c r="M215" i="7"/>
  <c r="M214" i="7"/>
  <c r="E214" i="7"/>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C217" i="3"/>
  <c r="J215" i="3"/>
  <c r="O217" i="7"/>
  <c r="K217" i="7"/>
  <c r="G217" i="7"/>
  <c r="C217" i="7"/>
  <c r="N216" i="7"/>
  <c r="I216" i="7"/>
  <c r="C216" i="7"/>
  <c r="I215" i="7"/>
  <c r="L214" i="7"/>
  <c r="D214" i="7"/>
  <c r="E216" i="6"/>
  <c r="M217" i="10"/>
  <c r="H217" i="10"/>
  <c r="C217" i="10"/>
  <c r="L217" i="11"/>
  <c r="H217" i="11"/>
  <c r="O216" i="11"/>
  <c r="J216" i="11"/>
  <c r="E216" i="11"/>
  <c r="N215" i="11"/>
  <c r="B215" i="11"/>
  <c r="L213" i="11"/>
  <c r="H213" i="11"/>
  <c r="K217" i="12"/>
  <c r="G217" i="12"/>
  <c r="C217" i="12"/>
  <c r="K214" i="12"/>
  <c r="E214" i="12"/>
  <c r="G216" i="13"/>
  <c r="C216" i="13"/>
  <c r="E217" i="14"/>
  <c r="F216" i="14"/>
  <c r="E215" i="14"/>
  <c r="G215" i="14" s="1"/>
  <c r="I221" i="2"/>
  <c r="M221" i="2"/>
  <c r="B221" i="2"/>
  <c r="L219" i="2"/>
  <c r="D219" i="2"/>
  <c r="E216" i="2"/>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G213" i="13"/>
  <c r="G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O216" i="6"/>
  <c r="K216" i="6"/>
  <c r="G216" i="6"/>
  <c r="C216" i="6"/>
  <c r="L213" i="6"/>
  <c r="H213" i="6"/>
  <c r="D213" i="6"/>
  <c r="O212" i="6"/>
  <c r="K212" i="6"/>
  <c r="G212" i="6"/>
  <c r="C212"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P221" i="2"/>
  <c r="L221" i="2"/>
  <c r="H221" i="2"/>
  <c r="S220" i="2"/>
  <c r="C220" i="2"/>
  <c r="R219" i="2"/>
  <c r="P217" i="2"/>
  <c r="L217" i="2"/>
  <c r="H217" i="2"/>
  <c r="S216" i="2"/>
  <c r="C216" i="2"/>
  <c r="R215" i="2"/>
  <c r="R220" i="2"/>
  <c r="R216" i="2"/>
  <c r="B205" i="14"/>
  <c r="B206" i="14"/>
  <c r="D207" i="14"/>
  <c r="B208" i="14"/>
  <c r="B209" i="14"/>
  <c r="B210" i="14"/>
  <c r="D211" i="14"/>
  <c r="B212" i="14"/>
  <c r="B213" i="14"/>
  <c r="B214" i="14"/>
  <c r="A211" i="12"/>
  <c r="B211" i="12" s="1"/>
  <c r="A212" i="12"/>
  <c r="B212" i="12" s="1"/>
  <c r="A213" i="12"/>
  <c r="D213" i="12" s="1"/>
  <c r="B212" i="11"/>
  <c r="B213" i="10"/>
  <c r="B213" i="7"/>
  <c r="G218" i="2" l="1"/>
  <c r="F215" i="2"/>
  <c r="G216" i="14"/>
  <c r="F211" i="3"/>
  <c r="J218" i="2"/>
  <c r="K218" i="2" s="1"/>
  <c r="J217" i="2"/>
  <c r="K217" i="2" s="1"/>
  <c r="F215" i="3"/>
  <c r="J215" i="2"/>
  <c r="K215" i="2" s="1"/>
  <c r="G215" i="2"/>
  <c r="D208" i="14"/>
  <c r="F218" i="2"/>
  <c r="N217" i="2"/>
  <c r="O217" i="2" s="1"/>
  <c r="N216" i="3"/>
  <c r="G219" i="2"/>
  <c r="F219" i="2"/>
  <c r="N220" i="2"/>
  <c r="O220" i="2" s="1"/>
  <c r="K214" i="3"/>
  <c r="F216" i="3"/>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O211" i="3"/>
  <c r="C211" i="3"/>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G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E211" i="3" l="1"/>
  <c r="H211" i="3"/>
  <c r="H216" i="3"/>
  <c r="E216" i="3"/>
  <c r="G211" i="14"/>
  <c r="K213" i="3"/>
  <c r="H215" i="3"/>
  <c r="K216" i="3"/>
  <c r="H213" i="3"/>
  <c r="K217" i="3"/>
  <c r="G207" i="14"/>
  <c r="E212" i="3"/>
  <c r="H217" i="3"/>
  <c r="H212" i="3"/>
  <c r="E215" i="3"/>
  <c r="K212" i="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A210" i="12"/>
  <c r="D189" i="11"/>
  <c r="F190" i="11"/>
  <c r="D191" i="11"/>
  <c r="L193" i="11"/>
  <c r="N194" i="11"/>
  <c r="H195" i="11"/>
  <c r="D197" i="11"/>
  <c r="F198" i="11"/>
  <c r="D199" i="11"/>
  <c r="F200" i="11"/>
  <c r="F201" i="11"/>
  <c r="H202" i="11"/>
  <c r="C203" i="11"/>
  <c r="C205" i="11"/>
  <c r="D206" i="11"/>
  <c r="C207" i="11"/>
  <c r="C209" i="11"/>
  <c r="H210" i="11"/>
  <c r="C211" i="11"/>
  <c r="O190" i="10"/>
  <c r="E191" i="10"/>
  <c r="G192" i="10"/>
  <c r="E193" i="10"/>
  <c r="G194" i="10"/>
  <c r="M195" i="10"/>
  <c r="O196" i="10"/>
  <c r="I197" i="10"/>
  <c r="O198" i="10"/>
  <c r="E199" i="10"/>
  <c r="G200" i="10"/>
  <c r="E201" i="10"/>
  <c r="G202" i="10"/>
  <c r="M203" i="10"/>
  <c r="O204" i="10"/>
  <c r="I205" i="10"/>
  <c r="O206" i="10"/>
  <c r="E207" i="10"/>
  <c r="E209" i="10"/>
  <c r="G210" i="10"/>
  <c r="D211" i="10"/>
  <c r="I212" i="10"/>
  <c r="B145" i="14"/>
  <c r="C189" i="14"/>
  <c r="B190" i="14"/>
  <c r="E191" i="14"/>
  <c r="E193" i="14"/>
  <c r="D194" i="14"/>
  <c r="C195" i="14"/>
  <c r="C197" i="14"/>
  <c r="B198" i="14"/>
  <c r="E199" i="14"/>
  <c r="D202" i="14"/>
  <c r="C203" i="14"/>
  <c r="F178" i="18"/>
  <c r="F77" i="18"/>
  <c r="F27" i="18"/>
  <c r="F19" i="18"/>
  <c r="K211" i="6"/>
  <c r="H190" i="7"/>
  <c r="N191" i="7"/>
  <c r="H192" i="7"/>
  <c r="F195" i="7"/>
  <c r="L196" i="7"/>
  <c r="J197" i="7"/>
  <c r="H198" i="7"/>
  <c r="N199" i="7"/>
  <c r="D200" i="7"/>
  <c r="D202" i="7"/>
  <c r="F203" i="7"/>
  <c r="L204" i="7"/>
  <c r="J205" i="7"/>
  <c r="H206" i="7"/>
  <c r="J207" i="7"/>
  <c r="F208" i="7"/>
  <c r="E209" i="7"/>
  <c r="F210" i="7"/>
  <c r="B211" i="7"/>
  <c r="D212" i="7"/>
  <c r="C189" i="3"/>
  <c r="G190" i="3"/>
  <c r="I196" i="3"/>
  <c r="C197" i="3"/>
  <c r="I200" i="3"/>
  <c r="L202" i="3"/>
  <c r="B208" i="3"/>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C209" i="3"/>
  <c r="E208" i="2"/>
  <c r="N204" i="3"/>
  <c r="B209" i="2"/>
  <c r="C205" i="3"/>
  <c r="C207" i="2"/>
  <c r="I203" i="3"/>
  <c r="M205" i="2"/>
  <c r="C201" i="3"/>
  <c r="Q197" i="2"/>
  <c r="C193" i="3"/>
  <c r="R211" i="2"/>
  <c r="I207" i="3"/>
  <c r="E203" i="2"/>
  <c r="D199" i="3"/>
  <c r="H199" i="2"/>
  <c r="N195" i="3"/>
  <c r="R195" i="2"/>
  <c r="N191" i="3"/>
  <c r="C214" i="2"/>
  <c r="L210" i="2"/>
  <c r="P206" i="3"/>
  <c r="M202" i="2"/>
  <c r="G198" i="3"/>
  <c r="C198" i="2"/>
  <c r="C194" i="3"/>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O208" i="3"/>
  <c r="J200" i="3"/>
  <c r="K200" i="3" s="1"/>
  <c r="F192" i="3"/>
  <c r="C208" i="3"/>
  <c r="J208" i="3"/>
  <c r="C196" i="3"/>
  <c r="B196" i="3"/>
  <c r="N196" i="3"/>
  <c r="C200" i="14"/>
  <c r="B200" i="14"/>
  <c r="F200" i="14"/>
  <c r="C192" i="14"/>
  <c r="B192" i="14"/>
  <c r="F192" i="14"/>
  <c r="D202" i="3"/>
  <c r="P202"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K209" i="12" s="1"/>
  <c r="H209" i="7"/>
  <c r="H209" i="12" s="1"/>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J209" i="12" s="1"/>
  <c r="G209" i="7"/>
  <c r="C209" i="7"/>
  <c r="M208" i="7"/>
  <c r="I208" i="7"/>
  <c r="I208" i="12" s="1"/>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J207" i="12" s="1"/>
  <c r="O207" i="7"/>
  <c r="D207" i="7"/>
  <c r="E207" i="7"/>
  <c r="I207" i="7"/>
  <c r="I207" i="12" s="1"/>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K210" i="12" s="1"/>
  <c r="H210" i="7"/>
  <c r="H210" i="12" s="1"/>
  <c r="D210" i="7"/>
  <c r="N209" i="7"/>
  <c r="J209" i="7"/>
  <c r="F209" i="7"/>
  <c r="B209" i="7"/>
  <c r="L208" i="7"/>
  <c r="H208" i="7"/>
  <c r="H208" i="12" s="1"/>
  <c r="B208" i="7"/>
  <c r="H207" i="7"/>
  <c r="F205" i="7"/>
  <c r="D204" i="7"/>
  <c r="B203" i="7"/>
  <c r="N201" i="7"/>
  <c r="L200" i="7"/>
  <c r="K200" i="12" s="1"/>
  <c r="J199" i="7"/>
  <c r="F197" i="7"/>
  <c r="D196" i="7"/>
  <c r="B195" i="7"/>
  <c r="N193" i="7"/>
  <c r="L192" i="7"/>
  <c r="K192" i="12" s="1"/>
  <c r="J191" i="7"/>
  <c r="Q202" i="3"/>
  <c r="M202"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J210" i="12" s="1"/>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D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C210" i="12"/>
  <c r="G210" i="12"/>
  <c r="D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Q212" i="2"/>
  <c r="M211" i="2"/>
  <c r="D211" i="2"/>
  <c r="R209" i="2"/>
  <c r="S208" i="2"/>
  <c r="P206" i="2"/>
  <c r="B206" i="2"/>
  <c r="L205" i="2"/>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N205" i="2" l="1"/>
  <c r="O205" i="2" s="1"/>
  <c r="J213" i="2"/>
  <c r="K213" i="2" s="1"/>
  <c r="M198" i="3"/>
  <c r="L198" i="3"/>
  <c r="Q203" i="3"/>
  <c r="B203" i="3"/>
  <c r="Q198" i="3"/>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H205" i="3" s="1"/>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E204" i="3"/>
  <c r="G188" i="14"/>
  <c r="G204" i="14"/>
  <c r="H192" i="3"/>
  <c r="G195" i="14"/>
  <c r="E196" i="3"/>
  <c r="G192" i="14"/>
  <c r="E200" i="3"/>
  <c r="K199" i="3"/>
  <c r="K202" i="3"/>
  <c r="J208" i="2"/>
  <c r="K208" i="2" s="1"/>
  <c r="G196" i="14"/>
  <c r="G203" i="14"/>
  <c r="G201" i="14"/>
  <c r="E192" i="3"/>
  <c r="E208" i="3"/>
  <c r="K189" i="3"/>
  <c r="K197" i="3"/>
  <c r="H189"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102" i="18"/>
  <c r="K206" i="3" l="1"/>
  <c r="K209" i="3"/>
  <c r="H194" i="3"/>
  <c r="K201" i="3"/>
  <c r="H209" i="3"/>
  <c r="K204" i="3"/>
  <c r="H206" i="3"/>
  <c r="K198" i="3"/>
  <c r="K195" i="3"/>
  <c r="K193" i="3"/>
  <c r="E195" i="3"/>
  <c r="E198" i="3"/>
  <c r="H195" i="3"/>
  <c r="E207" i="3"/>
  <c r="K205" i="3"/>
  <c r="H207" i="3"/>
  <c r="E206" i="3"/>
  <c r="F115" i="18"/>
  <c r="F126" i="18"/>
  <c r="F67" i="18"/>
  <c r="F63" i="18"/>
  <c r="F89" i="18"/>
  <c r="F53" i="18"/>
  <c r="F82" i="18"/>
  <c r="F83" i="18"/>
  <c r="F103" i="18"/>
  <c r="F10" i="18"/>
  <c r="F58" i="18"/>
  <c r="F191" i="18"/>
  <c r="F132" i="18"/>
  <c r="F143" i="18"/>
  <c r="F86" i="18"/>
  <c r="F105" i="18"/>
  <c r="F210" i="18"/>
  <c r="F180" i="18"/>
  <c r="F44" i="18"/>
  <c r="F101" i="18"/>
  <c r="F87" i="18"/>
  <c r="F175" i="18"/>
  <c r="F155" i="18"/>
  <c r="F22" i="18"/>
  <c r="F33" i="18"/>
  <c r="F182" i="18"/>
  <c r="F46" i="18"/>
  <c r="F202" i="18"/>
  <c r="F162" i="18"/>
  <c r="F54" i="18"/>
  <c r="F80" i="18"/>
  <c r="F39" i="18"/>
  <c r="F160" i="18"/>
  <c r="F133" i="18"/>
  <c r="F208" i="18"/>
  <c r="F167" i="18"/>
  <c r="F137" i="18"/>
  <c r="F21" i="18"/>
  <c r="F129" i="18"/>
  <c r="F109" i="18"/>
  <c r="F113" i="18"/>
  <c r="F32" i="18"/>
  <c r="F41" i="18"/>
  <c r="F145" i="18"/>
  <c r="F72" i="18"/>
  <c r="F96" i="18"/>
  <c r="F42" i="18"/>
  <c r="F34" i="18"/>
  <c r="F136" i="18"/>
  <c r="F95" i="18"/>
  <c r="F151" i="18"/>
  <c r="F131" i="18"/>
  <c r="F204" i="18"/>
  <c r="F81" i="18"/>
  <c r="F212" i="18"/>
  <c r="F209" i="18"/>
  <c r="F179" i="18"/>
  <c r="F120" i="18"/>
  <c r="F111" i="18"/>
  <c r="F121" i="18"/>
  <c r="F205" i="18"/>
  <c r="F13" i="18"/>
  <c r="F48" i="18"/>
  <c r="F138" i="18"/>
  <c r="F207" i="18"/>
  <c r="F78" i="18"/>
  <c r="F166" i="18"/>
  <c r="F110" i="18"/>
  <c r="F198" i="18"/>
  <c r="F144" i="18"/>
  <c r="F52" i="18"/>
  <c r="F188" i="18"/>
  <c r="F134" i="18"/>
  <c r="F211" i="18"/>
  <c r="F184" i="18"/>
  <c r="F118" i="18"/>
  <c r="F147" i="18"/>
  <c r="F38" i="18"/>
  <c r="F185" i="18"/>
  <c r="F200" i="18"/>
  <c r="F92" i="18"/>
  <c r="F88" i="18"/>
  <c r="F177" i="18"/>
  <c r="F49" i="18"/>
  <c r="F114" i="18"/>
  <c r="F29" i="18"/>
  <c r="F169" i="18"/>
  <c r="F43" i="18"/>
  <c r="F31" i="18"/>
  <c r="F171" i="18"/>
  <c r="F203" i="18"/>
  <c r="F93" i="18"/>
  <c r="F11" i="18"/>
  <c r="F152" i="18"/>
  <c r="F189" i="18"/>
  <c r="F99" i="18"/>
  <c r="F30" i="18"/>
  <c r="F149" i="18"/>
  <c r="F108" i="18"/>
  <c r="F168" i="18"/>
  <c r="F28" i="18"/>
  <c r="F201" i="18"/>
  <c r="F73" i="18"/>
  <c r="F193" i="18"/>
  <c r="F94" i="18"/>
  <c r="F23" i="18"/>
  <c r="F60" i="18"/>
  <c r="F8" i="18"/>
  <c r="F90" i="18"/>
  <c r="F91" i="18"/>
  <c r="F84" i="18"/>
  <c r="F26" i="18"/>
  <c r="F124" i="18"/>
  <c r="F146" i="18"/>
  <c r="F127" i="18"/>
  <c r="F6" i="18"/>
  <c r="F57" i="18"/>
  <c r="F148" i="18"/>
  <c r="F74" i="18"/>
  <c r="F15" i="18"/>
  <c r="F170" i="18"/>
  <c r="F122" i="18"/>
  <c r="F45" i="18"/>
  <c r="F173" i="18"/>
  <c r="F176" i="18"/>
  <c r="F153" i="18"/>
  <c r="F24" i="18"/>
  <c r="F55" i="18"/>
  <c r="F119" i="18"/>
  <c r="F125" i="18"/>
  <c r="F9" i="18"/>
  <c r="F37" i="18"/>
  <c r="F112" i="18"/>
  <c r="F116" i="18"/>
  <c r="F75" i="18"/>
  <c r="F172" i="18"/>
  <c r="F98" i="18"/>
  <c r="F76" i="18"/>
  <c r="F196" i="18"/>
  <c r="F61" i="18"/>
  <c r="F199" i="18"/>
  <c r="F56" i="18"/>
  <c r="F70" i="18"/>
  <c r="F157" i="18"/>
  <c r="F154" i="18"/>
  <c r="F140" i="18"/>
  <c r="F117" i="18"/>
  <c r="F139" i="18"/>
  <c r="F17" i="18"/>
  <c r="F51" i="18"/>
  <c r="F123" i="18"/>
  <c r="F18" i="18"/>
  <c r="F164" i="18"/>
  <c r="F135" i="18"/>
  <c r="F14" i="18"/>
  <c r="F65" i="18"/>
  <c r="F190" i="18"/>
  <c r="F161" i="18"/>
  <c r="F206" i="18"/>
  <c r="F174" i="18"/>
  <c r="F66" i="18"/>
  <c r="F163" i="18"/>
  <c r="F100" i="18"/>
  <c r="F141" i="18"/>
  <c r="F181" i="18"/>
  <c r="F197" i="18"/>
  <c r="F187" i="18"/>
  <c r="F158" i="18"/>
  <c r="F64" i="18"/>
  <c r="F7" i="18"/>
  <c r="F104" i="18"/>
  <c r="F68" i="18"/>
  <c r="F85" i="18"/>
  <c r="F50" i="18"/>
  <c r="F192" i="18"/>
  <c r="F16" i="18"/>
  <c r="F59" i="18"/>
  <c r="F107" i="18"/>
  <c r="F159" i="18"/>
  <c r="F130" i="18"/>
  <c r="F150" i="18"/>
  <c r="F5" i="18"/>
  <c r="F195" i="18"/>
  <c r="F183" i="18"/>
  <c r="F47" i="18"/>
  <c r="F20" i="18"/>
  <c r="F79" i="18"/>
  <c r="F186" i="18"/>
  <c r="F156" i="18"/>
  <c r="E104"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87" i="18"/>
  <c r="E211" i="18"/>
  <c r="E41" i="18"/>
  <c r="E143" i="18"/>
  <c r="E107" i="18"/>
  <c r="E13" i="18"/>
  <c r="E197" i="18"/>
  <c r="E131" i="18"/>
  <c r="E62" i="18"/>
  <c r="E179" i="18"/>
  <c r="E144" i="18"/>
  <c r="E192" i="18"/>
  <c r="E198" i="18"/>
  <c r="E123" i="18"/>
  <c r="E203" i="18"/>
  <c r="E180" i="18"/>
  <c r="E186" i="18"/>
  <c r="E124" i="18"/>
  <c r="E64" i="18"/>
  <c r="E129" i="18"/>
  <c r="E115" i="18"/>
  <c r="E187" i="18"/>
  <c r="E18" i="18"/>
  <c r="E61" i="18"/>
  <c r="E73" i="18"/>
  <c r="E206" i="18"/>
  <c r="E12" i="18"/>
  <c r="E121" i="18"/>
  <c r="E127" i="18"/>
  <c r="E89" i="18"/>
  <c r="E169" i="18"/>
  <c r="E170" i="18"/>
  <c r="E81" i="18"/>
  <c r="E171" i="18"/>
  <c r="E156" i="18"/>
  <c r="E84" i="18"/>
  <c r="E212" i="18"/>
  <c r="E28" i="18"/>
  <c r="E208" i="18"/>
  <c r="E181" i="18"/>
  <c r="E109" i="18"/>
  <c r="E113" i="18"/>
  <c r="E32" i="18"/>
  <c r="E138" i="18"/>
  <c r="E145" i="18"/>
  <c r="E68" i="18"/>
  <c r="E60" i="18"/>
  <c r="E163" i="18"/>
  <c r="E30" i="18"/>
  <c r="E168" i="18"/>
  <c r="E185" i="18"/>
  <c r="E23" i="18"/>
  <c r="E94" i="18"/>
  <c r="E190" i="18"/>
  <c r="E46" i="18"/>
  <c r="E200" i="18"/>
  <c r="E158" i="18"/>
  <c r="E177" i="18"/>
  <c r="E38" i="18"/>
  <c r="E5" i="18"/>
  <c r="E112" i="18"/>
  <c r="E136" i="18"/>
  <c r="E151" i="18"/>
  <c r="E125" i="18"/>
  <c r="E33" i="18"/>
  <c r="E56" i="18"/>
  <c r="E100" i="18"/>
  <c r="E53" i="18"/>
  <c r="E50" i="18"/>
  <c r="E85" i="18"/>
  <c r="E44" i="18"/>
  <c r="E201" i="18"/>
  <c r="E184" i="18"/>
  <c r="E205" i="18"/>
  <c r="E80" i="18"/>
  <c r="E183" i="18"/>
  <c r="E204" i="18"/>
  <c r="E11" i="18"/>
  <c r="E10" i="18"/>
  <c r="E22" i="18"/>
  <c r="E26" i="18"/>
  <c r="E54" i="18"/>
  <c r="E133" i="18"/>
  <c r="E157" i="18"/>
  <c r="E99" i="18"/>
  <c r="E48" i="18"/>
  <c r="E49" i="18"/>
  <c r="E79" i="18"/>
  <c r="E166" i="18"/>
  <c r="E209" i="18"/>
  <c r="E176" i="18"/>
  <c r="E152" i="18"/>
  <c r="E153" i="18"/>
  <c r="E59" i="18"/>
  <c r="E162" i="18"/>
  <c r="E160" i="18"/>
  <c r="E29" i="18"/>
  <c r="E67" i="18"/>
  <c r="E117" i="18"/>
  <c r="E15" i="18"/>
  <c r="E207" i="18"/>
  <c r="E65" i="18"/>
  <c r="E39" i="18"/>
  <c r="E164" i="18"/>
  <c r="E105" i="18"/>
  <c r="E72" i="18"/>
  <c r="E90" i="18"/>
  <c r="E78" i="18"/>
  <c r="E114" i="18"/>
  <c r="E17" i="18"/>
  <c r="E91" i="18"/>
  <c r="E63" i="18"/>
  <c r="E7" i="18"/>
  <c r="E110" i="18"/>
  <c r="E155" i="18"/>
  <c r="E130" i="18"/>
  <c r="E31" i="18"/>
  <c r="E148" i="18"/>
  <c r="E191" i="18"/>
  <c r="E70" i="18"/>
  <c r="E193" i="18"/>
  <c r="E195" i="18"/>
  <c r="E149" i="18"/>
  <c r="E51" i="18"/>
  <c r="E118" i="18"/>
  <c r="E88" i="18"/>
  <c r="E194" i="18"/>
  <c r="F194" i="18"/>
  <c r="E43" i="18"/>
  <c r="E126" i="18"/>
  <c r="E146" i="18"/>
  <c r="E188" i="18"/>
  <c r="E47" i="18"/>
  <c r="E58" i="18"/>
  <c r="E52" i="18"/>
  <c r="E173" i="18"/>
  <c r="E9" i="18"/>
  <c r="E76" i="18"/>
  <c r="E74" i="18"/>
  <c r="E122" i="18"/>
  <c r="E172" i="18"/>
  <c r="E111" i="18"/>
  <c r="E120" i="18"/>
  <c r="E45" i="18"/>
  <c r="E196" i="18"/>
  <c r="E93" i="18"/>
  <c r="E147" i="18"/>
  <c r="E119" i="18"/>
  <c r="E24" i="18"/>
  <c r="E55" i="18"/>
  <c r="E134" i="18"/>
  <c r="E108" i="18"/>
  <c r="E182" i="18"/>
  <c r="E154" i="18"/>
  <c r="E210" i="18"/>
  <c r="E150" i="18"/>
  <c r="E161" i="18"/>
  <c r="E42" i="18"/>
  <c r="E20" i="18"/>
  <c r="E21" i="18"/>
  <c r="E139" i="18"/>
  <c r="E37" i="18"/>
  <c r="E86" i="18"/>
  <c r="E189" i="18"/>
  <c r="E137" i="18"/>
  <c r="E75" i="18"/>
  <c r="E103" i="18"/>
  <c r="E82" i="18"/>
  <c r="E101" i="18"/>
  <c r="E116" i="18"/>
  <c r="E202" i="18"/>
  <c r="E132" i="18"/>
  <c r="E98" i="18"/>
  <c r="E167" i="18"/>
  <c r="E83" i="18"/>
  <c r="E14" i="18"/>
  <c r="E95" i="18"/>
  <c r="E135" i="18"/>
  <c r="E6" i="18"/>
  <c r="E92" i="18"/>
  <c r="E141" i="18"/>
  <c r="E16" i="18"/>
  <c r="E140" i="18"/>
  <c r="E96" i="18"/>
  <c r="E142"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I4" i="21" s="1"/>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H3" i="21" s="1"/>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56" i="2"/>
  <c r="C257" i="2"/>
  <c r="D257" i="2"/>
  <c r="C258" i="2"/>
  <c r="D258" i="2"/>
  <c r="C259" i="2"/>
  <c r="D259" i="2"/>
  <c r="C260" i="2"/>
  <c r="D260"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4" i="21" s="1"/>
  <c r="C256" i="2"/>
  <c r="F256"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59" i="2"/>
  <c r="O32" i="3"/>
  <c r="N69" i="3"/>
  <c r="O93" i="5"/>
  <c r="L145" i="10"/>
  <c r="I33" i="10"/>
  <c r="I18" i="8"/>
  <c r="C84" i="14"/>
  <c r="O73" i="5"/>
  <c r="F167" i="12"/>
  <c r="F161" i="14"/>
  <c r="M167" i="6"/>
  <c r="K132" i="10"/>
  <c r="M109" i="6"/>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O175" i="12" s="1"/>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E13" i="5" s="1"/>
  <c r="F13" i="5" s="1"/>
  <c r="G13" i="5" s="1"/>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K58" i="12" s="1"/>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F4" i="21" s="1"/>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F124" i="2" s="1"/>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F73" i="3"/>
  <c r="L71" i="3"/>
  <c r="Q70" i="3"/>
  <c r="Q69" i="3"/>
  <c r="J69" i="3"/>
  <c r="C69" i="3"/>
  <c r="I67" i="3"/>
  <c r="Q66" i="3"/>
  <c r="J66" i="3"/>
  <c r="Q65" i="3"/>
  <c r="M63" i="3"/>
  <c r="D63" i="3"/>
  <c r="O60" i="3"/>
  <c r="J60" i="3"/>
  <c r="D60" i="3"/>
  <c r="Q59" i="3"/>
  <c r="Q58" i="3"/>
  <c r="L58" i="3"/>
  <c r="D58" i="3"/>
  <c r="N56" i="3"/>
  <c r="I56" i="3"/>
  <c r="D56" i="3"/>
  <c r="E56" i="3" s="1"/>
  <c r="Q55" i="3"/>
  <c r="G55" i="3"/>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N184" i="12" s="1"/>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R168" i="12" s="1"/>
  <c r="C168" i="6"/>
  <c r="J163" i="6"/>
  <c r="E163" i="6"/>
  <c r="I162" i="6"/>
  <c r="M162" i="12" s="1"/>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R127" i="12" s="1"/>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R91" i="12" s="1"/>
  <c r="E91" i="6"/>
  <c r="J89" i="6"/>
  <c r="I88" i="6"/>
  <c r="Q88" i="12" s="1"/>
  <c r="C86" i="6"/>
  <c r="M86" i="6"/>
  <c r="E86" i="6"/>
  <c r="D83" i="6"/>
  <c r="H83" i="6"/>
  <c r="P83" i="12" s="1"/>
  <c r="L83" i="6"/>
  <c r="B83" i="6"/>
  <c r="F83" i="6"/>
  <c r="J83" i="6"/>
  <c r="N83" i="6"/>
  <c r="O79" i="6"/>
  <c r="G79" i="6"/>
  <c r="K75" i="6"/>
  <c r="S75" i="12" s="1"/>
  <c r="D71" i="6"/>
  <c r="H71" i="6"/>
  <c r="L71" i="12" s="1"/>
  <c r="L71" i="6"/>
  <c r="O71" i="12" s="1"/>
  <c r="B71" i="6"/>
  <c r="F71" i="6"/>
  <c r="J71" i="6"/>
  <c r="N71" i="6"/>
  <c r="L65" i="6"/>
  <c r="O65" i="12" s="1"/>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M133" i="12" s="1"/>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S59" i="12" s="1"/>
  <c r="G59" i="6"/>
  <c r="L55" i="6"/>
  <c r="O55" i="12" s="1"/>
  <c r="H55" i="6"/>
  <c r="D55" i="6"/>
  <c r="D51" i="6"/>
  <c r="H51" i="6"/>
  <c r="P51" i="12" s="1"/>
  <c r="L51" i="6"/>
  <c r="O51" i="12" s="1"/>
  <c r="C50" i="6"/>
  <c r="L50" i="5" s="1"/>
  <c r="N50" i="6"/>
  <c r="L48" i="6"/>
  <c r="O48" i="12" s="1"/>
  <c r="M47" i="6"/>
  <c r="H47" i="6"/>
  <c r="P47" i="12" s="1"/>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O35" i="12" s="1"/>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H22" i="6"/>
  <c r="P22" i="12" s="1"/>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R17" i="12" s="1"/>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57"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G37" i="14" s="1"/>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61" i="2"/>
  <c r="B192" i="2"/>
  <c r="R192" i="2"/>
  <c r="D192" i="2"/>
  <c r="H192" i="2"/>
  <c r="L192" i="2"/>
  <c r="P192" i="2"/>
  <c r="E260"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P160" i="2"/>
  <c r="C160" i="2"/>
  <c r="F160" i="2" s="1"/>
  <c r="H160" i="2"/>
  <c r="M160" i="2"/>
  <c r="S160" i="2"/>
  <c r="D158" i="2"/>
  <c r="H158" i="2"/>
  <c r="L158" i="2"/>
  <c r="P158" i="2"/>
  <c r="B158" i="2"/>
  <c r="M158" i="2"/>
  <c r="R158" i="2"/>
  <c r="E158" i="2"/>
  <c r="Q156" i="2"/>
  <c r="Q154" i="2"/>
  <c r="B152" i="2"/>
  <c r="R152" i="2"/>
  <c r="E152" i="2"/>
  <c r="P152" i="2"/>
  <c r="C152" i="2"/>
  <c r="H152" i="2"/>
  <c r="M152" i="2"/>
  <c r="S152" i="2"/>
  <c r="D150" i="2"/>
  <c r="H150" i="2"/>
  <c r="L150" i="2"/>
  <c r="P150" i="2"/>
  <c r="D3" i="21" s="1"/>
  <c r="B150" i="2"/>
  <c r="M150" i="2"/>
  <c r="R150" i="2"/>
  <c r="E3" i="21" s="1"/>
  <c r="E150" i="2"/>
  <c r="Q148" i="2"/>
  <c r="Q146" i="2"/>
  <c r="B144" i="2"/>
  <c r="R144" i="2"/>
  <c r="E144" i="2"/>
  <c r="G144" i="2" s="1"/>
  <c r="P144" i="2"/>
  <c r="C144" i="2"/>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58" i="2"/>
  <c r="L164" i="2"/>
  <c r="D162" i="2"/>
  <c r="H162" i="2"/>
  <c r="L162" i="2"/>
  <c r="P162" i="2"/>
  <c r="E162" i="2"/>
  <c r="B162" i="2"/>
  <c r="M162" i="2"/>
  <c r="R162" i="2"/>
  <c r="L156" i="2"/>
  <c r="D154" i="2"/>
  <c r="I3" i="21" s="1"/>
  <c r="H154" i="2"/>
  <c r="B3" i="21" s="1"/>
  <c r="L154" i="2"/>
  <c r="P154" i="2"/>
  <c r="E154" i="2"/>
  <c r="J3" i="21" s="1"/>
  <c r="B154" i="2"/>
  <c r="M154" i="2"/>
  <c r="R154" i="2"/>
  <c r="B148" i="2"/>
  <c r="R148" i="2"/>
  <c r="C148" i="2"/>
  <c r="H148" i="2"/>
  <c r="M148" i="2"/>
  <c r="S148" i="2"/>
  <c r="E148" i="2"/>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H4" i="21" s="1"/>
  <c r="S38" i="2"/>
  <c r="E38" i="2"/>
  <c r="J4" i="21" s="1"/>
  <c r="P38" i="2"/>
  <c r="D4" i="21" s="1"/>
  <c r="B38" i="2"/>
  <c r="H38" i="2"/>
  <c r="B4" i="21" s="1"/>
  <c r="M38" i="2"/>
  <c r="R38" i="2"/>
  <c r="E4" i="21" s="1"/>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61"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O40" i="12"/>
  <c r="M46" i="12"/>
  <c r="M74" i="12"/>
  <c r="M78" i="12"/>
  <c r="O61"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P119" i="12"/>
  <c r="R111" i="12"/>
  <c r="O109" i="6"/>
  <c r="K109" i="6"/>
  <c r="G109" i="6"/>
  <c r="C109" i="6"/>
  <c r="O105" i="6"/>
  <c r="K105" i="6"/>
  <c r="S105" i="12" s="1"/>
  <c r="G105" i="6"/>
  <c r="C105" i="6"/>
  <c r="S103" i="12"/>
  <c r="R103" i="12"/>
  <c r="O101" i="6"/>
  <c r="K101" i="6"/>
  <c r="S101" i="12" s="1"/>
  <c r="G101" i="6"/>
  <c r="C101" i="6"/>
  <c r="O97" i="6"/>
  <c r="K97" i="6"/>
  <c r="S97" i="12" s="1"/>
  <c r="G97" i="6"/>
  <c r="C97" i="6"/>
  <c r="L97" i="5" s="1"/>
  <c r="S95" i="12"/>
  <c r="O93" i="6"/>
  <c r="K93" i="6"/>
  <c r="N93" i="12" s="1"/>
  <c r="G93" i="6"/>
  <c r="C93" i="6"/>
  <c r="O89" i="6"/>
  <c r="K89" i="6"/>
  <c r="N89" i="12" s="1"/>
  <c r="G89" i="6"/>
  <c r="C89" i="6"/>
  <c r="L89" i="5" s="1"/>
  <c r="O85" i="6"/>
  <c r="K85" i="6"/>
  <c r="N85" i="12" s="1"/>
  <c r="G85" i="6"/>
  <c r="C85" i="6"/>
  <c r="L85" i="5" s="1"/>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E166" i="12"/>
  <c r="S164"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E59" i="12"/>
  <c r="B59" i="12"/>
  <c r="Q51" i="12"/>
  <c r="F51" i="12"/>
  <c r="D64" i="12"/>
  <c r="B62" i="12"/>
  <c r="F62" i="12"/>
  <c r="R62" i="12"/>
  <c r="C55" i="12"/>
  <c r="G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D16" i="12"/>
  <c r="B12" i="12"/>
  <c r="F12" i="12"/>
  <c r="D12" i="12"/>
  <c r="B8" i="12"/>
  <c r="F8" i="12"/>
  <c r="D8" i="12"/>
  <c r="G35" i="12"/>
  <c r="G31"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F3" i="21" s="1"/>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G3" i="21" s="1"/>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D72" i="14"/>
  <c r="F70" i="14"/>
  <c r="B70" i="14"/>
  <c r="D68" i="14"/>
  <c r="F66" i="14"/>
  <c r="B66" i="14"/>
  <c r="D64" i="14"/>
  <c r="E62" i="14"/>
  <c r="B59" i="14"/>
  <c r="E56" i="14"/>
  <c r="C52" i="14"/>
  <c r="E51" i="14"/>
  <c r="B50" i="14"/>
  <c r="G50" i="14" s="1"/>
  <c r="F50" i="14"/>
  <c r="B48" i="14"/>
  <c r="B44" i="14"/>
  <c r="G44" i="14" s="1"/>
  <c r="F44" i="14"/>
  <c r="D44" i="14"/>
  <c r="D38" i="14"/>
  <c r="B38" i="14"/>
  <c r="F38" i="14"/>
  <c r="B28" i="14"/>
  <c r="F28" i="14"/>
  <c r="D28" i="14"/>
  <c r="D22" i="14"/>
  <c r="B22" i="14"/>
  <c r="F22" i="14"/>
  <c r="B54" i="14"/>
  <c r="F54" i="14"/>
  <c r="D42" i="14"/>
  <c r="B42" i="14"/>
  <c r="F42" i="14"/>
  <c r="E40"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G4" i="21" s="1"/>
  <c r="F34" i="14"/>
  <c r="E32" i="14"/>
  <c r="B24" i="14"/>
  <c r="F24" i="14"/>
  <c r="D24" i="14"/>
  <c r="D20" i="14"/>
  <c r="F18" i="14"/>
  <c r="B18" i="14"/>
  <c r="G18" i="14" s="1"/>
  <c r="D16" i="14"/>
  <c r="F14" i="14"/>
  <c r="B14" i="14"/>
  <c r="G14" i="14" s="1"/>
  <c r="D12" i="14"/>
  <c r="F10" i="14"/>
  <c r="B10" i="14"/>
  <c r="D8" i="14"/>
  <c r="F20" i="14"/>
  <c r="D18" i="14"/>
  <c r="F16" i="14"/>
  <c r="D14" i="14"/>
  <c r="F12" i="14"/>
  <c r="D10" i="14"/>
  <c r="F8" i="14"/>
  <c r="N133" i="2" l="1"/>
  <c r="O133" i="2" s="1"/>
  <c r="M61" i="12"/>
  <c r="Q162" i="12"/>
  <c r="L147" i="5"/>
  <c r="M147" i="5" s="1"/>
  <c r="L22" i="12"/>
  <c r="R59" i="12"/>
  <c r="S168" i="12"/>
  <c r="S91" i="12"/>
  <c r="S127" i="12"/>
  <c r="G160" i="2"/>
  <c r="Q73" i="12"/>
  <c r="H47" i="3"/>
  <c r="E87" i="3"/>
  <c r="J115" i="2"/>
  <c r="K115" i="2" s="1"/>
  <c r="G38" i="14"/>
  <c r="G74" i="14"/>
  <c r="G184" i="14"/>
  <c r="R16" i="12"/>
  <c r="S27" i="12"/>
  <c r="R12" i="12"/>
  <c r="J158" i="2"/>
  <c r="K158" i="2" s="1"/>
  <c r="F144" i="2"/>
  <c r="K111" i="3"/>
  <c r="K130" i="3"/>
  <c r="K3" i="21"/>
  <c r="N152" i="2"/>
  <c r="O152" i="2" s="1"/>
  <c r="H114" i="3"/>
  <c r="J57" i="2"/>
  <c r="K57" i="2" s="1"/>
  <c r="E55" i="5"/>
  <c r="F55" i="5" s="1"/>
  <c r="G55" i="5" s="1"/>
  <c r="E77" i="5"/>
  <c r="L67" i="5"/>
  <c r="M67" i="5" s="1"/>
  <c r="E56" i="5"/>
  <c r="E92" i="5"/>
  <c r="F92" i="5" s="1"/>
  <c r="G92" i="5" s="1"/>
  <c r="L109" i="5"/>
  <c r="M109" i="5" s="1"/>
  <c r="E116" i="5"/>
  <c r="F116" i="5" s="1"/>
  <c r="G116" i="5" s="1"/>
  <c r="L75" i="5"/>
  <c r="M75" i="5" s="1"/>
  <c r="L72" i="5"/>
  <c r="M72" i="5" s="1"/>
  <c r="E72" i="5"/>
  <c r="E68" i="5"/>
  <c r="F68" i="5" s="1"/>
  <c r="G68" i="5" s="1"/>
  <c r="L92" i="5"/>
  <c r="E93" i="5"/>
  <c r="F93" i="5" s="1"/>
  <c r="G93" i="5" s="1"/>
  <c r="L56" i="5"/>
  <c r="M56" i="5" s="1"/>
  <c r="L54" i="5"/>
  <c r="M54" i="5" s="1"/>
  <c r="L64" i="5"/>
  <c r="M64" i="5" s="1"/>
  <c r="E33" i="5"/>
  <c r="F33" i="5" s="1"/>
  <c r="G33" i="5" s="1"/>
  <c r="B6" i="28"/>
  <c r="L22" i="5"/>
  <c r="M22" i="5" s="1"/>
  <c r="E123" i="5"/>
  <c r="F123" i="5" s="1"/>
  <c r="G123" i="5" s="1"/>
  <c r="E140" i="5"/>
  <c r="F140" i="5" s="1"/>
  <c r="G140" i="5" s="1"/>
  <c r="G143" i="14"/>
  <c r="F147" i="2"/>
  <c r="G147" i="2"/>
  <c r="G148" i="2"/>
  <c r="F148" i="2"/>
  <c r="E162" i="5"/>
  <c r="F162" i="5" s="1"/>
  <c r="G162" i="5" s="1"/>
  <c r="L118" i="5"/>
  <c r="M118" i="5" s="1"/>
  <c r="E157" i="5"/>
  <c r="F157" i="5" s="1"/>
  <c r="G157" i="5" s="1"/>
  <c r="E151" i="5"/>
  <c r="E145" i="5"/>
  <c r="F145" i="5" s="1"/>
  <c r="G145" i="5" s="1"/>
  <c r="G125" i="14"/>
  <c r="P107" i="5"/>
  <c r="P137" i="5"/>
  <c r="J13" i="2"/>
  <c r="K13" i="2" s="1"/>
  <c r="E101" i="5"/>
  <c r="F101" i="5" s="1"/>
  <c r="G101" i="5" s="1"/>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31" i="11"/>
  <c r="E232" i="11" s="1"/>
  <c r="J231" i="11"/>
  <c r="H231" i="11"/>
  <c r="H232" i="11" s="1"/>
  <c r="N120" i="2"/>
  <c r="O120" i="2" s="1"/>
  <c r="D231" i="11"/>
  <c r="G231" i="11"/>
  <c r="I241" i="2"/>
  <c r="H241" i="2"/>
  <c r="K231" i="11"/>
  <c r="K232" i="11" s="1"/>
  <c r="M231" i="11"/>
  <c r="N231" i="11"/>
  <c r="N232" i="11" s="1"/>
  <c r="I64" i="8"/>
  <c r="F64" i="8"/>
  <c r="F65" i="8" s="1"/>
  <c r="C8" i="28"/>
  <c r="E50" i="5"/>
  <c r="E64" i="8"/>
  <c r="E65" i="8" s="1"/>
  <c r="E64" i="5"/>
  <c r="H64" i="8"/>
  <c r="H13" i="3"/>
  <c r="H36" i="3"/>
  <c r="E7" i="5"/>
  <c r="F7" i="5" s="1"/>
  <c r="G7" i="5" s="1"/>
  <c r="G236" i="3"/>
  <c r="G237" i="3" s="1"/>
  <c r="E81" i="5"/>
  <c r="E84" i="5"/>
  <c r="F84" i="5" s="1"/>
  <c r="G84" i="5" s="1"/>
  <c r="E21" i="5"/>
  <c r="F21" i="5" s="1"/>
  <c r="G21" i="5" s="1"/>
  <c r="E51" i="5"/>
  <c r="F51" i="5" s="1"/>
  <c r="G51" i="5" s="1"/>
  <c r="E76" i="5"/>
  <c r="F76" i="5" s="1"/>
  <c r="G76" i="5" s="1"/>
  <c r="I236" i="3"/>
  <c r="J236" i="3"/>
  <c r="J237" i="3" s="1"/>
  <c r="E132" i="5"/>
  <c r="F132" i="5" s="1"/>
  <c r="G132" i="5" s="1"/>
  <c r="H43" i="3"/>
  <c r="F236" i="3"/>
  <c r="E149" i="5"/>
  <c r="F149" i="5" s="1"/>
  <c r="G149" i="5" s="1"/>
  <c r="E19" i="5"/>
  <c r="F19" i="5" s="1"/>
  <c r="G19" i="5" s="1"/>
  <c r="E233" i="6"/>
  <c r="C233" i="6"/>
  <c r="S7" i="12"/>
  <c r="L233" i="6"/>
  <c r="M7" i="12"/>
  <c r="I233" i="6"/>
  <c r="L7" i="12"/>
  <c r="H233" i="6"/>
  <c r="F233" i="6"/>
  <c r="G233" i="6" s="1"/>
  <c r="N233" i="6"/>
  <c r="O233" i="6" s="1"/>
  <c r="B233" i="6"/>
  <c r="K233"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F134" i="5" s="1"/>
  <c r="G134" i="5" s="1"/>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M160" i="5" s="1"/>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H54" i="12" s="1"/>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I98" i="12" s="1"/>
  <c r="E80" i="7"/>
  <c r="G117" i="7"/>
  <c r="M164" i="7"/>
  <c r="O13" i="7"/>
  <c r="N68" i="7"/>
  <c r="L183" i="7"/>
  <c r="I13" i="7"/>
  <c r="I13" i="12" s="1"/>
  <c r="K91" i="7"/>
  <c r="G96" i="14"/>
  <c r="N62" i="12"/>
  <c r="Q27" i="12"/>
  <c r="K98" i="7"/>
  <c r="J98" i="12" s="1"/>
  <c r="I35" i="7"/>
  <c r="I35" i="12" s="1"/>
  <c r="J53" i="7"/>
  <c r="D35" i="7"/>
  <c r="E90" i="3"/>
  <c r="K122" i="3"/>
  <c r="K156" i="3"/>
  <c r="L25" i="7"/>
  <c r="K25" i="12" s="1"/>
  <c r="K20" i="3"/>
  <c r="K88" i="7"/>
  <c r="F134" i="7"/>
  <c r="M158" i="7"/>
  <c r="O155" i="7"/>
  <c r="B183" i="7"/>
  <c r="I96" i="7"/>
  <c r="I96" i="12" s="1"/>
  <c r="O88" i="7"/>
  <c r="H134" i="7"/>
  <c r="H134" i="12" s="1"/>
  <c r="G35" i="7"/>
  <c r="E28" i="3"/>
  <c r="D33" i="7"/>
  <c r="L104" i="12"/>
  <c r="R24" i="12"/>
  <c r="N156" i="12"/>
  <c r="L135" i="12"/>
  <c r="I90" i="7"/>
  <c r="I90" i="12" s="1"/>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49" i="2"/>
  <c r="L10" i="7"/>
  <c r="K10" i="12" s="1"/>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F128" i="5" s="1"/>
  <c r="G128" i="5" s="1"/>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48"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K127" i="12" s="1"/>
  <c r="D51" i="7"/>
  <c r="C62" i="7"/>
  <c r="B188" i="7"/>
  <c r="H170" i="7"/>
  <c r="J49" i="2"/>
  <c r="K49" i="2" s="1"/>
  <c r="F89" i="2"/>
  <c r="N105" i="2"/>
  <c r="O105" i="2" s="1"/>
  <c r="P108" i="5"/>
  <c r="I15" i="7"/>
  <c r="I15" i="12" s="1"/>
  <c r="O8" i="7"/>
  <c r="F51" i="7"/>
  <c r="D16" i="7"/>
  <c r="O24" i="7"/>
  <c r="N91" i="7"/>
  <c r="E60" i="7"/>
  <c r="C84" i="7"/>
  <c r="I118" i="7"/>
  <c r="I118" i="12" s="1"/>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I38" i="7"/>
  <c r="I38" i="12" s="1"/>
  <c r="L65" i="7"/>
  <c r="K65" i="12" s="1"/>
  <c r="O164" i="7"/>
  <c r="H38" i="7"/>
  <c r="H38" i="12" s="1"/>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49" i="2"/>
  <c r="O65" i="7"/>
  <c r="M11" i="7"/>
  <c r="B24" i="7"/>
  <c r="L60" i="7"/>
  <c r="K60" i="12" s="1"/>
  <c r="J99" i="7"/>
  <c r="J181" i="7"/>
  <c r="P143" i="5"/>
  <c r="I86" i="7"/>
  <c r="E51" i="7"/>
  <c r="H64" i="3"/>
  <c r="K28" i="3"/>
  <c r="I181" i="7"/>
  <c r="I180" i="12" s="1"/>
  <c r="M33" i="7"/>
  <c r="K129" i="7"/>
  <c r="J129" i="12" s="1"/>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H89" i="12" s="1"/>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50"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K40" i="3"/>
  <c r="H131" i="3"/>
  <c r="H96" i="3"/>
  <c r="K119" i="3"/>
  <c r="P79" i="5"/>
  <c r="P123" i="5"/>
  <c r="K32" i="3"/>
  <c r="H112" i="3"/>
  <c r="L64" i="12"/>
  <c r="D47" i="7"/>
  <c r="N73" i="2"/>
  <c r="O73" i="2" s="1"/>
  <c r="G152" i="2"/>
  <c r="O156" i="7"/>
  <c r="D187" i="7"/>
  <c r="J187" i="7"/>
  <c r="I47" i="7"/>
  <c r="I47" i="12" s="1"/>
  <c r="N47" i="7"/>
  <c r="M29" i="5"/>
  <c r="C6" i="28"/>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47"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48"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48" i="2"/>
  <c r="L179" i="12"/>
  <c r="S170" i="12"/>
  <c r="L161" i="5"/>
  <c r="M161" i="5" s="1"/>
  <c r="J112" i="12"/>
  <c r="P95" i="5"/>
  <c r="F166" i="5"/>
  <c r="G166" i="5" s="1"/>
  <c r="E102" i="5"/>
  <c r="F102" i="5" s="1"/>
  <c r="G102" i="5" s="1"/>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48"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49" i="2"/>
  <c r="O164" i="12"/>
  <c r="N171" i="12"/>
  <c r="L176" i="12"/>
  <c r="L185" i="12"/>
  <c r="B247"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49"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47"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47"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50"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J138" i="5"/>
  <c r="H146" i="3"/>
  <c r="H178" i="3"/>
  <c r="J143" i="12"/>
  <c r="E75" i="3"/>
  <c r="J71" i="2"/>
  <c r="K71" i="2" s="1"/>
  <c r="G66" i="2"/>
  <c r="N74" i="2"/>
  <c r="O74" i="2" s="1"/>
  <c r="J160" i="2"/>
  <c r="K160" i="2" s="1"/>
  <c r="P118" i="5"/>
  <c r="N56" i="7"/>
  <c r="K137" i="7"/>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H122" i="3"/>
  <c r="H35" i="3"/>
  <c r="E145" i="3"/>
  <c r="N110" i="2"/>
  <c r="O110" i="2" s="1"/>
  <c r="J77" i="2"/>
  <c r="K77" i="2" s="1"/>
  <c r="G130" i="2"/>
  <c r="F56" i="7"/>
  <c r="N28" i="2"/>
  <c r="O28" i="2" s="1"/>
  <c r="G193" i="2"/>
  <c r="C175" i="7"/>
  <c r="N175" i="7"/>
  <c r="G150" i="7"/>
  <c r="C3" i="21" s="1"/>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153" i="5"/>
  <c r="G153" i="5" s="1"/>
  <c r="E38" i="3"/>
  <c r="H180" i="3"/>
  <c r="K60" i="3"/>
  <c r="H175" i="3"/>
  <c r="N167" i="2"/>
  <c r="O167" i="2" s="1"/>
  <c r="C160" i="7"/>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E11" i="3"/>
  <c r="F97" i="2"/>
  <c r="N153" i="2"/>
  <c r="O153" i="2" s="1"/>
  <c r="N177" i="2"/>
  <c r="O177" i="2" s="1"/>
  <c r="N145" i="12"/>
  <c r="N113" i="12"/>
  <c r="J80" i="2"/>
  <c r="K80" i="2" s="1"/>
  <c r="G91" i="14"/>
  <c r="N133" i="12"/>
  <c r="G144" i="14"/>
  <c r="P34" i="12"/>
  <c r="S133" i="12"/>
  <c r="S165" i="12"/>
  <c r="M163" i="12"/>
  <c r="G73" i="2"/>
  <c r="G97" i="2"/>
  <c r="G121" i="2"/>
  <c r="F29" i="2"/>
  <c r="O191" i="5"/>
  <c r="O192" i="5" s="1"/>
  <c r="J183" i="2"/>
  <c r="K183" i="2" s="1"/>
  <c r="N68" i="2"/>
  <c r="O68" i="2" s="1"/>
  <c r="P137" i="12"/>
  <c r="E61" i="3"/>
  <c r="H107" i="3"/>
  <c r="K124" i="3"/>
  <c r="G167" i="2"/>
  <c r="G60" i="14"/>
  <c r="P76" i="5"/>
  <c r="P100" i="5"/>
  <c r="K92" i="3"/>
  <c r="L142" i="12"/>
  <c r="G134" i="14"/>
  <c r="P42" i="12"/>
  <c r="M140" i="12"/>
  <c r="K103" i="3"/>
  <c r="E62" i="5"/>
  <c r="F62" i="5" s="1"/>
  <c r="E22" i="3"/>
  <c r="E86" i="3"/>
  <c r="E110" i="5"/>
  <c r="F110" i="5" s="1"/>
  <c r="G110" i="5" s="1"/>
  <c r="H148" i="3"/>
  <c r="E261" i="2"/>
  <c r="J14" i="2"/>
  <c r="K14" i="2" s="1"/>
  <c r="N58" i="2"/>
  <c r="O58" i="2" s="1"/>
  <c r="F100" i="2"/>
  <c r="G127" i="14"/>
  <c r="P18" i="12"/>
  <c r="M120" i="12"/>
  <c r="L82" i="12"/>
  <c r="F103" i="5"/>
  <c r="G103" i="5" s="1"/>
  <c r="J160" i="5"/>
  <c r="G171" i="14"/>
  <c r="P50" i="12"/>
  <c r="M123" i="12"/>
  <c r="L74" i="12"/>
  <c r="R40" i="12"/>
  <c r="M132" i="5"/>
  <c r="H21" i="3"/>
  <c r="H79" i="3"/>
  <c r="H130" i="3"/>
  <c r="E169" i="3"/>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K71" i="3"/>
  <c r="G166" i="14"/>
  <c r="F88" i="5"/>
  <c r="G88" i="5" s="1"/>
  <c r="F64" i="5"/>
  <c r="G64"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41"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I112" i="12"/>
  <c r="K131" i="12"/>
  <c r="K135" i="12"/>
  <c r="I135" i="12"/>
  <c r="I119" i="12"/>
  <c r="H57" i="12"/>
  <c r="J23" i="12"/>
  <c r="J7" i="12"/>
  <c r="J25" i="12"/>
  <c r="J53" i="12"/>
  <c r="J37" i="12"/>
  <c r="H21" i="12"/>
  <c r="J41" i="12"/>
  <c r="H37" i="12"/>
  <c r="I20" i="12"/>
  <c r="I12" i="12"/>
  <c r="I45" i="12"/>
  <c r="I29" i="12"/>
  <c r="I23"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41"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J138" i="12"/>
  <c r="J122" i="12"/>
  <c r="I138" i="12"/>
  <c r="I129" i="12"/>
  <c r="H113" i="12"/>
  <c r="H127" i="12"/>
  <c r="K114" i="12"/>
  <c r="I127" i="12"/>
  <c r="H47" i="12"/>
  <c r="I113" i="12"/>
  <c r="K46" i="12"/>
  <c r="I54" i="12"/>
  <c r="J45" i="12"/>
  <c r="J27" i="12"/>
  <c r="J19" i="12"/>
  <c r="I42" i="12"/>
  <c r="J29" i="12"/>
  <c r="J13" i="12"/>
  <c r="K41" i="12"/>
  <c r="H29" i="12"/>
  <c r="K45" i="12"/>
  <c r="I8" i="12"/>
  <c r="I21"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D6" i="28" l="1"/>
  <c r="H155" i="12"/>
  <c r="J136" i="12"/>
  <c r="D18" i="28"/>
  <c r="B16" i="28"/>
  <c r="C16" i="28"/>
  <c r="B15" i="28"/>
  <c r="I163" i="12"/>
  <c r="D8" i="28"/>
  <c r="J241" i="2"/>
  <c r="K241" i="2" s="1"/>
  <c r="D233" i="6" s="1"/>
  <c r="F234" i="7"/>
  <c r="F235" i="7" s="1"/>
  <c r="C245" i="7" s="1"/>
  <c r="E234" i="7"/>
  <c r="E235" i="7" s="1"/>
  <c r="B245" i="7" s="1"/>
  <c r="N234" i="7"/>
  <c r="N241" i="12"/>
  <c r="N242" i="12" s="1"/>
  <c r="J64" i="8"/>
  <c r="C73" i="8" s="1"/>
  <c r="H234" i="7"/>
  <c r="H235" i="7" s="1"/>
  <c r="B246" i="7" s="1"/>
  <c r="O241" i="12"/>
  <c r="O242" i="12" s="1"/>
  <c r="L241" i="12"/>
  <c r="L242" i="12" s="1"/>
  <c r="L234" i="7"/>
  <c r="C234" i="7"/>
  <c r="C235" i="7" s="1"/>
  <c r="I234" i="7"/>
  <c r="M241" i="12"/>
  <c r="M242" i="12" s="1"/>
  <c r="K234" i="7"/>
  <c r="K235" i="7" s="1"/>
  <c r="B247" i="7" s="1"/>
  <c r="H65" i="8"/>
  <c r="A73" i="8"/>
  <c r="M233" i="6"/>
  <c r="B234" i="7"/>
  <c r="B235"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50" i="2"/>
  <c r="D250"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41" i="2"/>
  <c r="O241" i="2" s="1"/>
  <c r="O234" i="7"/>
  <c r="O235" i="7" s="1"/>
  <c r="I235" i="7"/>
  <c r="C246" i="7" s="1"/>
  <c r="G58" i="5"/>
  <c r="F191" i="5"/>
  <c r="C241" i="6"/>
  <c r="J233" i="6"/>
  <c r="D232" i="11"/>
  <c r="F232" i="11" s="1"/>
  <c r="F231" i="11"/>
  <c r="N192" i="5"/>
  <c r="P192" i="5" s="1"/>
  <c r="P191" i="5"/>
  <c r="C240" i="6"/>
  <c r="G65" i="8"/>
  <c r="H6" i="6"/>
  <c r="K6" i="6"/>
  <c r="I32" i="12"/>
  <c r="M232" i="11"/>
  <c r="O232" i="11" s="1"/>
  <c r="O231" i="11"/>
  <c r="H236" i="3"/>
  <c r="F237" i="3"/>
  <c r="H237" i="3" s="1"/>
  <c r="B240" i="6"/>
  <c r="G247" i="2"/>
  <c r="C242" i="6"/>
  <c r="G64" i="8"/>
  <c r="B73" i="8"/>
  <c r="I65" i="8"/>
  <c r="K236" i="3"/>
  <c r="I237" i="3"/>
  <c r="K237" i="3" s="1"/>
  <c r="J191" i="5"/>
  <c r="I192" i="5"/>
  <c r="J192" i="5" s="1"/>
  <c r="B6" i="8"/>
  <c r="K6" i="7"/>
  <c r="E6" i="7"/>
  <c r="H6" i="7"/>
  <c r="B241" i="6"/>
  <c r="G248" i="2"/>
  <c r="F248" i="2" s="1"/>
  <c r="I231" i="11"/>
  <c r="G232" i="11"/>
  <c r="I232" i="11" s="1"/>
  <c r="L231" i="11"/>
  <c r="J232" i="11"/>
  <c r="L232" i="11" s="1"/>
  <c r="B242" i="6"/>
  <c r="G249" i="2"/>
  <c r="F249" i="2" s="1"/>
  <c r="D234" i="7" l="1"/>
  <c r="D235" i="7" s="1"/>
  <c r="I241" i="12"/>
  <c r="I242" i="12" s="1"/>
  <c r="J241" i="12"/>
  <c r="J242" i="12" s="1"/>
  <c r="H241" i="12"/>
  <c r="H242" i="12" s="1"/>
  <c r="K241" i="12"/>
  <c r="K242" i="12" s="1"/>
  <c r="J65" i="8"/>
  <c r="M191" i="5"/>
  <c r="N235" i="7"/>
  <c r="B248" i="7"/>
  <c r="G234" i="7"/>
  <c r="G235" i="7" s="1"/>
  <c r="B6" i="10"/>
  <c r="C6" i="8"/>
  <c r="E6" i="8"/>
  <c r="H6" i="8" s="1"/>
  <c r="G250" i="2"/>
  <c r="F247" i="2"/>
  <c r="F250" i="2" s="1"/>
  <c r="D245" i="7"/>
  <c r="J234" i="7"/>
  <c r="J235" i="7" s="1"/>
  <c r="G191" i="5"/>
  <c r="F192" i="5"/>
  <c r="G192" i="5" s="1"/>
  <c r="M234" i="7"/>
  <c r="M235" i="7" s="1"/>
  <c r="L235" i="7"/>
  <c r="C247" i="7" s="1"/>
  <c r="D247" i="7" s="1"/>
  <c r="H249" i="2" s="1"/>
  <c r="D240" i="6"/>
  <c r="H247" i="2" s="1"/>
  <c r="C243" i="6"/>
  <c r="D242" i="6"/>
  <c r="B243" i="6"/>
  <c r="D241" i="6"/>
  <c r="H248" i="2" s="1"/>
  <c r="D246" i="7"/>
  <c r="C248" i="7" l="1"/>
  <c r="D248" i="7" s="1"/>
  <c r="D243" i="6"/>
  <c r="H250"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<sst xmlns="http://schemas.openxmlformats.org/spreadsheetml/2006/main" count="3463" uniqueCount="700">
  <si>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</si>
  <si>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</si>
  <si>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</si>
  <si>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</si>
  <si>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</si>
  <si>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</si>
  <si>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</si>
  <si>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</si>
  <si>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</si>
  <si>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</si>
  <si>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</si>
  <si>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</si>
  <si>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</si>
  <si>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</si>
  <si>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</si>
  <si>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</si>
  <si>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</si>
  <si>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</si>
  <si>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</si>
  <si>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</si>
  <si>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</si>
  <si>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</si>
  <si>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</si>
  <si>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</si>
  <si>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</si>
  <si>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</si>
  <si>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</si>
  <si>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</si>
  <si>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</si>
  <si>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</si>
  <si>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</si>
  <si>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</si>
  <si>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</si>
  <si>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</si>
  <si>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</si>
  <si>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</si>
  <si>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</si>
  <si>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</si>
  <si>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</si>
  <si>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</si>
  <si>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</si>
  <si>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</si>
  <si>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</si>
  <si>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</si>
  <si>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</si>
  <si>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</si>
  <si>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</si>
  <si>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</si>
  <si>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</si>
  <si>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</si>
  <si>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</si>
  <si>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</si>
  <si>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</si>
  <si>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</si>
  <si>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</si>
  <si>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</si>
  <si>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</si>
  <si>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</si>
  <si>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</si>
  <si>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</si>
  <si>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</si>
  <si>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</si>
  <si>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</si>
  <si>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</si>
  <si>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</si>
  <si>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</si>
  <si>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</si>
  <si>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</si>
  <si>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</si>
  <si>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</si>
  <si>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</si>
  <si>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</si>
  <si>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</si>
  <si>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</si>
  <si>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</si>
  <si>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</si>
  <si>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</si>
  <si>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</si>
  <si>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</si>
  <si>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</si>
  <si>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</si>
  <si>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</si>
  <si>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</si>
  <si>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</si>
  <si>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</si>
  <si>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</si>
  <si>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</si>
  <si>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</si>
  <si>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</si>
  <si>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</si>
  <si>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</si>
  <si>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</si>
  <si>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</si>
  <si>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</si>
  <si>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</si>
  <si>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</si>
  <si>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</si>
  <si>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</si>
  <si>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</si>
  <si>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</si>
  <si>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</si>
  <si>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</si>
  <si>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</si>
  <si>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</si>
  <si>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</si>
  <si>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</si>
  <si>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</si>
  <si>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</si>
  <si>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</si>
  <si>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</si>
  <si>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</si>
  <si>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</si>
  <si>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</si>
  <si>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</si>
  <si>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</si>
  <si>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</si>
  <si>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</si>
  <si>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</si>
  <si>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</si>
  <si>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</si>
  <si>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</si>
  <si>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</si>
  <si>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</si>
  <si>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</si>
  <si>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</si>
  <si>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</si>
  <si>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</si>
  <si>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</si>
  <si>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</si>
  <si>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</si>
  <si>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</si>
  <si>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</si>
  <si>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</si>
  <si>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</si>
  <si>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</si>
  <si>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</si>
  <si>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</si>
  <si>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</si>
  <si>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</si>
  <si>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</si>
  <si>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</si>
  <si>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</si>
  <si>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</si>
  <si>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</si>
  <si>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</si>
  <si>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</si>
  <si>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</si>
  <si>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</si>
  <si>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</si>
  <si>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</si>
  <si>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</si>
  <si>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</si>
  <si>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</si>
  <si>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</si>
  <si>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</si>
  <si>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</si>
  <si>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</si>
  <si>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</si>
  <si>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</si>
  <si>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</si>
  <si>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</si>
  <si>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</si>
  <si>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</si>
  <si>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</si>
  <si>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</si>
  <si>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</si>
  <si>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</si>
  <si>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</si>
  <si>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</si>
  <si>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</si>
  <si>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</si>
  <si>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</si>
  <si>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</si>
  <si>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</si>
  <si>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</si>
  <si>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</si>
  <si>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</si>
  <si>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</si>
  <si>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</si>
  <si>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</si>
  <si>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</si>
  <si>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</si>
  <si>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</si>
  <si>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</si>
  <si>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</si>
  <si>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</si>
  <si>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</si>
  <si>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</si>
  <si>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</si>
  <si>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</si>
  <si>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</si>
  <si>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</si>
  <si>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</si>
  <si>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</si>
  <si>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</si>
  <si>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</si>
  <si>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</si>
  <si>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</si>
  <si>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</si>
  <si>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</si>
  <si>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</si>
  <si>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</si>
  <si>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</si>
  <si>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</si>
  <si>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</si>
  <si>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</si>
  <si>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</si>
  <si>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</si>
  <si>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</si>
  <si>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</si>
  <si>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</si>
  <si>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</si>
  <si>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</si>
  <si>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</si>
  <si>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</si>
  <si>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</si>
  <si>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</si>
  <si>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</si>
  <si>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</si>
  <si>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</si>
  <si>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</si>
  <si>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</si>
  <si>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</si>
  <si>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</si>
  <si>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</si>
  <si>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</si>
  <si>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</si>
  <si>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</si>
  <si>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</si>
  <si>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</si>
  <si>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</si>
  <si>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</si>
  <si>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</si>
  <si>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</si>
  <si>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</si>
  <si>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</si>
  <si>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</si>
  <si>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</si>
  <si>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</si>
  <si>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</si>
  <si>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</si>
  <si>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</si>
  <si>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</si>
  <si>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</si>
  <si>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</si>
  <si>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</si>
  <si>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</si>
  <si>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</si>
  <si>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</si>
  <si>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</si>
  <si>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</si>
  <si>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</si>
  <si>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</si>
  <si>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</si>
  <si>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</si>
  <si>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</si>
  <si>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</si>
  <si>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</si>
  <si>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</si>
  <si>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</si>
  <si>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</si>
  <si>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</si>
  <si>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</si>
  <si>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</si>
  <si>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</si>
  <si>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</si>
  <si>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</si>
  <si>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</si>
  <si>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</si>
  <si>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</si>
  <si>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</si>
  <si>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</si>
  <si>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</si>
  <si>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</si>
  <si>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</si>
  <si>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</si>
  <si>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</si>
  <si>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</si>
  <si>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</si>
  <si>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</si>
  <si>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</si>
  <si>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</si>
  <si>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</si>
  <si>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</si>
  <si>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</si>
  <si>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</si>
  <si>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</si>
  <si>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</si>
  <si>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</si>
  <si>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</si>
  <si>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</si>
  <si>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</si>
  <si>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</si>
  <si>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</si>
  <si>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</si>
  <si>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</si>
  <si>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</si>
  <si>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</si>
  <si>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</si>
  <si>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</si>
  <si>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</si>
  <si>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</si>
  <si>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</si>
  <si>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</si>
  <si>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</si>
  <si>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</si>
  <si>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</si>
  <si>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</si>
  <si>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</si>
  <si>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</si>
  <si>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</si>
  <si>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</si>
  <si>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</si>
  <si>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</si>
  <si>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</si>
  <si>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</si>
  <si>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</si>
  <si>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</si>
  <si>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</si>
  <si>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</si>
  <si>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</si>
  <si>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</si>
  <si>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</si>
  <si>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</si>
  <si>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</si>
  <si>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</si>
  <si>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</si>
  <si>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</si>
  <si>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</si>
  <si>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</si>
  <si>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</si>
  <si>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</si>
  <si>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</si>
  <si>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</si>
  <si>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</si>
  <si>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</si>
  <si>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</si>
  <si>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</si>
  <si>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</si>
  <si>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</si>
  <si>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</si>
  <si>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</si>
  <si>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</si>
  <si>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</si>
  <si>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</si>
  <si>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</si>
  <si>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</si>
  <si>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</si>
  <si>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</si>
  <si>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</si>
  <si>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</si>
  <si>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</si>
  <si>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</si>
  <si>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</si>
  <si>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</si>
  <si>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</si>
  <si>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</si>
  <si>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</si>
  <si>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</si>
  <si>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</si>
  <si>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</si>
  <si>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</si>
  <si>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</si>
  <si>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</si>
  <si>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</si>
  <si>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</si>
  <si>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</si>
  <si>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</si>
  <si>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</si>
  <si>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</si>
  <si>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</si>
  <si>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</si>
  <si>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</si>
  <si>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</si>
  <si>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</si>
  <si>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</si>
  <si>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</si>
  <si>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</si>
  <si>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</si>
  <si>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</si>
  <si>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</si>
  <si>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</si>
  <si>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</si>
  <si>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</si>
  <si>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</si>
  <si>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</si>
  <si>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</si>
  <si>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</si>
  <si>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</si>
  <si>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</si>
  <si>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</si>
  <si>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</si>
  <si>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</si>
  <si>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</si>
  <si>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</si>
  <si>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</si>
  <si>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</si>
  <si>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</si>
  <si>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</si>
  <si>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</si>
  <si>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</si>
  <si>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</si>
  <si>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</si>
  <si>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</si>
  <si>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</si>
  <si>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</si>
  <si>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</si>
  <si>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</si>
  <si>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</si>
  <si>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</si>
  <si>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</si>
  <si>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</si>
  <si>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</si>
  <si>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</si>
  <si>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</si>
  <si>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</si>
  <si>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</si>
  <si>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</si>
  <si>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</si>
  <si>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</si>
  <si>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</si>
  <si>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</si>
  <si>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</si>
  <si>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</si>
  <si>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</si>
  <si>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</si>
  <si>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</si>
  <si>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</si>
  <si>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</si>
  <si>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</si>
  <si>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</si>
  <si>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</si>
  <si>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</si>
  <si>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</si>
  <si>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</si>
  <si>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</si>
  <si>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</si>
  <si>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</si>
  <si>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</si>
  <si>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</si>
  <si>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</si>
  <si>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</si>
  <si>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</si>
  <si>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</si>
  <si>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</si>
  <si>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</si>
  <si>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</si>
  <si>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</si>
  <si>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</si>
  <si>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</si>
  <si>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</si>
  <si>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</si>
  <si>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</si>
  <si>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</si>
  <si>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</si>
  <si>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</si>
  <si>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</si>
  <si>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</si>
  <si>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</si>
  <si>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</si>
  <si>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</si>
  <si>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</si>
  <si>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</si>
  <si>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</si>
  <si>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</si>
  <si>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</si>
  <si>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</si>
  <si>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</si>
  <si>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</si>
  <si>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</si>
  <si>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</si>
  <si>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</si>
  <si>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</si>
  <si>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</si>
  <si>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</si>
  <si>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</si>
  <si>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</si>
  <si>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</si>
  <si>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</si>
  <si>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</si>
  <si>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</si>
  <si>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</si>
  <si>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</si>
  <si>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</si>
  <si>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</si>
  <si>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</si>
  <si>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</si>
  <si>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</si>
  <si>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</si>
  <si>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</si>
  <si>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</si>
  <si>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</si>
  <si>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</si>
  <si>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</si>
  <si>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</si>
  <si>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</si>
  <si>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</si>
  <si>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</si>
  <si>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</si>
  <si>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</si>
  <si>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</si>
  <si>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</si>
  <si>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</si>
  <si>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</si>
  <si>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</si>
  <si>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</si>
  <si>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</si>
  <si>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</si>
  <si>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</si>
  <si>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</si>
  <si>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</si>
  <si>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</si>
  <si>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</si>
  <si>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</si>
  <si>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</si>
  <si>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</si>
  <si>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</si>
  <si>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</si>
  <si>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</si>
  <si>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</si>
  <si>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</si>
  <si>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</si>
  <si>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</si>
  <si>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</si>
  <si>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</si>
  <si>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</si>
  <si>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</si>
  <si>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</si>
  <si>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</si>
  <si>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</si>
  <si>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</si>
  <si>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</si>
  <si>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</si>
  <si>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</si>
  <si>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</si>
  <si>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</si>
  <si>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</si>
  <si>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</si>
  <si>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</si>
  <si>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</si>
  <si>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</si>
  <si>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</si>
  <si>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</si>
  <si>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</si>
  <si>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</si>
  <si>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</si>
  <si>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</si>
  <si>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</si>
  <si>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</si>
  <si>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</si>
  <si>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</si>
  <si>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</si>
  <si>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</si>
  <si>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</si>
  <si>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</si>
  <si>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</si>
  <si>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</si>
  <si>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</si>
  <si>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</si>
  <si>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</si>
  <si>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</si>
  <si>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</si>
  <si>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</si>
  <si>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</si>
  <si>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</si>
  <si>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</si>
  <si>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</si>
  <si>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</si>
  <si>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</si>
  <si>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</si>
  <si>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</si>
  <si>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</si>
  <si>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</si>
  <si>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</si>
  <si>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</si>
  <si>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</si>
  <si>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</si>
  <si>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</si>
  <si>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</si>
  <si>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</si>
  <si>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</si>
  <si>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</si>
  <si>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</si>
  <si>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</si>
  <si>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</si>
  <si>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</si>
  <si>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</si>
  <si>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</si>
  <si>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</si>
  <si>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</si>
  <si>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</si>
  <si>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</si>
  <si>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</si>
  <si>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</si>
  <si>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</si>
  <si>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</si>
  <si>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</si>
  <si>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</si>
  <si>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</si>
  <si>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</si>
  <si>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</si>
  <si>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</si>
  <si>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</si>
  <si>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</si>
  <si>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</si>
  <si>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</si>
  <si>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</si>
  <si>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</si>
  <si>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</si>
  <si>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</si>
  <si>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</si>
  <si>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</si>
  <si>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</si>
  <si>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</si>
  <si>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</si>
  <si>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</si>
  <si>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</si>
  <si>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</si>
  <si>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</si>
  <si>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</si>
  <si>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</si>
  <si>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</si>
  <si>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</si>
  <si>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</si>
  <si>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</si>
  <si>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</si>
  <si>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</si>
  <si>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</si>
  <si>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</si>
  <si>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</si>
  <si>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</si>
  <si>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</si>
  <si>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</si>
  <si>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</si>
  <si>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</si>
  <si>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</si>
  <si>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</si>
  <si>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</si>
  <si>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</si>
  <si>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</si>
  <si>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</si>
  <si>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</si>
  <si>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</si>
  <si>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</si>
  <si>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</si>
  <si>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</si>
  <si>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</si>
  <si>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</si>
  <si>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</si>
  <si>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</si>
  <si>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</si>
  <si>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</si>
  <si>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</si>
  <si>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</si>
  <si>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</si>
  <si>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</si>
  <si>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</si>
  <si>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</si>
  <si>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</si>
  <si>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</si>
  <si>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</si>
  <si>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</si>
  <si>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IREDA</t>
  </si>
  <si>
    <t>PATANJALI</t>
  </si>
  <si>
    <t>ETERNAL</t>
  </si>
  <si>
    <t>HINDZINC</t>
  </si>
  <si>
    <t>INOXWIND</t>
  </si>
  <si>
    <t>PNBHOUSING</t>
  </si>
  <si>
    <t>BDL</t>
  </si>
  <si>
    <t>MANKIND</t>
  </si>
  <si>
    <t>MAZDOCK</t>
  </si>
  <si>
    <t>UNOMINDA</t>
  </si>
  <si>
    <t>RVNL</t>
  </si>
  <si>
    <t>KAYNES</t>
  </si>
  <si>
    <t>FORTIS</t>
  </si>
  <si>
    <t>BLUESTARCO</t>
  </si>
  <si>
    <t>PGEL</t>
  </si>
  <si>
    <t>AMBER</t>
  </si>
  <si>
    <t>360ONE</t>
  </si>
  <si>
    <t>KFINTECH</t>
  </si>
  <si>
    <t>SUZLON</t>
  </si>
  <si>
    <t>NUVAMA</t>
  </si>
  <si>
    <t>SAMMAANCAP</t>
  </si>
  <si>
    <t>POWERINDIA</t>
  </si>
  <si>
    <t>INDIAVIX</t>
  </si>
  <si>
    <t>TMPV</t>
  </si>
  <si>
    <t>PREMIERENE</t>
  </si>
  <si>
    <t>BAJAJHLDNG</t>
  </si>
  <si>
    <t>WAAREEENER</t>
  </si>
  <si>
    <t>SWIGGY</t>
  </si>
  <si>
    <t>LTM</t>
  </si>
  <si>
    <t>Short_Covering</t>
  </si>
  <si>
    <t>HYUNDAI</t>
  </si>
  <si>
    <t>ADANIPOWER</t>
  </si>
  <si>
    <t>COCHINSHIP</t>
  </si>
  <si>
    <t>VMM</t>
  </si>
  <si>
    <t>MOTILALOFS</t>
  </si>
  <si>
    <t>GODFRYPHLP</t>
  </si>
  <si>
    <t>FORCEMOT</t>
  </si>
  <si>
    <t>F&amp;O Market Trading Kit for 27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</si>
</sst>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2">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tabSelected="1" zoomScale="85" zoomScaleNormal="85" workbookViewId="0">
      <pane ySplit="10" topLeftCell="A11" activePane="bottomLeft" state="frozen"/>
      <selection activeCell="Q163" sqref="Q163"/>
      <selection pane="bottomLeft" activeCell="W14" sqref="W14"/>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4" t="s">
        <v>699</v>
      </c>
      <c r="B6" s="235"/>
      <c r="C6" s="235"/>
      <c r="D6" s="235"/>
      <c r="E6" s="235"/>
      <c r="F6" s="235"/>
      <c r="G6" s="235"/>
      <c r="H6" s="235"/>
      <c r="I6" s="235"/>
      <c r="J6" s="235"/>
      <c r="K6" s="235"/>
      <c r="L6" s="235"/>
      <c r="M6" s="235"/>
      <c r="N6" s="235"/>
      <c r="O6" s="235"/>
      <c r="P6" s="235"/>
      <c r="Q6" s="235"/>
      <c r="R6" s="235"/>
      <c r="S6" s="236"/>
    </row>
    <row r="7" spans="1:19" x14ac:dyDescent="0.25">
      <c r="A7" s="237"/>
      <c r="B7" s="238"/>
      <c r="C7" s="238"/>
      <c r="D7" s="238"/>
      <c r="E7" s="238"/>
      <c r="F7" s="238"/>
      <c r="G7" s="238"/>
      <c r="H7" s="238"/>
      <c r="I7" s="238"/>
      <c r="J7" s="238"/>
      <c r="K7" s="238"/>
      <c r="L7" s="238"/>
      <c r="M7" s="238"/>
      <c r="N7" s="238"/>
      <c r="O7" s="238"/>
      <c r="P7" s="238"/>
      <c r="Q7" s="238"/>
      <c r="R7" s="238"/>
      <c r="S7" s="239"/>
    </row>
    <row r="8" spans="1:19" s="64" customFormat="1" ht="15" customHeight="1" x14ac:dyDescent="0.25">
      <c r="A8" s="240"/>
      <c r="B8" s="2"/>
      <c r="C8" s="242" t="s">
        <v>308</v>
      </c>
      <c r="D8" s="243"/>
      <c r="E8" s="243"/>
      <c r="F8" s="243"/>
      <c r="G8" s="244"/>
      <c r="H8" s="242" t="s">
        <v>309</v>
      </c>
      <c r="I8" s="243"/>
      <c r="J8" s="243"/>
      <c r="K8" s="244"/>
      <c r="L8" s="245" t="s">
        <v>310</v>
      </c>
      <c r="M8" s="246"/>
      <c r="N8" s="246"/>
      <c r="O8" s="247"/>
      <c r="P8" s="242" t="s">
        <v>311</v>
      </c>
      <c r="Q8" s="243"/>
      <c r="R8" s="243"/>
      <c r="S8" s="244"/>
    </row>
    <row r="9" spans="1:19" s="64" customFormat="1" x14ac:dyDescent="0.25">
      <c r="A9" s="241"/>
      <c r="B9" s="2"/>
      <c r="C9" s="2" t="s">
        <v>312</v>
      </c>
      <c r="D9" s="242" t="s">
        <v>313</v>
      </c>
      <c r="E9" s="243"/>
      <c r="F9" s="243"/>
      <c r="G9" s="244"/>
      <c r="H9" s="242" t="s">
        <v>314</v>
      </c>
      <c r="I9" s="243"/>
      <c r="J9" s="243"/>
      <c r="K9" s="244"/>
      <c r="L9" s="242" t="s">
        <v>315</v>
      </c>
      <c r="M9" s="243"/>
      <c r="N9" s="243"/>
      <c r="O9" s="244"/>
      <c r="P9" s="242" t="s">
        <v>316</v>
      </c>
      <c r="Q9" s="244"/>
      <c r="R9" s="242" t="s">
        <v>317</v>
      </c>
      <c r="S9" s="244"/>
    </row>
    <row r="10" spans="1:19" s="67" customFormat="1" ht="27" customHeight="1" x14ac:dyDescent="0.25">
      <c r="A10" s="65" t="s">
        <v>318</v>
      </c>
      <c r="B10" s="65" t="s">
        <v>319</v>
      </c>
      <c r="C10" s="66">
        <f>'Data Vlaue (Cr)'!A2</f>
        <v>46168</v>
      </c>
      <c r="D10" s="66">
        <f>'Data Vlaue (Cr)'!A2</f>
        <v>46168</v>
      </c>
      <c r="E10" s="65" t="s">
        <v>322</v>
      </c>
      <c r="F10" s="65" t="s">
        <v>320</v>
      </c>
      <c r="G10" s="65" t="s">
        <v>321</v>
      </c>
      <c r="H10" s="66">
        <f>D10</f>
        <v>46168</v>
      </c>
      <c r="I10" s="65" t="s">
        <v>322</v>
      </c>
      <c r="J10" s="65" t="s">
        <v>323</v>
      </c>
      <c r="K10" s="65" t="s">
        <v>324</v>
      </c>
      <c r="L10" s="66">
        <f>D10</f>
        <v>46168</v>
      </c>
      <c r="M10" s="65" t="s">
        <v>322</v>
      </c>
      <c r="N10" s="65" t="s">
        <v>323</v>
      </c>
      <c r="O10" s="65" t="s">
        <v>324</v>
      </c>
      <c r="P10" s="66">
        <f>D10</f>
        <v>46168</v>
      </c>
      <c r="Q10" s="65" t="s">
        <v>324</v>
      </c>
      <c r="R10" s="66">
        <f>D10</f>
        <v>46168</v>
      </c>
      <c r="S10" s="65" t="s">
        <v>324</v>
      </c>
    </row>
    <row r="11" spans="1:19" x14ac:dyDescent="0.25">
      <c r="A11" s="96" t="str">
        <f>'Data Vlaue (Cr)'!C2</f>
        <v>360ONE</v>
      </c>
      <c r="B11" s="75">
        <f>VLOOKUP($A11,'Data Vlaue (Cr)'!$C:$FB,2)</f>
        <v>500</v>
      </c>
      <c r="C11" s="75">
        <f>VLOOKUP($A11,'Data Vlaue (Cr)'!$C:$FB,8)</f>
        <v>1125.3</v>
      </c>
      <c r="D11" s="75">
        <f>VLOOKUP($A11,'Data Vlaue (Cr)'!$C:$FB,4)</f>
        <v>1134</v>
      </c>
      <c r="E11" s="75">
        <f>VLOOKUP($A11,'Data Vlaue (Cr)'!$C:$FB,5)</f>
        <v>1149.4000000000001</v>
      </c>
      <c r="F11" s="75">
        <f t="shared" ref="F11:F74" si="0">D11-C11</f>
        <v>8.7000000000000455</v>
      </c>
      <c r="G11" s="75">
        <f t="shared" ref="G11:G74" si="1">(D11-E11)/D11*100</f>
        <v>-1.3580246913580327</v>
      </c>
      <c r="H11" s="75">
        <f>VLOOKUP($A11,'Data Vlaue (Cr)'!$C:$FB,99)</f>
        <v>603</v>
      </c>
      <c r="I11" s="75">
        <f>VLOOKUP($A11,'Data Vlaue (Cr)'!$C:$FB,100)</f>
        <v>814</v>
      </c>
      <c r="J11" s="75">
        <f t="shared" ref="J11:J74" si="2">H11-I11</f>
        <v>-211</v>
      </c>
      <c r="K11" s="75">
        <f t="shared" ref="K11:K42" si="3">J11/H11*100</f>
        <v>-34.991708126036485</v>
      </c>
      <c r="L11" s="75">
        <f>VLOOKUP($A11,'Data Vlaue (Cr)'!$C:$FB,67)</f>
        <v>547</v>
      </c>
      <c r="M11" s="75">
        <f>VLOOKUP($A11,'Data Vlaue (Cr)'!$C:$FB,68)</f>
        <v>763</v>
      </c>
      <c r="N11" s="75">
        <f t="shared" ref="N11:N42" si="4">L11-M11</f>
        <v>-216</v>
      </c>
      <c r="O11" s="75">
        <f t="shared" ref="O11:O42" si="5">N11/L11*100</f>
        <v>-39.488117001828158</v>
      </c>
      <c r="P11" s="75">
        <f>VLOOKUP($A11,'Data Vlaue (Cr)'!$C:$FB,119)</f>
        <v>0.47</v>
      </c>
      <c r="Q11" s="75">
        <f>VLOOKUP($A11,'Data Vlaue (Cr)'!$C:$FB,122)*100</f>
        <v>-52.04</v>
      </c>
      <c r="R11" s="75">
        <f>VLOOKUP($A11,'Data Vlaue (Cr)'!$C:$FB,125)</f>
        <v>0.56000000000000005</v>
      </c>
      <c r="S11" s="75">
        <f>VLOOKUP($A11,'Data Vlaue (Cr)'!$C:$FB,128)*100</f>
        <v>-24.32</v>
      </c>
    </row>
    <row r="12" spans="1:19" x14ac:dyDescent="0.25">
      <c r="A12" s="96" t="str">
        <f>'Data Vlaue (Cr)'!C3</f>
        <v>ABB</v>
      </c>
      <c r="B12" s="75">
        <f>VLOOKUP($A12,'Data Vlaue (Cr)'!$C:$FB,2)</f>
        <v>125</v>
      </c>
      <c r="C12" s="75">
        <f>VLOOKUP($A12,'Data Vlaue (Cr)'!$C:$FB,8)</f>
        <v>6804</v>
      </c>
      <c r="D12" s="75">
        <f>VLOOKUP($A12,'Data Vlaue (Cr)'!$C:$FB,4)</f>
        <v>6784.5</v>
      </c>
      <c r="E12" s="75">
        <f>VLOOKUP($A12,'Data Vlaue (Cr)'!$C:$FB,5)</f>
        <v>6692</v>
      </c>
      <c r="F12" s="75">
        <f t="shared" si="0"/>
        <v>-19.5</v>
      </c>
      <c r="G12" s="75">
        <f t="shared" si="1"/>
        <v>1.3634018719139214</v>
      </c>
      <c r="H12" s="75">
        <f>VLOOKUP($A12,'Data Vlaue (Cr)'!$C:$FB,99)</f>
        <v>2376</v>
      </c>
      <c r="I12" s="75">
        <f>VLOOKUP($A12,'Data Vlaue (Cr)'!$C:$FB,100)</f>
        <v>3992</v>
      </c>
      <c r="J12" s="75">
        <f t="shared" si="2"/>
        <v>-1616</v>
      </c>
      <c r="K12" s="75">
        <f t="shared" si="3"/>
        <v>-68.013468013468014</v>
      </c>
      <c r="L12" s="75">
        <f>VLOOKUP($A12,'Data Vlaue (Cr)'!$C:$FB,67)</f>
        <v>2257</v>
      </c>
      <c r="M12" s="75">
        <f>VLOOKUP($A12,'Data Vlaue (Cr)'!$C:$FB,68)</f>
        <v>5197</v>
      </c>
      <c r="N12" s="75">
        <f t="shared" si="4"/>
        <v>-2940</v>
      </c>
      <c r="O12" s="75">
        <f t="shared" si="5"/>
        <v>-130.26140894993355</v>
      </c>
      <c r="P12" s="75">
        <f>VLOOKUP($A12,'Data Vlaue (Cr)'!$C:$FB,119)</f>
        <v>0.88</v>
      </c>
      <c r="Q12" s="75">
        <f>VLOOKUP($A12,'Data Vlaue (Cr)'!$C:$FB,122)*100</f>
        <v>41.94</v>
      </c>
      <c r="R12" s="75">
        <f>VLOOKUP($A12,'Data Vlaue (Cr)'!$C:$FB,125)</f>
        <v>0.54</v>
      </c>
      <c r="S12" s="75">
        <f>VLOOKUP($A12,'Data Vlaue (Cr)'!$C:$FB,128)*100</f>
        <v>12.5</v>
      </c>
    </row>
    <row r="13" spans="1:19" x14ac:dyDescent="0.25">
      <c r="A13" s="96" t="str">
        <f>'Data Vlaue (Cr)'!C4</f>
        <v>ABCAPITAL</v>
      </c>
      <c r="B13" s="75">
        <f>VLOOKUP($A13,'Data Vlaue (Cr)'!$C:$FB,2)</f>
        <v>3100</v>
      </c>
      <c r="C13" s="75">
        <f>VLOOKUP($A13,'Data Vlaue (Cr)'!$C:$FB,8)</f>
        <v>363.05</v>
      </c>
      <c r="D13" s="75">
        <f>VLOOKUP($A13,'Data Vlaue (Cr)'!$C:$FB,4)</f>
        <v>364.8</v>
      </c>
      <c r="E13" s="75">
        <f>VLOOKUP($A13,'Data Vlaue (Cr)'!$C:$FB,5)</f>
        <v>366.6</v>
      </c>
      <c r="F13" s="75">
        <f t="shared" si="0"/>
        <v>1.75</v>
      </c>
      <c r="G13" s="75">
        <f t="shared" si="1"/>
        <v>-0.49342105263158204</v>
      </c>
      <c r="H13" s="75">
        <f>VLOOKUP($A13,'Data Vlaue (Cr)'!$C:$FB,99)</f>
        <v>2431</v>
      </c>
      <c r="I13" s="75">
        <f>VLOOKUP($A13,'Data Vlaue (Cr)'!$C:$FB,100)</f>
        <v>3184</v>
      </c>
      <c r="J13" s="75">
        <f t="shared" si="2"/>
        <v>-753</v>
      </c>
      <c r="K13" s="75">
        <f t="shared" si="3"/>
        <v>-30.974907445495681</v>
      </c>
      <c r="L13" s="75">
        <f>VLOOKUP($A13,'Data Vlaue (Cr)'!$C:$FB,67)</f>
        <v>1190</v>
      </c>
      <c r="M13" s="75">
        <f>VLOOKUP($A13,'Data Vlaue (Cr)'!$C:$FB,68)</f>
        <v>2456</v>
      </c>
      <c r="N13" s="75">
        <f t="shared" si="4"/>
        <v>-1266</v>
      </c>
      <c r="O13" s="75">
        <f t="shared" si="5"/>
        <v>-106.38655462184875</v>
      </c>
      <c r="P13" s="75">
        <f>VLOOKUP($A13,'Data Vlaue (Cr)'!$C:$FB,119)</f>
        <v>0.86</v>
      </c>
      <c r="Q13" s="75">
        <f>VLOOKUP($A13,'Data Vlaue (Cr)'!$C:$FB,122)*100</f>
        <v>6.17</v>
      </c>
      <c r="R13" s="75">
        <f>VLOOKUP($A13,'Data Vlaue (Cr)'!$C:$FB,125)</f>
        <v>0.51</v>
      </c>
      <c r="S13" s="75">
        <f>VLOOKUP($A13,'Data Vlaue (Cr)'!$C:$FB,128)*100</f>
        <v>-20.309999999999999</v>
      </c>
    </row>
    <row r="14" spans="1:19" x14ac:dyDescent="0.25">
      <c r="A14" s="96" t="str">
        <f>'Data Vlaue (Cr)'!C5</f>
        <v>ADANIENSOL</v>
      </c>
      <c r="B14" s="75">
        <f>VLOOKUP($A14,'Data Vlaue (Cr)'!$C:$FB,2)</f>
        <v>675</v>
      </c>
      <c r="C14" s="75">
        <f>VLOOKUP($A14,'Data Vlaue (Cr)'!$C:$FB,8)</f>
        <v>1463.3</v>
      </c>
      <c r="D14" s="75">
        <f>VLOOKUP($A14,'Data Vlaue (Cr)'!$C:$FB,4)</f>
        <v>1469.3</v>
      </c>
      <c r="E14" s="75">
        <f>VLOOKUP($A14,'Data Vlaue (Cr)'!$C:$FB,5)</f>
        <v>1413.8</v>
      </c>
      <c r="F14" s="75">
        <f t="shared" si="0"/>
        <v>6</v>
      </c>
      <c r="G14" s="75">
        <f t="shared" si="1"/>
        <v>3.777308922616212</v>
      </c>
      <c r="H14" s="75">
        <f>VLOOKUP($A14,'Data Vlaue (Cr)'!$C:$FB,99)</f>
        <v>3575</v>
      </c>
      <c r="I14" s="75">
        <f>VLOOKUP($A14,'Data Vlaue (Cr)'!$C:$FB,100)</f>
        <v>4598</v>
      </c>
      <c r="J14" s="75">
        <f t="shared" si="2"/>
        <v>-1023</v>
      </c>
      <c r="K14" s="75">
        <f t="shared" si="3"/>
        <v>-28.615384615384613</v>
      </c>
      <c r="L14" s="75">
        <f>VLOOKUP($A14,'Data Vlaue (Cr)'!$C:$FB,67)</f>
        <v>4552</v>
      </c>
      <c r="M14" s="75">
        <f>VLOOKUP($A14,'Data Vlaue (Cr)'!$C:$FB,68)</f>
        <v>6055</v>
      </c>
      <c r="N14" s="75">
        <f t="shared" si="4"/>
        <v>-1503</v>
      </c>
      <c r="O14" s="75">
        <f t="shared" si="5"/>
        <v>-33.018453427065026</v>
      </c>
      <c r="P14" s="75">
        <f>VLOOKUP($A14,'Data Vlaue (Cr)'!$C:$FB,119)</f>
        <v>0.69</v>
      </c>
      <c r="Q14" s="75">
        <f>VLOOKUP($A14,'Data Vlaue (Cr)'!$C:$FB,122)*100</f>
        <v>18.970000000000002</v>
      </c>
      <c r="R14" s="75">
        <f>VLOOKUP($A14,'Data Vlaue (Cr)'!$C:$FB,125)</f>
        <v>0.35</v>
      </c>
      <c r="S14" s="75">
        <f>VLOOKUP($A14,'Data Vlaue (Cr)'!$C:$FB,128)*100</f>
        <v>0</v>
      </c>
    </row>
    <row r="15" spans="1:19" x14ac:dyDescent="0.25">
      <c r="A15" s="96" t="str">
        <f>'Data Vlaue (Cr)'!C6</f>
        <v>ADANIENT</v>
      </c>
      <c r="B15" s="75">
        <f>VLOOKUP($A15,'Data Vlaue (Cr)'!$C:$FB,2)</f>
        <v>309</v>
      </c>
      <c r="C15" s="75">
        <f>VLOOKUP($A15,'Data Vlaue (Cr)'!$C:$FB,8)</f>
        <v>2969.3</v>
      </c>
      <c r="D15" s="75">
        <f>VLOOKUP($A15,'Data Vlaue (Cr)'!$C:$FB,4)</f>
        <v>2986</v>
      </c>
      <c r="E15" s="75">
        <f>VLOOKUP($A15,'Data Vlaue (Cr)'!$C:$FB,5)</f>
        <v>2865.7</v>
      </c>
      <c r="F15" s="75">
        <f t="shared" si="0"/>
        <v>16.699999999999818</v>
      </c>
      <c r="G15" s="75">
        <f t="shared" si="1"/>
        <v>4.0288010716677887</v>
      </c>
      <c r="H15" s="75">
        <f>VLOOKUP($A15,'Data Vlaue (Cr)'!$C:$FB,99)</f>
        <v>8485</v>
      </c>
      <c r="I15" s="75">
        <f>VLOOKUP($A15,'Data Vlaue (Cr)'!$C:$FB,100)</f>
        <v>11794</v>
      </c>
      <c r="J15" s="75">
        <f t="shared" si="2"/>
        <v>-3309</v>
      </c>
      <c r="K15" s="75">
        <f t="shared" si="3"/>
        <v>-38.998232174425453</v>
      </c>
      <c r="L15" s="75">
        <f>VLOOKUP($A15,'Data Vlaue (Cr)'!$C:$FB,67)</f>
        <v>17192</v>
      </c>
      <c r="M15" s="75">
        <f>VLOOKUP($A15,'Data Vlaue (Cr)'!$C:$FB,68)</f>
        <v>25046</v>
      </c>
      <c r="N15" s="75">
        <f t="shared" si="4"/>
        <v>-7854</v>
      </c>
      <c r="O15" s="75">
        <f t="shared" si="5"/>
        <v>-45.68403908794788</v>
      </c>
      <c r="P15" s="75">
        <f>VLOOKUP($A15,'Data Vlaue (Cr)'!$C:$FB,119)</f>
        <v>0.9</v>
      </c>
      <c r="Q15" s="75">
        <f>VLOOKUP($A15,'Data Vlaue (Cr)'!$C:$FB,122)*100</f>
        <v>4.6500000000000004</v>
      </c>
      <c r="R15" s="75">
        <f>VLOOKUP($A15,'Data Vlaue (Cr)'!$C:$FB,125)</f>
        <v>0.46</v>
      </c>
      <c r="S15" s="75">
        <f>VLOOKUP($A15,'Data Vlaue (Cr)'!$C:$FB,128)*100</f>
        <v>27.779999999999998</v>
      </c>
    </row>
    <row r="16" spans="1:19" x14ac:dyDescent="0.25">
      <c r="A16" s="96" t="str">
        <f>'Data Vlaue (Cr)'!C7</f>
        <v>ADANIGREEN</v>
      </c>
      <c r="B16" s="75">
        <f>VLOOKUP($A16,'Data Vlaue (Cr)'!$C:$FB,2)</f>
        <v>600</v>
      </c>
      <c r="C16" s="75">
        <f>VLOOKUP($A16,'Data Vlaue (Cr)'!$C:$FB,8)</f>
        <v>1457.4</v>
      </c>
      <c r="D16" s="75">
        <f>VLOOKUP($A16,'Data Vlaue (Cr)'!$C:$FB,4)</f>
        <v>1468.4</v>
      </c>
      <c r="E16" s="75">
        <f>VLOOKUP($A16,'Data Vlaue (Cr)'!$C:$FB,5)</f>
        <v>1422.3</v>
      </c>
      <c r="F16" s="75">
        <f t="shared" si="0"/>
        <v>11</v>
      </c>
      <c r="G16" s="75">
        <f t="shared" si="1"/>
        <v>3.1394715336420687</v>
      </c>
      <c r="H16" s="75">
        <f>VLOOKUP($A16,'Data Vlaue (Cr)'!$C:$FB,99)</f>
        <v>4140</v>
      </c>
      <c r="I16" s="75">
        <f>VLOOKUP($A16,'Data Vlaue (Cr)'!$C:$FB,100)</f>
        <v>5955</v>
      </c>
      <c r="J16" s="75">
        <f t="shared" si="2"/>
        <v>-1815</v>
      </c>
      <c r="K16" s="75">
        <f t="shared" si="3"/>
        <v>-43.840579710144929</v>
      </c>
      <c r="L16" s="75">
        <f>VLOOKUP($A16,'Data Vlaue (Cr)'!$C:$FB,67)</f>
        <v>6834</v>
      </c>
      <c r="M16" s="75">
        <f>VLOOKUP($A16,'Data Vlaue (Cr)'!$C:$FB,68)</f>
        <v>8860</v>
      </c>
      <c r="N16" s="75">
        <f t="shared" si="4"/>
        <v>-2026</v>
      </c>
      <c r="O16" s="75">
        <f t="shared" si="5"/>
        <v>-29.64588820602868</v>
      </c>
      <c r="P16" s="75">
        <f>VLOOKUP($A16,'Data Vlaue (Cr)'!$C:$FB,119)</f>
        <v>0.72</v>
      </c>
      <c r="Q16" s="75">
        <f>VLOOKUP($A16,'Data Vlaue (Cr)'!$C:$FB,122)*100</f>
        <v>-8.86</v>
      </c>
      <c r="R16" s="75">
        <f>VLOOKUP($A16,'Data Vlaue (Cr)'!$C:$FB,125)</f>
        <v>0.37</v>
      </c>
      <c r="S16" s="75">
        <f>VLOOKUP($A16,'Data Vlaue (Cr)'!$C:$FB,128)*100</f>
        <v>2.78</v>
      </c>
    </row>
    <row r="17" spans="1:19" x14ac:dyDescent="0.25">
      <c r="A17" s="96" t="str">
        <f>'Data Vlaue (Cr)'!C8</f>
        <v>ADANIPORTS</v>
      </c>
      <c r="B17" s="75">
        <f>VLOOKUP($A17,'Data Vlaue (Cr)'!$C:$FB,2)</f>
        <v>475</v>
      </c>
      <c r="C17" s="75">
        <f>VLOOKUP($A17,'Data Vlaue (Cr)'!$C:$FB,8)</f>
        <v>1811.2</v>
      </c>
      <c r="D17" s="75">
        <f>VLOOKUP($A17,'Data Vlaue (Cr)'!$C:$FB,4)</f>
        <v>1816.6</v>
      </c>
      <c r="E17" s="75">
        <f>VLOOKUP($A17,'Data Vlaue (Cr)'!$C:$FB,5)</f>
        <v>1808.6</v>
      </c>
      <c r="F17" s="75">
        <f t="shared" si="0"/>
        <v>5.3999999999998636</v>
      </c>
      <c r="G17" s="75">
        <f t="shared" si="1"/>
        <v>0.44038313332599366</v>
      </c>
      <c r="H17" s="75">
        <f>VLOOKUP($A17,'Data Vlaue (Cr)'!$C:$FB,99)</f>
        <v>4961</v>
      </c>
      <c r="I17" s="75">
        <f>VLOOKUP($A17,'Data Vlaue (Cr)'!$C:$FB,100)</f>
        <v>7450</v>
      </c>
      <c r="J17" s="75">
        <f t="shared" si="2"/>
        <v>-2489</v>
      </c>
      <c r="K17" s="75">
        <f t="shared" si="3"/>
        <v>-50.171336424108034</v>
      </c>
      <c r="L17" s="75">
        <f>VLOOKUP($A17,'Data Vlaue (Cr)'!$C:$FB,67)</f>
        <v>4191</v>
      </c>
      <c r="M17" s="75">
        <f>VLOOKUP($A17,'Data Vlaue (Cr)'!$C:$FB,68)</f>
        <v>8456</v>
      </c>
      <c r="N17" s="75">
        <f t="shared" si="4"/>
        <v>-4265</v>
      </c>
      <c r="O17" s="75">
        <f t="shared" si="5"/>
        <v>-101.76568837986161</v>
      </c>
      <c r="P17" s="75">
        <f>VLOOKUP($A17,'Data Vlaue (Cr)'!$C:$FB,119)</f>
        <v>0.53</v>
      </c>
      <c r="Q17" s="75">
        <f>VLOOKUP($A17,'Data Vlaue (Cr)'!$C:$FB,122)*100</f>
        <v>-26.39</v>
      </c>
      <c r="R17" s="75">
        <f>VLOOKUP($A17,'Data Vlaue (Cr)'!$C:$FB,125)</f>
        <v>0.45</v>
      </c>
      <c r="S17" s="75">
        <f>VLOOKUP($A17,'Data Vlaue (Cr)'!$C:$FB,128)*100</f>
        <v>-16.669999999999998</v>
      </c>
    </row>
    <row r="18" spans="1:19" x14ac:dyDescent="0.25">
      <c r="A18" s="96" t="str">
        <f>'Data Vlaue (Cr)'!C9</f>
        <v>ADANIPOWER</v>
      </c>
      <c r="B18" s="75">
        <f>VLOOKUP($A18,'Data Vlaue (Cr)'!$C:$FB,2)</f>
        <v>3550</v>
      </c>
      <c r="C18" s="75">
        <f>VLOOKUP($A18,'Data Vlaue (Cr)'!$C:$FB,8)</f>
        <v>244.53</v>
      </c>
      <c r="D18" s="75">
        <f>VLOOKUP($A18,'Data Vlaue (Cr)'!$C:$FB,4)</f>
        <v>246.49</v>
      </c>
      <c r="E18" s="75">
        <f>VLOOKUP($A18,'Data Vlaue (Cr)'!$C:$FB,5)</f>
        <v>235.26</v>
      </c>
      <c r="F18" s="75">
        <f t="shared" si="0"/>
        <v>1.960000000000008</v>
      </c>
      <c r="G18" s="75">
        <f t="shared" si="1"/>
        <v>4.555965759260018</v>
      </c>
      <c r="H18" s="75">
        <f>VLOOKUP($A18,'Data Vlaue (Cr)'!$C:$FB,99)</f>
        <v>3445</v>
      </c>
      <c r="I18" s="75">
        <f>VLOOKUP($A18,'Data Vlaue (Cr)'!$C:$FB,100)</f>
        <v>4155</v>
      </c>
      <c r="J18" s="75">
        <f t="shared" si="2"/>
        <v>-710</v>
      </c>
      <c r="K18" s="75">
        <f t="shared" si="3"/>
        <v>-20.609579100145137</v>
      </c>
      <c r="L18" s="75">
        <f>VLOOKUP($A18,'Data Vlaue (Cr)'!$C:$FB,67)</f>
        <v>9163</v>
      </c>
      <c r="M18" s="75">
        <f>VLOOKUP($A18,'Data Vlaue (Cr)'!$C:$FB,68)</f>
        <v>11076</v>
      </c>
      <c r="N18" s="75">
        <f t="shared" si="4"/>
        <v>-1913</v>
      </c>
      <c r="O18" s="75">
        <f t="shared" si="5"/>
        <v>-20.877441885845247</v>
      </c>
      <c r="P18" s="75">
        <f>VLOOKUP($A18,'Data Vlaue (Cr)'!$C:$FB,119)</f>
        <v>0.71</v>
      </c>
      <c r="Q18" s="75">
        <f>VLOOKUP($A18,'Data Vlaue (Cr)'!$C:$FB,122)*100</f>
        <v>12.7</v>
      </c>
      <c r="R18" s="75">
        <f>VLOOKUP($A18,'Data Vlaue (Cr)'!$C:$FB,125)</f>
        <v>0.31</v>
      </c>
      <c r="S18" s="75">
        <f>VLOOKUP($A18,'Data Vlaue (Cr)'!$C:$FB,128)*100</f>
        <v>6.9</v>
      </c>
    </row>
    <row r="19" spans="1:19" x14ac:dyDescent="0.25">
      <c r="A19" s="96" t="str">
        <f>'Data Vlaue (Cr)'!C10</f>
        <v>ALKEM</v>
      </c>
      <c r="B19" s="75">
        <f>VLOOKUP($A19,'Data Vlaue (Cr)'!$C:$FB,2)</f>
        <v>125</v>
      </c>
      <c r="C19" s="75">
        <f>VLOOKUP($A19,'Data Vlaue (Cr)'!$C:$FB,8)</f>
        <v>5380</v>
      </c>
      <c r="D19" s="75">
        <f>VLOOKUP($A19,'Data Vlaue (Cr)'!$C:$FB,4)</f>
        <v>5420.5</v>
      </c>
      <c r="E19" s="75">
        <f>VLOOKUP($A19,'Data Vlaue (Cr)'!$C:$FB,5)</f>
        <v>5422.5</v>
      </c>
      <c r="F19" s="75">
        <f t="shared" si="0"/>
        <v>40.5</v>
      </c>
      <c r="G19" s="75">
        <f t="shared" si="1"/>
        <v>-3.6896965224610272E-2</v>
      </c>
      <c r="H19" s="75">
        <f>VLOOKUP($A19,'Data Vlaue (Cr)'!$C:$FB,99)</f>
        <v>774</v>
      </c>
      <c r="I19" s="75">
        <f>VLOOKUP($A19,'Data Vlaue (Cr)'!$C:$FB,100)</f>
        <v>1013</v>
      </c>
      <c r="J19" s="75">
        <f t="shared" si="2"/>
        <v>-239</v>
      </c>
      <c r="K19" s="75">
        <f t="shared" si="3"/>
        <v>-30.87855297157623</v>
      </c>
      <c r="L19" s="75">
        <f>VLOOKUP($A19,'Data Vlaue (Cr)'!$C:$FB,67)</f>
        <v>870</v>
      </c>
      <c r="M19" s="75">
        <f>VLOOKUP($A19,'Data Vlaue (Cr)'!$C:$FB,68)</f>
        <v>866</v>
      </c>
      <c r="N19" s="75">
        <f t="shared" si="4"/>
        <v>4</v>
      </c>
      <c r="O19" s="75">
        <f t="shared" si="5"/>
        <v>0.45977011494252873</v>
      </c>
      <c r="P19" s="75">
        <f>VLOOKUP($A19,'Data Vlaue (Cr)'!$C:$FB,119)</f>
        <v>0.78</v>
      </c>
      <c r="Q19" s="75">
        <f>VLOOKUP($A19,'Data Vlaue (Cr)'!$C:$FB,122)*100</f>
        <v>52.94</v>
      </c>
      <c r="R19" s="75">
        <f>VLOOKUP($A19,'Data Vlaue (Cr)'!$C:$FB,125)</f>
        <v>1.82</v>
      </c>
      <c r="S19" s="75">
        <f>VLOOKUP($A19,'Data Vlaue (Cr)'!$C:$FB,128)*100</f>
        <v>333.33</v>
      </c>
    </row>
    <row r="20" spans="1:19" x14ac:dyDescent="0.25">
      <c r="A20" s="96" t="str">
        <f>'Data Vlaue (Cr)'!C11</f>
        <v>AMBER</v>
      </c>
      <c r="B20" s="75">
        <f>VLOOKUP($A20,'Data Vlaue (Cr)'!$C:$FB,2)</f>
        <v>100</v>
      </c>
      <c r="C20" s="75">
        <f>VLOOKUP($A20,'Data Vlaue (Cr)'!$C:$FB,8)</f>
        <v>7312</v>
      </c>
      <c r="D20" s="75">
        <f>VLOOKUP($A20,'Data Vlaue (Cr)'!$C:$FB,4)</f>
        <v>7377</v>
      </c>
      <c r="E20" s="75">
        <f>VLOOKUP($A20,'Data Vlaue (Cr)'!$C:$FB,5)</f>
        <v>7524.5</v>
      </c>
      <c r="F20" s="75">
        <f t="shared" si="0"/>
        <v>65</v>
      </c>
      <c r="G20" s="75">
        <f t="shared" si="1"/>
        <v>-1.9994577741629389</v>
      </c>
      <c r="H20" s="75">
        <f>VLOOKUP($A20,'Data Vlaue (Cr)'!$C:$FB,99)</f>
        <v>3662</v>
      </c>
      <c r="I20" s="75">
        <f>VLOOKUP($A20,'Data Vlaue (Cr)'!$C:$FB,100)</f>
        <v>6082</v>
      </c>
      <c r="J20" s="75">
        <f t="shared" si="2"/>
        <v>-2420</v>
      </c>
      <c r="K20" s="75">
        <f t="shared" si="3"/>
        <v>-66.084107045330427</v>
      </c>
      <c r="L20" s="75">
        <f>VLOOKUP($A20,'Data Vlaue (Cr)'!$C:$FB,67)</f>
        <v>5202</v>
      </c>
      <c r="M20" s="75">
        <f>VLOOKUP($A20,'Data Vlaue (Cr)'!$C:$FB,68)</f>
        <v>9122</v>
      </c>
      <c r="N20" s="75">
        <f t="shared" si="4"/>
        <v>-3920</v>
      </c>
      <c r="O20" s="75">
        <f t="shared" si="5"/>
        <v>-75.355632449058049</v>
      </c>
      <c r="P20" s="75">
        <f>VLOOKUP($A20,'Data Vlaue (Cr)'!$C:$FB,119)</f>
        <v>0.97</v>
      </c>
      <c r="Q20" s="75">
        <f>VLOOKUP($A20,'Data Vlaue (Cr)'!$C:$FB,122)*100</f>
        <v>67.239999999999995</v>
      </c>
      <c r="R20" s="75">
        <f>VLOOKUP($A20,'Data Vlaue (Cr)'!$C:$FB,125)</f>
        <v>0.52</v>
      </c>
      <c r="S20" s="75">
        <f>VLOOKUP($A20,'Data Vlaue (Cr)'!$C:$FB,128)*100</f>
        <v>-33.33</v>
      </c>
    </row>
    <row r="21" spans="1:19" x14ac:dyDescent="0.25">
      <c r="A21" s="96" t="str">
        <f>'Data Vlaue (Cr)'!C12</f>
        <v>AMBUJACEM</v>
      </c>
      <c r="B21" s="75">
        <f>VLOOKUP($A21,'Data Vlaue (Cr)'!$C:$FB,2)</f>
        <v>1050</v>
      </c>
      <c r="C21" s="75">
        <f>VLOOKUP($A21,'Data Vlaue (Cr)'!$C:$FB,8)</f>
        <v>449.7</v>
      </c>
      <c r="D21" s="75">
        <f>VLOOKUP($A21,'Data Vlaue (Cr)'!$C:$FB,4)</f>
        <v>451.25</v>
      </c>
      <c r="E21" s="75">
        <f>VLOOKUP($A21,'Data Vlaue (Cr)'!$C:$FB,5)</f>
        <v>443.55</v>
      </c>
      <c r="F21" s="75">
        <f t="shared" si="0"/>
        <v>1.5500000000000114</v>
      </c>
      <c r="G21" s="75">
        <f t="shared" si="1"/>
        <v>1.7063711911357315</v>
      </c>
      <c r="H21" s="75">
        <f>VLOOKUP($A21,'Data Vlaue (Cr)'!$C:$FB,99)</f>
        <v>3922</v>
      </c>
      <c r="I21" s="75">
        <f>VLOOKUP($A21,'Data Vlaue (Cr)'!$C:$FB,100)</f>
        <v>4636</v>
      </c>
      <c r="J21" s="75">
        <f t="shared" si="2"/>
        <v>-714</v>
      </c>
      <c r="K21" s="75">
        <f t="shared" si="3"/>
        <v>-18.204997450280469</v>
      </c>
      <c r="L21" s="75">
        <f>VLOOKUP($A21,'Data Vlaue (Cr)'!$C:$FB,67)</f>
        <v>3220</v>
      </c>
      <c r="M21" s="75">
        <f>VLOOKUP($A21,'Data Vlaue (Cr)'!$C:$FB,68)</f>
        <v>2775</v>
      </c>
      <c r="N21" s="75">
        <f t="shared" si="4"/>
        <v>445</v>
      </c>
      <c r="O21" s="75">
        <f t="shared" si="5"/>
        <v>13.819875776397517</v>
      </c>
      <c r="P21" s="75">
        <f>VLOOKUP($A21,'Data Vlaue (Cr)'!$C:$FB,119)</f>
        <v>0.97</v>
      </c>
      <c r="Q21" s="75">
        <f>VLOOKUP($A21,'Data Vlaue (Cr)'!$C:$FB,122)*100</f>
        <v>53.97</v>
      </c>
      <c r="R21" s="75">
        <f>VLOOKUP($A21,'Data Vlaue (Cr)'!$C:$FB,125)</f>
        <v>0.44</v>
      </c>
      <c r="S21" s="75">
        <f>VLOOKUP($A21,'Data Vlaue (Cr)'!$C:$FB,128)*100</f>
        <v>-15.379999999999999</v>
      </c>
    </row>
    <row r="22" spans="1:19" x14ac:dyDescent="0.25">
      <c r="A22" s="96" t="str">
        <f>'Data Vlaue (Cr)'!C13</f>
        <v>ANGELONE</v>
      </c>
      <c r="B22" s="75">
        <f>VLOOKUP($A22,'Data Vlaue (Cr)'!$C:$FB,2)</f>
        <v>2500</v>
      </c>
      <c r="C22" s="75">
        <f>VLOOKUP($A22,'Data Vlaue (Cr)'!$C:$FB,8)</f>
        <v>344.45</v>
      </c>
      <c r="D22" s="75">
        <f>VLOOKUP($A22,'Data Vlaue (Cr)'!$C:$FB,4)</f>
        <v>346.2</v>
      </c>
      <c r="E22" s="75">
        <f>VLOOKUP($A22,'Data Vlaue (Cr)'!$C:$FB,5)</f>
        <v>349.1</v>
      </c>
      <c r="F22" s="75">
        <f t="shared" si="0"/>
        <v>1.75</v>
      </c>
      <c r="G22" s="75">
        <f t="shared" si="1"/>
        <v>-0.83766608896592554</v>
      </c>
      <c r="H22" s="75">
        <f>VLOOKUP($A22,'Data Vlaue (Cr)'!$C:$FB,99)</f>
        <v>1344</v>
      </c>
      <c r="I22" s="75">
        <f>VLOOKUP($A22,'Data Vlaue (Cr)'!$C:$FB,100)</f>
        <v>2400</v>
      </c>
      <c r="J22" s="75">
        <f t="shared" si="2"/>
        <v>-1056</v>
      </c>
      <c r="K22" s="75">
        <f t="shared" si="3"/>
        <v>-78.571428571428569</v>
      </c>
      <c r="L22" s="75">
        <f>VLOOKUP($A22,'Data Vlaue (Cr)'!$C:$FB,67)</f>
        <v>2198</v>
      </c>
      <c r="M22" s="75">
        <f>VLOOKUP($A22,'Data Vlaue (Cr)'!$C:$FB,68)</f>
        <v>4062</v>
      </c>
      <c r="N22" s="75">
        <f t="shared" si="4"/>
        <v>-1864</v>
      </c>
      <c r="O22" s="75">
        <f t="shared" si="5"/>
        <v>-84.804367606915378</v>
      </c>
      <c r="P22" s="75">
        <f>VLOOKUP($A22,'Data Vlaue (Cr)'!$C:$FB,119)</f>
        <v>0.89</v>
      </c>
      <c r="Q22" s="75">
        <f>VLOOKUP($A22,'Data Vlaue (Cr)'!$C:$FB,122)*100</f>
        <v>-1.1100000000000001</v>
      </c>
      <c r="R22" s="75">
        <f>VLOOKUP($A22,'Data Vlaue (Cr)'!$C:$FB,125)</f>
        <v>0.75</v>
      </c>
      <c r="S22" s="75">
        <f>VLOOKUP($A22,'Data Vlaue (Cr)'!$C:$FB,128)*100</f>
        <v>29.310000000000002</v>
      </c>
    </row>
    <row r="23" spans="1:19" x14ac:dyDescent="0.25">
      <c r="A23" s="96" t="str">
        <f>'Data Vlaue (Cr)'!C14</f>
        <v>APLAPOLLO</v>
      </c>
      <c r="B23" s="75">
        <f>VLOOKUP($A23,'Data Vlaue (Cr)'!$C:$FB,2)</f>
        <v>350</v>
      </c>
      <c r="C23" s="75">
        <f>VLOOKUP($A23,'Data Vlaue (Cr)'!$C:$FB,8)</f>
        <v>1874.1</v>
      </c>
      <c r="D23" s="75">
        <f>VLOOKUP($A23,'Data Vlaue (Cr)'!$C:$FB,4)</f>
        <v>1884</v>
      </c>
      <c r="E23" s="75">
        <f>VLOOKUP($A23,'Data Vlaue (Cr)'!$C:$FB,5)</f>
        <v>1908.7</v>
      </c>
      <c r="F23" s="75">
        <f t="shared" si="0"/>
        <v>9.9000000000000909</v>
      </c>
      <c r="G23" s="75">
        <f t="shared" si="1"/>
        <v>-1.3110403397027626</v>
      </c>
      <c r="H23" s="75">
        <f>VLOOKUP($A23,'Data Vlaue (Cr)'!$C:$FB,99)</f>
        <v>1217</v>
      </c>
      <c r="I23" s="75">
        <f>VLOOKUP($A23,'Data Vlaue (Cr)'!$C:$FB,100)</f>
        <v>1681</v>
      </c>
      <c r="J23" s="75">
        <f t="shared" si="2"/>
        <v>-464</v>
      </c>
      <c r="K23" s="75">
        <f t="shared" si="3"/>
        <v>-38.126540673788</v>
      </c>
      <c r="L23" s="75">
        <f>VLOOKUP($A23,'Data Vlaue (Cr)'!$C:$FB,67)</f>
        <v>1229</v>
      </c>
      <c r="M23" s="75">
        <f>VLOOKUP($A23,'Data Vlaue (Cr)'!$C:$FB,68)</f>
        <v>1308</v>
      </c>
      <c r="N23" s="75">
        <f t="shared" si="4"/>
        <v>-79</v>
      </c>
      <c r="O23" s="75">
        <f t="shared" si="5"/>
        <v>-6.4279902359641987</v>
      </c>
      <c r="P23" s="75">
        <f>VLOOKUP($A23,'Data Vlaue (Cr)'!$C:$FB,119)</f>
        <v>1.18</v>
      </c>
      <c r="Q23" s="75">
        <f>VLOOKUP($A23,'Data Vlaue (Cr)'!$C:$FB,122)*100</f>
        <v>96.67</v>
      </c>
      <c r="R23" s="75">
        <f>VLOOKUP($A23,'Data Vlaue (Cr)'!$C:$FB,125)</f>
        <v>0.88</v>
      </c>
      <c r="S23" s="75">
        <f>VLOOKUP($A23,'Data Vlaue (Cr)'!$C:$FB,128)*100</f>
        <v>91.3</v>
      </c>
    </row>
    <row r="24" spans="1:19" x14ac:dyDescent="0.25">
      <c r="A24" s="96" t="str">
        <f>'Data Vlaue (Cr)'!C15</f>
        <v>APOLLOHOSP</v>
      </c>
      <c r="B24" s="75">
        <f>VLOOKUP($A24,'Data Vlaue (Cr)'!$C:$FB,2)</f>
        <v>125</v>
      </c>
      <c r="C24" s="75">
        <f>VLOOKUP($A24,'Data Vlaue (Cr)'!$C:$FB,8)</f>
        <v>8258.5</v>
      </c>
      <c r="D24" s="75">
        <f>VLOOKUP($A24,'Data Vlaue (Cr)'!$C:$FB,4)</f>
        <v>8315</v>
      </c>
      <c r="E24" s="75">
        <f>VLOOKUP($A24,'Data Vlaue (Cr)'!$C:$FB,5)</f>
        <v>8448.5</v>
      </c>
      <c r="F24" s="75">
        <f t="shared" si="0"/>
        <v>56.5</v>
      </c>
      <c r="G24" s="75">
        <f t="shared" si="1"/>
        <v>-1.6055321707757066</v>
      </c>
      <c r="H24" s="75">
        <f>VLOOKUP($A24,'Data Vlaue (Cr)'!$C:$FB,99)</f>
        <v>2273</v>
      </c>
      <c r="I24" s="75">
        <f>VLOOKUP($A24,'Data Vlaue (Cr)'!$C:$FB,100)</f>
        <v>4062</v>
      </c>
      <c r="J24" s="75">
        <f t="shared" si="2"/>
        <v>-1789</v>
      </c>
      <c r="K24" s="75">
        <f t="shared" si="3"/>
        <v>-78.706555213374401</v>
      </c>
      <c r="L24" s="75">
        <f>VLOOKUP($A24,'Data Vlaue (Cr)'!$C:$FB,67)</f>
        <v>2963</v>
      </c>
      <c r="M24" s="75">
        <f>VLOOKUP($A24,'Data Vlaue (Cr)'!$C:$FB,68)</f>
        <v>4917</v>
      </c>
      <c r="N24" s="75">
        <f t="shared" si="4"/>
        <v>-1954</v>
      </c>
      <c r="O24" s="75">
        <f t="shared" si="5"/>
        <v>-65.946675666554171</v>
      </c>
      <c r="P24" s="75">
        <f>VLOOKUP($A24,'Data Vlaue (Cr)'!$C:$FB,119)</f>
        <v>0.63</v>
      </c>
      <c r="Q24" s="75">
        <f>VLOOKUP($A24,'Data Vlaue (Cr)'!$C:$FB,122)*100</f>
        <v>-41.67</v>
      </c>
      <c r="R24" s="75">
        <f>VLOOKUP($A24,'Data Vlaue (Cr)'!$C:$FB,125)</f>
        <v>0.99</v>
      </c>
      <c r="S24" s="75">
        <f>VLOOKUP($A24,'Data Vlaue (Cr)'!$C:$FB,128)*100</f>
        <v>20.73</v>
      </c>
    </row>
    <row r="25" spans="1:19" x14ac:dyDescent="0.25">
      <c r="A25" s="96" t="str">
        <f>'Data Vlaue (Cr)'!C16</f>
        <v>ASHOKLEY</v>
      </c>
      <c r="B25" s="75">
        <f>VLOOKUP($A25,'Data Vlaue (Cr)'!$C:$FB,2)</f>
        <v>5000</v>
      </c>
      <c r="C25" s="75">
        <f>VLOOKUP($A25,'Data Vlaue (Cr)'!$C:$FB,8)</f>
        <v>160.54</v>
      </c>
      <c r="D25" s="75">
        <f>VLOOKUP($A25,'Data Vlaue (Cr)'!$C:$FB,4)</f>
        <v>160.74</v>
      </c>
      <c r="E25" s="75">
        <f>VLOOKUP($A25,'Data Vlaue (Cr)'!$C:$FB,5)</f>
        <v>164</v>
      </c>
      <c r="F25" s="75">
        <f t="shared" si="0"/>
        <v>0.20000000000001705</v>
      </c>
      <c r="G25" s="75">
        <f t="shared" si="1"/>
        <v>-2.0281199452531982</v>
      </c>
      <c r="H25" s="75">
        <f>VLOOKUP($A25,'Data Vlaue (Cr)'!$C:$FB,99)</f>
        <v>4231</v>
      </c>
      <c r="I25" s="75">
        <f>VLOOKUP($A25,'Data Vlaue (Cr)'!$C:$FB,100)</f>
        <v>5840</v>
      </c>
      <c r="J25" s="75">
        <f t="shared" si="2"/>
        <v>-1609</v>
      </c>
      <c r="K25" s="75">
        <f t="shared" si="3"/>
        <v>-38.028834790829592</v>
      </c>
      <c r="L25" s="75">
        <f>VLOOKUP($A25,'Data Vlaue (Cr)'!$C:$FB,67)</f>
        <v>3364</v>
      </c>
      <c r="M25" s="75">
        <f>VLOOKUP($A25,'Data Vlaue (Cr)'!$C:$FB,68)</f>
        <v>8258</v>
      </c>
      <c r="N25" s="75">
        <f t="shared" si="4"/>
        <v>-4894</v>
      </c>
      <c r="O25" s="75">
        <f t="shared" si="5"/>
        <v>-145.48156956004757</v>
      </c>
      <c r="P25" s="75">
        <f>VLOOKUP($A25,'Data Vlaue (Cr)'!$C:$FB,119)</f>
        <v>0.9</v>
      </c>
      <c r="Q25" s="75">
        <f>VLOOKUP($A25,'Data Vlaue (Cr)'!$C:$FB,122)*100</f>
        <v>20</v>
      </c>
      <c r="R25" s="75">
        <f>VLOOKUP($A25,'Data Vlaue (Cr)'!$C:$FB,125)</f>
        <v>0.64</v>
      </c>
      <c r="S25" s="75">
        <f>VLOOKUP($A25,'Data Vlaue (Cr)'!$C:$FB,128)*100</f>
        <v>60</v>
      </c>
    </row>
    <row r="26" spans="1:19" x14ac:dyDescent="0.25">
      <c r="A26" s="96" t="str">
        <f>'Data Vlaue (Cr)'!C17</f>
        <v>ASIANPAINT</v>
      </c>
      <c r="B26" s="75">
        <f>VLOOKUP($A26,'Data Vlaue (Cr)'!$C:$FB,2)</f>
        <v>250</v>
      </c>
      <c r="C26" s="75">
        <f>VLOOKUP($A26,'Data Vlaue (Cr)'!$C:$FB,8)</f>
        <v>2647</v>
      </c>
      <c r="D26" s="75">
        <f>VLOOKUP($A26,'Data Vlaue (Cr)'!$C:$FB,4)</f>
        <v>2646.4</v>
      </c>
      <c r="E26" s="75">
        <f>VLOOKUP($A26,'Data Vlaue (Cr)'!$C:$FB,5)</f>
        <v>2654</v>
      </c>
      <c r="F26" s="75">
        <f t="shared" si="0"/>
        <v>-0.59999999999990905</v>
      </c>
      <c r="G26" s="75">
        <f t="shared" si="1"/>
        <v>-0.28718258766626015</v>
      </c>
      <c r="H26" s="75">
        <f>VLOOKUP($A26,'Data Vlaue (Cr)'!$C:$FB,99)</f>
        <v>3795</v>
      </c>
      <c r="I26" s="75">
        <f>VLOOKUP($A26,'Data Vlaue (Cr)'!$C:$FB,100)</f>
        <v>6690</v>
      </c>
      <c r="J26" s="75">
        <f t="shared" si="2"/>
        <v>-2895</v>
      </c>
      <c r="K26" s="75">
        <f t="shared" si="3"/>
        <v>-76.284584980237156</v>
      </c>
      <c r="L26" s="75">
        <f>VLOOKUP($A26,'Data Vlaue (Cr)'!$C:$FB,67)</f>
        <v>3453</v>
      </c>
      <c r="M26" s="75">
        <f>VLOOKUP($A26,'Data Vlaue (Cr)'!$C:$FB,68)</f>
        <v>8163</v>
      </c>
      <c r="N26" s="75">
        <f t="shared" si="4"/>
        <v>-4710</v>
      </c>
      <c r="O26" s="75">
        <f t="shared" si="5"/>
        <v>-136.40312771503039</v>
      </c>
      <c r="P26" s="75">
        <f>VLOOKUP($A26,'Data Vlaue (Cr)'!$C:$FB,119)</f>
        <v>0.68</v>
      </c>
      <c r="Q26" s="75">
        <f>VLOOKUP($A26,'Data Vlaue (Cr)'!$C:$FB,122)*100</f>
        <v>6.25</v>
      </c>
      <c r="R26" s="75">
        <f>VLOOKUP($A26,'Data Vlaue (Cr)'!$C:$FB,125)</f>
        <v>0.62</v>
      </c>
      <c r="S26" s="75">
        <f>VLOOKUP($A26,'Data Vlaue (Cr)'!$C:$FB,128)*100</f>
        <v>3.3300000000000005</v>
      </c>
    </row>
    <row r="27" spans="1:19" x14ac:dyDescent="0.25">
      <c r="A27" s="96" t="str">
        <f>'Data Vlaue (Cr)'!C18</f>
        <v>ASTRAL</v>
      </c>
      <c r="B27" s="75">
        <f>VLOOKUP($A27,'Data Vlaue (Cr)'!$C:$FB,2)</f>
        <v>425</v>
      </c>
      <c r="C27" s="75">
        <f>VLOOKUP($A27,'Data Vlaue (Cr)'!$C:$FB,8)</f>
        <v>1578.8</v>
      </c>
      <c r="D27" s="75">
        <f>VLOOKUP($A27,'Data Vlaue (Cr)'!$C:$FB,4)</f>
        <v>1565.7</v>
      </c>
      <c r="E27" s="75">
        <f>VLOOKUP($A27,'Data Vlaue (Cr)'!$C:$FB,5)</f>
        <v>1547.9</v>
      </c>
      <c r="F27" s="75">
        <f t="shared" si="0"/>
        <v>-13.099999999999909</v>
      </c>
      <c r="G27" s="75">
        <f t="shared" si="1"/>
        <v>1.1368716867854605</v>
      </c>
      <c r="H27" s="75">
        <f>VLOOKUP($A27,'Data Vlaue (Cr)'!$C:$FB,99)</f>
        <v>1482</v>
      </c>
      <c r="I27" s="75">
        <f>VLOOKUP($A27,'Data Vlaue (Cr)'!$C:$FB,100)</f>
        <v>2279</v>
      </c>
      <c r="J27" s="75">
        <f t="shared" si="2"/>
        <v>-797</v>
      </c>
      <c r="K27" s="75">
        <f t="shared" si="3"/>
        <v>-53.778677462887991</v>
      </c>
      <c r="L27" s="75">
        <f>VLOOKUP($A27,'Data Vlaue (Cr)'!$C:$FB,67)</f>
        <v>1727</v>
      </c>
      <c r="M27" s="75">
        <f>VLOOKUP($A27,'Data Vlaue (Cr)'!$C:$FB,68)</f>
        <v>2395</v>
      </c>
      <c r="N27" s="75">
        <f t="shared" si="4"/>
        <v>-668</v>
      </c>
      <c r="O27" s="75">
        <f t="shared" si="5"/>
        <v>-38.679791546033584</v>
      </c>
      <c r="P27" s="75">
        <f>VLOOKUP($A27,'Data Vlaue (Cr)'!$C:$FB,119)</f>
        <v>0.56999999999999995</v>
      </c>
      <c r="Q27" s="75">
        <f>VLOOKUP($A27,'Data Vlaue (Cr)'!$C:$FB,122)*100</f>
        <v>-28.749999999999996</v>
      </c>
      <c r="R27" s="75">
        <f>VLOOKUP($A27,'Data Vlaue (Cr)'!$C:$FB,125)</f>
        <v>0.54</v>
      </c>
      <c r="S27" s="75">
        <f>VLOOKUP($A27,'Data Vlaue (Cr)'!$C:$FB,128)*100</f>
        <v>20</v>
      </c>
    </row>
    <row r="28" spans="1:19" x14ac:dyDescent="0.25">
      <c r="A28" s="96" t="str">
        <f>'Data Vlaue (Cr)'!C19</f>
        <v>AUBANK</v>
      </c>
      <c r="B28" s="75">
        <f>VLOOKUP($A28,'Data Vlaue (Cr)'!$C:$FB,2)</f>
        <v>1000</v>
      </c>
      <c r="C28" s="75">
        <f>VLOOKUP($A28,'Data Vlaue (Cr)'!$C:$FB,8)</f>
        <v>1011.8</v>
      </c>
      <c r="D28" s="75">
        <f>VLOOKUP($A28,'Data Vlaue (Cr)'!$C:$FB,4)</f>
        <v>1021</v>
      </c>
      <c r="E28" s="75">
        <f>VLOOKUP($A28,'Data Vlaue (Cr)'!$C:$FB,5)</f>
        <v>1008</v>
      </c>
      <c r="F28" s="75">
        <f t="shared" si="0"/>
        <v>9.2000000000000455</v>
      </c>
      <c r="G28" s="75">
        <f t="shared" si="1"/>
        <v>1.2732615083251715</v>
      </c>
      <c r="H28" s="75">
        <f>VLOOKUP($A28,'Data Vlaue (Cr)'!$C:$FB,99)</f>
        <v>3038</v>
      </c>
      <c r="I28" s="75">
        <f>VLOOKUP($A28,'Data Vlaue (Cr)'!$C:$FB,100)</f>
        <v>4033</v>
      </c>
      <c r="J28" s="75">
        <f t="shared" si="2"/>
        <v>-995</v>
      </c>
      <c r="K28" s="75">
        <f t="shared" si="3"/>
        <v>-32.751810401579988</v>
      </c>
      <c r="L28" s="75">
        <f>VLOOKUP($A28,'Data Vlaue (Cr)'!$C:$FB,67)</f>
        <v>1970</v>
      </c>
      <c r="M28" s="75">
        <f>VLOOKUP($A28,'Data Vlaue (Cr)'!$C:$FB,68)</f>
        <v>4173</v>
      </c>
      <c r="N28" s="75">
        <f t="shared" si="4"/>
        <v>-2203</v>
      </c>
      <c r="O28" s="75">
        <f t="shared" si="5"/>
        <v>-111.82741116751269</v>
      </c>
      <c r="P28" s="75">
        <f>VLOOKUP($A28,'Data Vlaue (Cr)'!$C:$FB,119)</f>
        <v>1.04</v>
      </c>
      <c r="Q28" s="75">
        <f>VLOOKUP($A28,'Data Vlaue (Cr)'!$C:$FB,122)*100</f>
        <v>20.93</v>
      </c>
      <c r="R28" s="75">
        <f>VLOOKUP($A28,'Data Vlaue (Cr)'!$C:$FB,125)</f>
        <v>0.65</v>
      </c>
      <c r="S28" s="75">
        <f>VLOOKUP($A28,'Data Vlaue (Cr)'!$C:$FB,128)*100</f>
        <v>27.450000000000003</v>
      </c>
    </row>
    <row r="29" spans="1:19" x14ac:dyDescent="0.25">
      <c r="A29" s="96" t="str">
        <f>'Data Vlaue (Cr)'!C20</f>
        <v>AUROPHARMA</v>
      </c>
      <c r="B29" s="75">
        <f>VLOOKUP($A29,'Data Vlaue (Cr)'!$C:$FB,2)</f>
        <v>550</v>
      </c>
      <c r="C29" s="75">
        <f>VLOOKUP($A29,'Data Vlaue (Cr)'!$C:$FB,8)</f>
        <v>1461.2</v>
      </c>
      <c r="D29" s="75">
        <f>VLOOKUP($A29,'Data Vlaue (Cr)'!$C:$FB,4)</f>
        <v>1474.2</v>
      </c>
      <c r="E29" s="75">
        <f>VLOOKUP($A29,'Data Vlaue (Cr)'!$C:$FB,5)</f>
        <v>1467.2</v>
      </c>
      <c r="F29" s="75">
        <f t="shared" si="0"/>
        <v>13</v>
      </c>
      <c r="G29" s="75">
        <f t="shared" si="1"/>
        <v>0.47483380816714149</v>
      </c>
      <c r="H29" s="75">
        <f>VLOOKUP($A29,'Data Vlaue (Cr)'!$C:$FB,99)</f>
        <v>3301</v>
      </c>
      <c r="I29" s="75">
        <f>VLOOKUP($A29,'Data Vlaue (Cr)'!$C:$FB,100)</f>
        <v>4142</v>
      </c>
      <c r="J29" s="75">
        <f t="shared" si="2"/>
        <v>-841</v>
      </c>
      <c r="K29" s="75">
        <f t="shared" si="3"/>
        <v>-25.47712814298697</v>
      </c>
      <c r="L29" s="75">
        <f>VLOOKUP($A29,'Data Vlaue (Cr)'!$C:$FB,67)</f>
        <v>1704</v>
      </c>
      <c r="M29" s="75">
        <f>VLOOKUP($A29,'Data Vlaue (Cr)'!$C:$FB,68)</f>
        <v>3380</v>
      </c>
      <c r="N29" s="75">
        <f t="shared" si="4"/>
        <v>-1676</v>
      </c>
      <c r="O29" s="75">
        <f t="shared" si="5"/>
        <v>-98.356807511737088</v>
      </c>
      <c r="P29" s="75">
        <f>VLOOKUP($A29,'Data Vlaue (Cr)'!$C:$FB,119)</f>
        <v>0.53</v>
      </c>
      <c r="Q29" s="75">
        <f>VLOOKUP($A29,'Data Vlaue (Cr)'!$C:$FB,122)*100</f>
        <v>-18.459999999999997</v>
      </c>
      <c r="R29" s="75">
        <f>VLOOKUP($A29,'Data Vlaue (Cr)'!$C:$FB,125)</f>
        <v>0.51</v>
      </c>
      <c r="S29" s="75">
        <f>VLOOKUP($A29,'Data Vlaue (Cr)'!$C:$FB,128)*100</f>
        <v>13.33</v>
      </c>
    </row>
    <row r="30" spans="1:19" x14ac:dyDescent="0.25">
      <c r="A30" s="96" t="str">
        <f>'Data Vlaue (Cr)'!C21</f>
        <v>AXISBANK</v>
      </c>
      <c r="B30" s="75">
        <f>VLOOKUP($A30,'Data Vlaue (Cr)'!$C:$FB,2)</f>
        <v>625</v>
      </c>
      <c r="C30" s="75">
        <f>VLOOKUP($A30,'Data Vlaue (Cr)'!$C:$FB,8)</f>
        <v>1299.3</v>
      </c>
      <c r="D30" s="75">
        <f>VLOOKUP($A30,'Data Vlaue (Cr)'!$C:$FB,4)</f>
        <v>1307</v>
      </c>
      <c r="E30" s="75">
        <f>VLOOKUP($A30,'Data Vlaue (Cr)'!$C:$FB,5)</f>
        <v>1318.3</v>
      </c>
      <c r="F30" s="75">
        <f t="shared" si="0"/>
        <v>7.7000000000000455</v>
      </c>
      <c r="G30" s="75">
        <f t="shared" si="1"/>
        <v>-0.86457536342769359</v>
      </c>
      <c r="H30" s="75">
        <f>VLOOKUP($A30,'Data Vlaue (Cr)'!$C:$FB,99)</f>
        <v>9847</v>
      </c>
      <c r="I30" s="75">
        <f>VLOOKUP($A30,'Data Vlaue (Cr)'!$C:$FB,100)</f>
        <v>13506</v>
      </c>
      <c r="J30" s="75">
        <f t="shared" si="2"/>
        <v>-3659</v>
      </c>
      <c r="K30" s="75">
        <f t="shared" si="3"/>
        <v>-37.158525439220071</v>
      </c>
      <c r="L30" s="75">
        <f>VLOOKUP($A30,'Data Vlaue (Cr)'!$C:$FB,67)</f>
        <v>8199</v>
      </c>
      <c r="M30" s="75">
        <f>VLOOKUP($A30,'Data Vlaue (Cr)'!$C:$FB,68)</f>
        <v>15721</v>
      </c>
      <c r="N30" s="75">
        <f t="shared" si="4"/>
        <v>-7522</v>
      </c>
      <c r="O30" s="75">
        <f t="shared" si="5"/>
        <v>-91.742895475057935</v>
      </c>
      <c r="P30" s="75">
        <f>VLOOKUP($A30,'Data Vlaue (Cr)'!$C:$FB,119)</f>
        <v>0.85</v>
      </c>
      <c r="Q30" s="75">
        <f>VLOOKUP($A30,'Data Vlaue (Cr)'!$C:$FB,122)*100</f>
        <v>16.439999999999998</v>
      </c>
      <c r="R30" s="75">
        <f>VLOOKUP($A30,'Data Vlaue (Cr)'!$C:$FB,125)</f>
        <v>0.76</v>
      </c>
      <c r="S30" s="75">
        <f>VLOOKUP($A30,'Data Vlaue (Cr)'!$C:$FB,128)*100</f>
        <v>94.87</v>
      </c>
    </row>
    <row r="31" spans="1:19" x14ac:dyDescent="0.25">
      <c r="A31" s="96" t="str">
        <f>'Data Vlaue (Cr)'!C22</f>
        <v>BAJAJ-AUTO</v>
      </c>
      <c r="B31" s="75">
        <f>VLOOKUP($A31,'Data Vlaue (Cr)'!$C:$FB,2)</f>
        <v>75</v>
      </c>
      <c r="C31" s="75">
        <f>VLOOKUP($A31,'Data Vlaue (Cr)'!$C:$FB,8)</f>
        <v>10593</v>
      </c>
      <c r="D31" s="75">
        <f>VLOOKUP($A31,'Data Vlaue (Cr)'!$C:$FB,4)</f>
        <v>10292</v>
      </c>
      <c r="E31" s="75">
        <f>VLOOKUP($A31,'Data Vlaue (Cr)'!$C:$FB,5)</f>
        <v>10242.5</v>
      </c>
      <c r="F31" s="75">
        <f t="shared" si="0"/>
        <v>-301</v>
      </c>
      <c r="G31" s="75">
        <f t="shared" si="1"/>
        <v>0.48095608239409249</v>
      </c>
      <c r="H31" s="75">
        <f>VLOOKUP($A31,'Data Vlaue (Cr)'!$C:$FB,99)</f>
        <v>3724</v>
      </c>
      <c r="I31" s="75">
        <f>VLOOKUP($A31,'Data Vlaue (Cr)'!$C:$FB,100)</f>
        <v>6541</v>
      </c>
      <c r="J31" s="75">
        <f t="shared" si="2"/>
        <v>-2817</v>
      </c>
      <c r="K31" s="75">
        <f t="shared" si="3"/>
        <v>-75.644468313641241</v>
      </c>
      <c r="L31" s="75">
        <f>VLOOKUP($A31,'Data Vlaue (Cr)'!$C:$FB,67)</f>
        <v>5871</v>
      </c>
      <c r="M31" s="75">
        <f>VLOOKUP($A31,'Data Vlaue (Cr)'!$C:$FB,68)</f>
        <v>13331</v>
      </c>
      <c r="N31" s="75">
        <f t="shared" si="4"/>
        <v>-7460</v>
      </c>
      <c r="O31" s="75">
        <f t="shared" si="5"/>
        <v>-127.06523590529721</v>
      </c>
      <c r="P31" s="75">
        <f>VLOOKUP($A31,'Data Vlaue (Cr)'!$C:$FB,119)</f>
        <v>0.46</v>
      </c>
      <c r="Q31" s="75">
        <f>VLOOKUP($A31,'Data Vlaue (Cr)'!$C:$FB,122)*100</f>
        <v>-23.330000000000002</v>
      </c>
      <c r="R31" s="75">
        <f>VLOOKUP($A31,'Data Vlaue (Cr)'!$C:$FB,125)</f>
        <v>0.38</v>
      </c>
      <c r="S31" s="75">
        <f>VLOOKUP($A31,'Data Vlaue (Cr)'!$C:$FB,128)*100</f>
        <v>-40.630000000000003</v>
      </c>
    </row>
    <row r="32" spans="1:19" x14ac:dyDescent="0.25">
      <c r="A32" s="96" t="str">
        <f>'Data Vlaue (Cr)'!C23</f>
        <v>BAJAJFINSV</v>
      </c>
      <c r="B32" s="75">
        <f>VLOOKUP($A32,'Data Vlaue (Cr)'!$C:$FB,2)</f>
        <v>250</v>
      </c>
      <c r="C32" s="75">
        <f>VLOOKUP($A32,'Data Vlaue (Cr)'!$C:$FB,8)</f>
        <v>1800.7</v>
      </c>
      <c r="D32" s="75">
        <f>VLOOKUP($A32,'Data Vlaue (Cr)'!$C:$FB,4)</f>
        <v>1810.6</v>
      </c>
      <c r="E32" s="75">
        <f>VLOOKUP($A32,'Data Vlaue (Cr)'!$C:$FB,5)</f>
        <v>1818.2</v>
      </c>
      <c r="F32" s="75">
        <f t="shared" si="0"/>
        <v>9.8999999999998636</v>
      </c>
      <c r="G32" s="75">
        <f t="shared" si="1"/>
        <v>-0.41975035899702517</v>
      </c>
      <c r="H32" s="75">
        <f>VLOOKUP($A32,'Data Vlaue (Cr)'!$C:$FB,99)</f>
        <v>2547</v>
      </c>
      <c r="I32" s="75">
        <f>VLOOKUP($A32,'Data Vlaue (Cr)'!$C:$FB,100)</f>
        <v>3975</v>
      </c>
      <c r="J32" s="75">
        <f t="shared" si="2"/>
        <v>-1428</v>
      </c>
      <c r="K32" s="75">
        <f t="shared" si="3"/>
        <v>-56.065959952885748</v>
      </c>
      <c r="L32" s="75">
        <f>VLOOKUP($A32,'Data Vlaue (Cr)'!$C:$FB,67)</f>
        <v>1616</v>
      </c>
      <c r="M32" s="75">
        <f>VLOOKUP($A32,'Data Vlaue (Cr)'!$C:$FB,68)</f>
        <v>4089</v>
      </c>
      <c r="N32" s="75">
        <f t="shared" si="4"/>
        <v>-2473</v>
      </c>
      <c r="O32" s="75">
        <f t="shared" si="5"/>
        <v>-153.03217821782178</v>
      </c>
      <c r="P32" s="75">
        <f>VLOOKUP($A32,'Data Vlaue (Cr)'!$C:$FB,119)</f>
        <v>1.1399999999999999</v>
      </c>
      <c r="Q32" s="75">
        <f>VLOOKUP($A32,'Data Vlaue (Cr)'!$C:$FB,122)*100</f>
        <v>96.55</v>
      </c>
      <c r="R32" s="75">
        <f>VLOOKUP($A32,'Data Vlaue (Cr)'!$C:$FB,125)</f>
        <v>0.61</v>
      </c>
      <c r="S32" s="75">
        <f>VLOOKUP($A32,'Data Vlaue (Cr)'!$C:$FB,128)*100</f>
        <v>-12.86</v>
      </c>
    </row>
    <row r="33" spans="1:19" x14ac:dyDescent="0.25">
      <c r="A33" s="96" t="str">
        <f>'Data Vlaue (Cr)'!C24</f>
        <v>BAJAJHLDNG</v>
      </c>
      <c r="B33" s="75">
        <f>VLOOKUP($A33,'Data Vlaue (Cr)'!$C:$FB,2)</f>
        <v>50</v>
      </c>
      <c r="C33" s="75">
        <f>VLOOKUP($A33,'Data Vlaue (Cr)'!$C:$FB,8)</f>
        <v>10705</v>
      </c>
      <c r="D33" s="75">
        <f>VLOOKUP($A33,'Data Vlaue (Cr)'!$C:$FB,4)</f>
        <v>10629</v>
      </c>
      <c r="E33" s="75">
        <f>VLOOKUP($A33,'Data Vlaue (Cr)'!$C:$FB,5)</f>
        <v>10612</v>
      </c>
      <c r="F33" s="75">
        <f t="shared" si="0"/>
        <v>-76</v>
      </c>
      <c r="G33" s="75">
        <f t="shared" si="1"/>
        <v>0.15993978737416503</v>
      </c>
      <c r="H33" s="75">
        <f>VLOOKUP($A33,'Data Vlaue (Cr)'!$C:$FB,99)</f>
        <v>323</v>
      </c>
      <c r="I33" s="75">
        <f>VLOOKUP($A33,'Data Vlaue (Cr)'!$C:$FB,100)</f>
        <v>467</v>
      </c>
      <c r="J33" s="75">
        <f t="shared" si="2"/>
        <v>-144</v>
      </c>
      <c r="K33" s="75">
        <f t="shared" si="3"/>
        <v>-44.582043343653247</v>
      </c>
      <c r="L33" s="75">
        <f>VLOOKUP($A33,'Data Vlaue (Cr)'!$C:$FB,67)</f>
        <v>489</v>
      </c>
      <c r="M33" s="75">
        <f>VLOOKUP($A33,'Data Vlaue (Cr)'!$C:$FB,68)</f>
        <v>775</v>
      </c>
      <c r="N33" s="75">
        <f t="shared" si="4"/>
        <v>-286</v>
      </c>
      <c r="O33" s="75">
        <f t="shared" si="5"/>
        <v>-58.486707566462172</v>
      </c>
      <c r="P33" s="75">
        <f>VLOOKUP($A33,'Data Vlaue (Cr)'!$C:$FB,119)</f>
        <v>0.71</v>
      </c>
      <c r="Q33" s="75">
        <f>VLOOKUP($A33,'Data Vlaue (Cr)'!$C:$FB,122)*100</f>
        <v>18.329999999999998</v>
      </c>
      <c r="R33" s="75">
        <f>VLOOKUP($A33,'Data Vlaue (Cr)'!$C:$FB,125)</f>
        <v>0.74</v>
      </c>
      <c r="S33" s="75">
        <f>VLOOKUP($A33,'Data Vlaue (Cr)'!$C:$FB,128)*100</f>
        <v>-15.909999999999998</v>
      </c>
    </row>
    <row r="34" spans="1:19" x14ac:dyDescent="0.25">
      <c r="A34" s="96" t="str">
        <f>'Data Vlaue (Cr)'!C25</f>
        <v>BAJFINANCE</v>
      </c>
      <c r="B34" s="75">
        <f>VLOOKUP($A34,'Data Vlaue (Cr)'!$C:$FB,2)</f>
        <v>750</v>
      </c>
      <c r="C34" s="75">
        <f>VLOOKUP($A34,'Data Vlaue (Cr)'!$C:$FB,8)</f>
        <v>930.2</v>
      </c>
      <c r="D34" s="75">
        <f>VLOOKUP($A34,'Data Vlaue (Cr)'!$C:$FB,4)</f>
        <v>928.1</v>
      </c>
      <c r="E34" s="75">
        <f>VLOOKUP($A34,'Data Vlaue (Cr)'!$C:$FB,5)</f>
        <v>943.4</v>
      </c>
      <c r="F34" s="75">
        <f t="shared" si="0"/>
        <v>-2.1000000000000227</v>
      </c>
      <c r="G34" s="75">
        <f t="shared" si="1"/>
        <v>-1.6485292533132154</v>
      </c>
      <c r="H34" s="180">
        <f>VLOOKUP($A34,'Data Vlaue (Cr)'!$C:$FB,99)</f>
        <v>8216</v>
      </c>
      <c r="I34" s="180">
        <f>VLOOKUP($A34,'Data Vlaue (Cr)'!$C:$FB,100)</f>
        <v>9624</v>
      </c>
      <c r="J34" s="180">
        <f t="shared" si="2"/>
        <v>-1408</v>
      </c>
      <c r="K34" s="180">
        <f t="shared" si="3"/>
        <v>-17.137293086660176</v>
      </c>
      <c r="L34" s="180">
        <f>VLOOKUP($A34,'Data Vlaue (Cr)'!$C:$FB,67)</f>
        <v>4418</v>
      </c>
      <c r="M34" s="180">
        <f>VLOOKUP($A34,'Data Vlaue (Cr)'!$C:$FB,68)</f>
        <v>8970</v>
      </c>
      <c r="N34" s="180">
        <f t="shared" si="4"/>
        <v>-4552</v>
      </c>
      <c r="O34" s="180">
        <f t="shared" si="5"/>
        <v>-103.03304662743322</v>
      </c>
      <c r="P34" s="180">
        <f>VLOOKUP($A34,'Data Vlaue (Cr)'!$C:$FB,119)</f>
        <v>0.9</v>
      </c>
      <c r="Q34" s="180">
        <f>VLOOKUP($A34,'Data Vlaue (Cr)'!$C:$FB,122)*100</f>
        <v>20</v>
      </c>
      <c r="R34" s="180">
        <f>VLOOKUP($A34,'Data Vlaue (Cr)'!$C:$FB,125)</f>
        <v>0.55000000000000004</v>
      </c>
      <c r="S34" s="180">
        <f>VLOOKUP($A34,'Data Vlaue (Cr)'!$C:$FB,128)*100</f>
        <v>5.7700000000000005</v>
      </c>
    </row>
    <row r="35" spans="1:19" x14ac:dyDescent="0.25">
      <c r="A35" s="96" t="str">
        <f>'Data Vlaue (Cr)'!C26</f>
        <v>BANDHANBNK</v>
      </c>
      <c r="B35" s="75">
        <f>VLOOKUP($A35,'Data Vlaue (Cr)'!$C:$FB,2)</f>
        <v>3600</v>
      </c>
      <c r="C35" s="75">
        <f>VLOOKUP($A35,'Data Vlaue (Cr)'!$C:$FB,8)</f>
        <v>200.4</v>
      </c>
      <c r="D35" s="75">
        <f>VLOOKUP($A35,'Data Vlaue (Cr)'!$C:$FB,4)</f>
        <v>202.22</v>
      </c>
      <c r="E35" s="75">
        <f>VLOOKUP($A35,'Data Vlaue (Cr)'!$C:$FB,5)</f>
        <v>198.9</v>
      </c>
      <c r="F35" s="75">
        <f t="shared" si="0"/>
        <v>1.8199999999999932</v>
      </c>
      <c r="G35" s="75">
        <f t="shared" si="1"/>
        <v>1.6417762832558567</v>
      </c>
      <c r="H35" s="75">
        <f>VLOOKUP($A35,'Data Vlaue (Cr)'!$C:$FB,99)</f>
        <v>2692</v>
      </c>
      <c r="I35" s="75">
        <f>VLOOKUP($A35,'Data Vlaue (Cr)'!$C:$FB,100)</f>
        <v>3307</v>
      </c>
      <c r="J35" s="75">
        <f t="shared" si="2"/>
        <v>-615</v>
      </c>
      <c r="K35" s="75">
        <f t="shared" si="3"/>
        <v>-22.845468053491828</v>
      </c>
      <c r="L35" s="75">
        <f>VLOOKUP($A35,'Data Vlaue (Cr)'!$C:$FB,67)</f>
        <v>2831</v>
      </c>
      <c r="M35" s="75">
        <f>VLOOKUP($A35,'Data Vlaue (Cr)'!$C:$FB,68)</f>
        <v>2496</v>
      </c>
      <c r="N35" s="75">
        <f t="shared" si="4"/>
        <v>335</v>
      </c>
      <c r="O35" s="75">
        <f t="shared" si="5"/>
        <v>11.833274461321087</v>
      </c>
      <c r="P35" s="75">
        <f>VLOOKUP($A35,'Data Vlaue (Cr)'!$C:$FB,119)</f>
        <v>0.61</v>
      </c>
      <c r="Q35" s="75">
        <f>VLOOKUP($A35,'Data Vlaue (Cr)'!$C:$FB,122)*100</f>
        <v>-7.580000000000001</v>
      </c>
      <c r="R35" s="75">
        <f>VLOOKUP($A35,'Data Vlaue (Cr)'!$C:$FB,125)</f>
        <v>0.33</v>
      </c>
      <c r="S35" s="75">
        <f>VLOOKUP($A35,'Data Vlaue (Cr)'!$C:$FB,128)*100</f>
        <v>-13.16</v>
      </c>
    </row>
    <row r="36" spans="1:19" x14ac:dyDescent="0.25">
      <c r="A36" s="96" t="str">
        <f>'Data Vlaue (Cr)'!C27</f>
        <v>BANKBARODA</v>
      </c>
      <c r="B36" s="75">
        <f>VLOOKUP($A36,'Data Vlaue (Cr)'!$C:$FB,2)</f>
        <v>2925</v>
      </c>
      <c r="C36" s="75">
        <f>VLOOKUP($A36,'Data Vlaue (Cr)'!$C:$FB,8)</f>
        <v>270.55</v>
      </c>
      <c r="D36" s="75">
        <f>VLOOKUP($A36,'Data Vlaue (Cr)'!$C:$FB,4)</f>
        <v>272.85000000000002</v>
      </c>
      <c r="E36" s="75">
        <f>VLOOKUP($A36,'Data Vlaue (Cr)'!$C:$FB,5)</f>
        <v>274.55</v>
      </c>
      <c r="F36" s="75">
        <f t="shared" si="0"/>
        <v>2.3000000000000114</v>
      </c>
      <c r="G36" s="75">
        <f t="shared" si="1"/>
        <v>-0.62305295950155348</v>
      </c>
      <c r="H36" s="75">
        <f>VLOOKUP($A36,'Data Vlaue (Cr)'!$C:$FB,99)</f>
        <v>4275</v>
      </c>
      <c r="I36" s="75">
        <f>VLOOKUP($A36,'Data Vlaue (Cr)'!$C:$FB,100)</f>
        <v>5876</v>
      </c>
      <c r="J36" s="75">
        <f t="shared" si="2"/>
        <v>-1601</v>
      </c>
      <c r="K36" s="75">
        <f t="shared" si="3"/>
        <v>-37.450292397660817</v>
      </c>
      <c r="L36" s="75">
        <f>VLOOKUP($A36,'Data Vlaue (Cr)'!$C:$FB,67)</f>
        <v>2489</v>
      </c>
      <c r="M36" s="75">
        <f>VLOOKUP($A36,'Data Vlaue (Cr)'!$C:$FB,68)</f>
        <v>4475</v>
      </c>
      <c r="N36" s="75">
        <f t="shared" si="4"/>
        <v>-1986</v>
      </c>
      <c r="O36" s="75">
        <f t="shared" si="5"/>
        <v>-79.791080755323421</v>
      </c>
      <c r="P36" s="75">
        <f>VLOOKUP($A36,'Data Vlaue (Cr)'!$C:$FB,119)</f>
        <v>1.24</v>
      </c>
      <c r="Q36" s="75">
        <f>VLOOKUP($A36,'Data Vlaue (Cr)'!$C:$FB,122)*100</f>
        <v>37.78</v>
      </c>
      <c r="R36" s="75">
        <f>VLOOKUP($A36,'Data Vlaue (Cr)'!$C:$FB,125)</f>
        <v>0.56999999999999995</v>
      </c>
      <c r="S36" s="75">
        <f>VLOOKUP($A36,'Data Vlaue (Cr)'!$C:$FB,128)*100</f>
        <v>5.56</v>
      </c>
    </row>
    <row r="37" spans="1:19" x14ac:dyDescent="0.25">
      <c r="A37" s="96" t="str">
        <f>'Data Vlaue (Cr)'!C28</f>
        <v>BANKINDIA</v>
      </c>
      <c r="B37" s="75">
        <f>VLOOKUP($A37,'Data Vlaue (Cr)'!$C:$FB,2)</f>
        <v>5200</v>
      </c>
      <c r="C37" s="75">
        <f>VLOOKUP($A37,'Data Vlaue (Cr)'!$C:$FB,8)</f>
        <v>144.99</v>
      </c>
      <c r="D37" s="75">
        <f>VLOOKUP($A37,'Data Vlaue (Cr)'!$C:$FB,4)</f>
        <v>145.86000000000001</v>
      </c>
      <c r="E37" s="75">
        <f>VLOOKUP($A37,'Data Vlaue (Cr)'!$C:$FB,5)</f>
        <v>147.26</v>
      </c>
      <c r="F37" s="75">
        <f t="shared" si="0"/>
        <v>0.87000000000000455</v>
      </c>
      <c r="G37" s="75">
        <f t="shared" si="1"/>
        <v>-0.9598244892362382</v>
      </c>
      <c r="H37" s="75">
        <f>VLOOKUP($A37,'Data Vlaue (Cr)'!$C:$FB,99)</f>
        <v>1186</v>
      </c>
      <c r="I37" s="75">
        <f>VLOOKUP($A37,'Data Vlaue (Cr)'!$C:$FB,100)</f>
        <v>1765</v>
      </c>
      <c r="J37" s="75">
        <f t="shared" si="2"/>
        <v>-579</v>
      </c>
      <c r="K37" s="75">
        <f t="shared" si="3"/>
        <v>-48.819561551433388</v>
      </c>
      <c r="L37" s="75">
        <f>VLOOKUP($A37,'Data Vlaue (Cr)'!$C:$FB,67)</f>
        <v>1047</v>
      </c>
      <c r="M37" s="75">
        <f>VLOOKUP($A37,'Data Vlaue (Cr)'!$C:$FB,68)</f>
        <v>1837</v>
      </c>
      <c r="N37" s="75">
        <f t="shared" si="4"/>
        <v>-790</v>
      </c>
      <c r="O37" s="75">
        <f t="shared" si="5"/>
        <v>-75.453677172874876</v>
      </c>
      <c r="P37" s="75">
        <f>VLOOKUP($A37,'Data Vlaue (Cr)'!$C:$FB,119)</f>
        <v>0.87</v>
      </c>
      <c r="Q37" s="75">
        <f>VLOOKUP($A37,'Data Vlaue (Cr)'!$C:$FB,122)*100</f>
        <v>27.939999999999998</v>
      </c>
      <c r="R37" s="75">
        <f>VLOOKUP($A37,'Data Vlaue (Cr)'!$C:$FB,125)</f>
        <v>0.51</v>
      </c>
      <c r="S37" s="75">
        <f>VLOOKUP($A37,'Data Vlaue (Cr)'!$C:$FB,128)*100</f>
        <v>30.769999999999996</v>
      </c>
    </row>
    <row r="38" spans="1:19" x14ac:dyDescent="0.25">
      <c r="A38" s="96" t="str">
        <f>'Data Vlaue (Cr)'!C29</f>
        <v>BANKNIFTY</v>
      </c>
      <c r="B38" s="75">
        <f>VLOOKUP($A38,'Data Vlaue (Cr)'!$C:$FB,2)</f>
        <v>30</v>
      </c>
      <c r="C38" s="75">
        <f>VLOOKUP($A38,'Data Vlaue (Cr)'!$C:$FB,8)</f>
        <v>55092.9</v>
      </c>
      <c r="D38" s="75">
        <f>VLOOKUP($A38,'Data Vlaue (Cr)'!$C:$FB,4)</f>
        <v>55457.8</v>
      </c>
      <c r="E38" s="75">
        <f>VLOOKUP($A38,'Data Vlaue (Cr)'!$C:$FB,5)</f>
        <v>55647.199999999997</v>
      </c>
      <c r="F38" s="75">
        <f t="shared" si="0"/>
        <v>364.90000000000146</v>
      </c>
      <c r="G38" s="75">
        <f t="shared" si="1"/>
        <v>-0.34152094024644719</v>
      </c>
      <c r="H38" s="75">
        <f>VLOOKUP($A38,'Data Vlaue (Cr)'!$C:$FB,99)</f>
        <v>116494</v>
      </c>
      <c r="I38" s="75">
        <f>VLOOKUP($A38,'Data Vlaue (Cr)'!$C:$FB,100)</f>
        <v>302075</v>
      </c>
      <c r="J38" s="75">
        <f t="shared" si="2"/>
        <v>-185581</v>
      </c>
      <c r="K38" s="75">
        <f t="shared" si="3"/>
        <v>-159.30520026782494</v>
      </c>
      <c r="L38" s="75">
        <f>VLOOKUP($A38,'Data Vlaue (Cr)'!$C:$FB,67)</f>
        <v>14761355</v>
      </c>
      <c r="M38" s="75">
        <f>VLOOKUP($A38,'Data Vlaue (Cr)'!$C:$FB,68)</f>
        <v>2583436</v>
      </c>
      <c r="N38" s="75">
        <f t="shared" si="4"/>
        <v>12177919</v>
      </c>
      <c r="O38" s="75">
        <f t="shared" si="5"/>
        <v>82.498652732083201</v>
      </c>
      <c r="P38" s="75">
        <f>VLOOKUP($A38,'Data Vlaue (Cr)'!$C:$FB,119)</f>
        <v>0.98</v>
      </c>
      <c r="Q38" s="75">
        <f>VLOOKUP($A38,'Data Vlaue (Cr)'!$C:$FB,122)*100</f>
        <v>-1.01</v>
      </c>
      <c r="R38" s="75">
        <f>VLOOKUP($A38,'Data Vlaue (Cr)'!$C:$FB,125)</f>
        <v>1</v>
      </c>
      <c r="S38" s="75">
        <f>VLOOKUP($A38,'Data Vlaue (Cr)'!$C:$FB,128)*100</f>
        <v>13.639999999999999</v>
      </c>
    </row>
    <row r="39" spans="1:19" x14ac:dyDescent="0.25">
      <c r="A39" s="96" t="str">
        <f>'Data Vlaue (Cr)'!C30</f>
        <v>BDL</v>
      </c>
      <c r="B39" s="75">
        <f>VLOOKUP($A39,'Data Vlaue (Cr)'!$C:$FB,2)</f>
        <v>350</v>
      </c>
      <c r="C39" s="75">
        <f>VLOOKUP($A39,'Data Vlaue (Cr)'!$C:$FB,8)</f>
        <v>1329.9</v>
      </c>
      <c r="D39" s="75">
        <f>VLOOKUP($A39,'Data Vlaue (Cr)'!$C:$FB,4)</f>
        <v>1324.6</v>
      </c>
      <c r="E39" s="75">
        <f>VLOOKUP($A39,'Data Vlaue (Cr)'!$C:$FB,5)</f>
        <v>1311.8</v>
      </c>
      <c r="F39" s="75">
        <f t="shared" si="0"/>
        <v>-5.3000000000001819</v>
      </c>
      <c r="G39" s="75">
        <f t="shared" si="1"/>
        <v>0.96632945794956626</v>
      </c>
      <c r="H39" s="75">
        <f>VLOOKUP($A39,'Data Vlaue (Cr)'!$C:$FB,99)</f>
        <v>743</v>
      </c>
      <c r="I39" s="75">
        <f>VLOOKUP($A39,'Data Vlaue (Cr)'!$C:$FB,100)</f>
        <v>1288</v>
      </c>
      <c r="J39" s="75">
        <f t="shared" si="2"/>
        <v>-545</v>
      </c>
      <c r="K39" s="75">
        <f t="shared" si="3"/>
        <v>-73.351278600269183</v>
      </c>
      <c r="L39" s="75">
        <f>VLOOKUP($A39,'Data Vlaue (Cr)'!$C:$FB,67)</f>
        <v>904</v>
      </c>
      <c r="M39" s="75">
        <f>VLOOKUP($A39,'Data Vlaue (Cr)'!$C:$FB,68)</f>
        <v>1173</v>
      </c>
      <c r="N39" s="75">
        <f t="shared" si="4"/>
        <v>-269</v>
      </c>
      <c r="O39" s="75">
        <f t="shared" si="5"/>
        <v>-29.756637168141591</v>
      </c>
      <c r="P39" s="75">
        <f>VLOOKUP($A39,'Data Vlaue (Cr)'!$C:$FB,119)</f>
        <v>0.74</v>
      </c>
      <c r="Q39" s="75">
        <f>VLOOKUP($A39,'Data Vlaue (Cr)'!$C:$FB,122)*100</f>
        <v>37.04</v>
      </c>
      <c r="R39" s="75">
        <f>VLOOKUP($A39,'Data Vlaue (Cr)'!$C:$FB,125)</f>
        <v>0.3</v>
      </c>
      <c r="S39" s="75">
        <f>VLOOKUP($A39,'Data Vlaue (Cr)'!$C:$FB,128)*100</f>
        <v>-16.669999999999998</v>
      </c>
    </row>
    <row r="40" spans="1:19" x14ac:dyDescent="0.25">
      <c r="A40" s="96" t="str">
        <f>'Data Vlaue (Cr)'!C31</f>
        <v>BEL</v>
      </c>
      <c r="B40" s="75">
        <f>VLOOKUP($A40,'Data Vlaue (Cr)'!$C:$FB,2)</f>
        <v>1425</v>
      </c>
      <c r="C40" s="75">
        <f>VLOOKUP($A40,'Data Vlaue (Cr)'!$C:$FB,8)</f>
        <v>420.1</v>
      </c>
      <c r="D40" s="75">
        <f>VLOOKUP($A40,'Data Vlaue (Cr)'!$C:$FB,4)</f>
        <v>423.25</v>
      </c>
      <c r="E40" s="75">
        <f>VLOOKUP($A40,'Data Vlaue (Cr)'!$C:$FB,5)</f>
        <v>424.25</v>
      </c>
      <c r="F40" s="75">
        <f t="shared" si="0"/>
        <v>3.1499999999999773</v>
      </c>
      <c r="G40" s="75">
        <f t="shared" si="1"/>
        <v>-0.23626698168930893</v>
      </c>
      <c r="H40" s="75">
        <f>VLOOKUP($A40,'Data Vlaue (Cr)'!$C:$FB,99)</f>
        <v>6478</v>
      </c>
      <c r="I40" s="75">
        <f>VLOOKUP($A40,'Data Vlaue (Cr)'!$C:$FB,100)</f>
        <v>8970</v>
      </c>
      <c r="J40" s="75">
        <f t="shared" si="2"/>
        <v>-2492</v>
      </c>
      <c r="K40" s="75">
        <f t="shared" si="3"/>
        <v>-38.468663167644337</v>
      </c>
      <c r="L40" s="75">
        <f>VLOOKUP($A40,'Data Vlaue (Cr)'!$C:$FB,67)</f>
        <v>5294</v>
      </c>
      <c r="M40" s="75">
        <f>VLOOKUP($A40,'Data Vlaue (Cr)'!$C:$FB,68)</f>
        <v>6572</v>
      </c>
      <c r="N40" s="75">
        <f t="shared" si="4"/>
        <v>-1278</v>
      </c>
      <c r="O40" s="75">
        <f t="shared" si="5"/>
        <v>-24.140536456365698</v>
      </c>
      <c r="P40" s="75">
        <f>VLOOKUP($A40,'Data Vlaue (Cr)'!$C:$FB,119)</f>
        <v>0.81</v>
      </c>
      <c r="Q40" s="75">
        <f>VLOOKUP($A40,'Data Vlaue (Cr)'!$C:$FB,122)*100</f>
        <v>42.11</v>
      </c>
      <c r="R40" s="75">
        <f>VLOOKUP($A40,'Data Vlaue (Cr)'!$C:$FB,125)</f>
        <v>0.45</v>
      </c>
      <c r="S40" s="75">
        <f>VLOOKUP($A40,'Data Vlaue (Cr)'!$C:$FB,128)*100</f>
        <v>9.76</v>
      </c>
    </row>
    <row r="41" spans="1:19" x14ac:dyDescent="0.25">
      <c r="A41" s="96" t="str">
        <f>'Data Vlaue (Cr)'!C32</f>
        <v>BHARATFORG</v>
      </c>
      <c r="B41" s="75">
        <f>VLOOKUP($A41,'Data Vlaue (Cr)'!$C:$FB,2)</f>
        <v>500</v>
      </c>
      <c r="C41" s="75">
        <f>VLOOKUP($A41,'Data Vlaue (Cr)'!$C:$FB,8)</f>
        <v>1930.4</v>
      </c>
      <c r="D41" s="75">
        <f>VLOOKUP($A41,'Data Vlaue (Cr)'!$C:$FB,4)</f>
        <v>1947.6</v>
      </c>
      <c r="E41" s="75">
        <f>VLOOKUP($A41,'Data Vlaue (Cr)'!$C:$FB,5)</f>
        <v>1933.1</v>
      </c>
      <c r="F41" s="75">
        <f t="shared" si="0"/>
        <v>17.199999999999818</v>
      </c>
      <c r="G41" s="75">
        <f t="shared" si="1"/>
        <v>0.74450605873896081</v>
      </c>
      <c r="H41" s="75">
        <f>VLOOKUP($A41,'Data Vlaue (Cr)'!$C:$FB,99)</f>
        <v>1675</v>
      </c>
      <c r="I41" s="75">
        <f>VLOOKUP($A41,'Data Vlaue (Cr)'!$C:$FB,100)</f>
        <v>2601</v>
      </c>
      <c r="J41" s="75">
        <f t="shared" si="2"/>
        <v>-926</v>
      </c>
      <c r="K41" s="75">
        <f t="shared" si="3"/>
        <v>-55.28358208955224</v>
      </c>
      <c r="L41" s="75">
        <f>VLOOKUP($A41,'Data Vlaue (Cr)'!$C:$FB,67)</f>
        <v>1573</v>
      </c>
      <c r="M41" s="75">
        <f>VLOOKUP($A41,'Data Vlaue (Cr)'!$C:$FB,68)</f>
        <v>2660</v>
      </c>
      <c r="N41" s="75">
        <f t="shared" si="4"/>
        <v>-1087</v>
      </c>
      <c r="O41" s="75">
        <f t="shared" si="5"/>
        <v>-69.103623649078187</v>
      </c>
      <c r="P41" s="75">
        <f>VLOOKUP($A41,'Data Vlaue (Cr)'!$C:$FB,119)</f>
        <v>0.78</v>
      </c>
      <c r="Q41" s="75">
        <f>VLOOKUP($A41,'Data Vlaue (Cr)'!$C:$FB,122)*100</f>
        <v>14.71</v>
      </c>
      <c r="R41" s="75">
        <f>VLOOKUP($A41,'Data Vlaue (Cr)'!$C:$FB,125)</f>
        <v>0.26</v>
      </c>
      <c r="S41" s="75">
        <f>VLOOKUP($A41,'Data Vlaue (Cr)'!$C:$FB,128)*100</f>
        <v>-27.779999999999998</v>
      </c>
    </row>
    <row r="42" spans="1:19" x14ac:dyDescent="0.25">
      <c r="A42" s="96" t="str">
        <f>'Data Vlaue (Cr)'!C33</f>
        <v>BHARTIARTL</v>
      </c>
      <c r="B42" s="75">
        <f>VLOOKUP($A42,'Data Vlaue (Cr)'!$C:$FB,2)</f>
        <v>475</v>
      </c>
      <c r="C42" s="75">
        <f>VLOOKUP($A42,'Data Vlaue (Cr)'!$C:$FB,8)</f>
        <v>1846.9</v>
      </c>
      <c r="D42" s="75">
        <f>VLOOKUP($A42,'Data Vlaue (Cr)'!$C:$FB,4)</f>
        <v>1861.7</v>
      </c>
      <c r="E42" s="75">
        <f>VLOOKUP($A42,'Data Vlaue (Cr)'!$C:$FB,5)</f>
        <v>1889.6</v>
      </c>
      <c r="F42" s="75">
        <f t="shared" si="0"/>
        <v>14.799999999999955</v>
      </c>
      <c r="G42" s="75">
        <f t="shared" si="1"/>
        <v>-1.4986302841488888</v>
      </c>
      <c r="H42" s="75">
        <f>VLOOKUP($A42,'Data Vlaue (Cr)'!$C:$FB,99)</f>
        <v>12854</v>
      </c>
      <c r="I42" s="75">
        <f>VLOOKUP($A42,'Data Vlaue (Cr)'!$C:$FB,100)</f>
        <v>17498</v>
      </c>
      <c r="J42" s="75">
        <f t="shared" si="2"/>
        <v>-4644</v>
      </c>
      <c r="K42" s="75">
        <f t="shared" si="3"/>
        <v>-36.128831492142524</v>
      </c>
      <c r="L42" s="75">
        <f>VLOOKUP($A42,'Data Vlaue (Cr)'!$C:$FB,67)</f>
        <v>6926</v>
      </c>
      <c r="M42" s="75">
        <f>VLOOKUP($A42,'Data Vlaue (Cr)'!$C:$FB,68)</f>
        <v>13194</v>
      </c>
      <c r="N42" s="75">
        <f t="shared" si="4"/>
        <v>-6268</v>
      </c>
      <c r="O42" s="75">
        <f t="shared" si="5"/>
        <v>-90.499566849552409</v>
      </c>
      <c r="P42" s="75">
        <f>VLOOKUP($A42,'Data Vlaue (Cr)'!$C:$FB,119)</f>
        <v>0.54</v>
      </c>
      <c r="Q42" s="75">
        <f>VLOOKUP($A42,'Data Vlaue (Cr)'!$C:$FB,122)*100</f>
        <v>5.88</v>
      </c>
      <c r="R42" s="75">
        <f>VLOOKUP($A42,'Data Vlaue (Cr)'!$C:$FB,125)</f>
        <v>0.56000000000000005</v>
      </c>
      <c r="S42" s="75">
        <f>VLOOKUP($A42,'Data Vlaue (Cr)'!$C:$FB,128)*100</f>
        <v>0</v>
      </c>
    </row>
    <row r="43" spans="1:19" x14ac:dyDescent="0.25">
      <c r="A43" s="96" t="str">
        <f>'Data Vlaue (Cr)'!C34</f>
        <v>BHEL</v>
      </c>
      <c r="B43" s="75">
        <f>VLOOKUP($A43,'Data Vlaue (Cr)'!$C:$FB,2)</f>
        <v>2625</v>
      </c>
      <c r="C43" s="75">
        <f>VLOOKUP($A43,'Data Vlaue (Cr)'!$C:$FB,8)</f>
        <v>417.75</v>
      </c>
      <c r="D43" s="75">
        <f>VLOOKUP($A43,'Data Vlaue (Cr)'!$C:$FB,4)</f>
        <v>420.35</v>
      </c>
      <c r="E43" s="75">
        <f>VLOOKUP($A43,'Data Vlaue (Cr)'!$C:$FB,5)</f>
        <v>422.8</v>
      </c>
      <c r="F43" s="75">
        <f t="shared" si="0"/>
        <v>2.6000000000000227</v>
      </c>
      <c r="G43" s="75">
        <f t="shared" si="1"/>
        <v>-0.58284762697751602</v>
      </c>
      <c r="H43" s="75">
        <f>VLOOKUP($A43,'Data Vlaue (Cr)'!$C:$FB,99)</f>
        <v>6662</v>
      </c>
      <c r="I43" s="75">
        <f>VLOOKUP($A43,'Data Vlaue (Cr)'!$C:$FB,100)</f>
        <v>9300</v>
      </c>
      <c r="J43" s="75">
        <f t="shared" si="2"/>
        <v>-2638</v>
      </c>
      <c r="K43" s="75">
        <f t="shared" ref="K43:K74" si="6">J43/H43*100</f>
        <v>-39.597718402882016</v>
      </c>
      <c r="L43" s="75">
        <f>VLOOKUP($A43,'Data Vlaue (Cr)'!$C:$FB,67)</f>
        <v>5794</v>
      </c>
      <c r="M43" s="75">
        <f>VLOOKUP($A43,'Data Vlaue (Cr)'!$C:$FB,68)</f>
        <v>8187</v>
      </c>
      <c r="N43" s="75">
        <f t="shared" ref="N43:N74" si="7">L43-M43</f>
        <v>-2393</v>
      </c>
      <c r="O43" s="75">
        <f t="shared" ref="O43:O74" si="8">N43/L43*100</f>
        <v>-41.301346220227821</v>
      </c>
      <c r="P43" s="75">
        <f>VLOOKUP($A43,'Data Vlaue (Cr)'!$C:$FB,119)</f>
        <v>0.66</v>
      </c>
      <c r="Q43" s="75">
        <f>VLOOKUP($A43,'Data Vlaue (Cr)'!$C:$FB,122)*100</f>
        <v>-19.509999999999998</v>
      </c>
      <c r="R43" s="75">
        <f>VLOOKUP($A43,'Data Vlaue (Cr)'!$C:$FB,125)</f>
        <v>0.51</v>
      </c>
      <c r="S43" s="75">
        <f>VLOOKUP($A43,'Data Vlaue (Cr)'!$C:$FB,128)*100</f>
        <v>10.870000000000001</v>
      </c>
    </row>
    <row r="44" spans="1:19" x14ac:dyDescent="0.25">
      <c r="A44" s="96" t="str">
        <f>'Data Vlaue (Cr)'!C35</f>
        <v>BIOCON</v>
      </c>
      <c r="B44" s="75">
        <f>VLOOKUP($A44,'Data Vlaue (Cr)'!$C:$FB,2)</f>
        <v>2500</v>
      </c>
      <c r="C44" s="75">
        <f>VLOOKUP($A44,'Data Vlaue (Cr)'!$C:$FB,8)</f>
        <v>436.15</v>
      </c>
      <c r="D44" s="75">
        <f>VLOOKUP($A44,'Data Vlaue (Cr)'!$C:$FB,4)</f>
        <v>439.85</v>
      </c>
      <c r="E44" s="75">
        <f>VLOOKUP($A44,'Data Vlaue (Cr)'!$C:$FB,5)</f>
        <v>433.35</v>
      </c>
      <c r="F44" s="75">
        <f t="shared" si="0"/>
        <v>3.7000000000000455</v>
      </c>
      <c r="G44" s="75">
        <f t="shared" si="1"/>
        <v>1.4777765147209274</v>
      </c>
      <c r="H44" s="75">
        <f>VLOOKUP($A44,'Data Vlaue (Cr)'!$C:$FB,99)</f>
        <v>2477</v>
      </c>
      <c r="I44" s="75">
        <f>VLOOKUP($A44,'Data Vlaue (Cr)'!$C:$FB,100)</f>
        <v>3782</v>
      </c>
      <c r="J44" s="75">
        <f t="shared" si="2"/>
        <v>-1305</v>
      </c>
      <c r="K44" s="75">
        <f t="shared" si="6"/>
        <v>-52.684699232943075</v>
      </c>
      <c r="L44" s="75">
        <f>VLOOKUP($A44,'Data Vlaue (Cr)'!$C:$FB,67)</f>
        <v>3105</v>
      </c>
      <c r="M44" s="75">
        <f>VLOOKUP($A44,'Data Vlaue (Cr)'!$C:$FB,68)</f>
        <v>3176</v>
      </c>
      <c r="N44" s="75">
        <f t="shared" si="7"/>
        <v>-71</v>
      </c>
      <c r="O44" s="75">
        <f t="shared" si="8"/>
        <v>-2.2866344605475044</v>
      </c>
      <c r="P44" s="75">
        <f>VLOOKUP($A44,'Data Vlaue (Cr)'!$C:$FB,119)</f>
        <v>0.66</v>
      </c>
      <c r="Q44" s="75">
        <f>VLOOKUP($A44,'Data Vlaue (Cr)'!$C:$FB,122)*100</f>
        <v>-21.43</v>
      </c>
      <c r="R44" s="75">
        <f>VLOOKUP($A44,'Data Vlaue (Cr)'!$C:$FB,125)</f>
        <v>0.34</v>
      </c>
      <c r="S44" s="75">
        <f>VLOOKUP($A44,'Data Vlaue (Cr)'!$C:$FB,128)*100</f>
        <v>-42.370000000000005</v>
      </c>
    </row>
    <row r="45" spans="1:19" x14ac:dyDescent="0.25">
      <c r="A45" s="96" t="str">
        <f>'Data Vlaue (Cr)'!C36</f>
        <v>BLUESTARCO</v>
      </c>
      <c r="B45" s="75">
        <f>VLOOKUP($A45,'Data Vlaue (Cr)'!$C:$FB,2)</f>
        <v>325</v>
      </c>
      <c r="C45" s="75">
        <f>VLOOKUP($A45,'Data Vlaue (Cr)'!$C:$FB,8)</f>
        <v>1640.9</v>
      </c>
      <c r="D45" s="75">
        <f>VLOOKUP($A45,'Data Vlaue (Cr)'!$C:$FB,4)</f>
        <v>1651</v>
      </c>
      <c r="E45" s="75">
        <f>VLOOKUP($A45,'Data Vlaue (Cr)'!$C:$FB,5)</f>
        <v>1659.6</v>
      </c>
      <c r="F45" s="75">
        <f t="shared" si="0"/>
        <v>10.099999999999909</v>
      </c>
      <c r="G45" s="75">
        <f t="shared" si="1"/>
        <v>-0.52089642640823197</v>
      </c>
      <c r="H45" s="75">
        <f>VLOOKUP($A45,'Data Vlaue (Cr)'!$C:$FB,99)</f>
        <v>628</v>
      </c>
      <c r="I45" s="75">
        <f>VLOOKUP($A45,'Data Vlaue (Cr)'!$C:$FB,100)</f>
        <v>1188</v>
      </c>
      <c r="J45" s="75">
        <f t="shared" si="2"/>
        <v>-560</v>
      </c>
      <c r="K45" s="75">
        <f t="shared" si="6"/>
        <v>-89.171974522292999</v>
      </c>
      <c r="L45" s="75">
        <f>VLOOKUP($A45,'Data Vlaue (Cr)'!$C:$FB,67)</f>
        <v>652</v>
      </c>
      <c r="M45" s="75">
        <f>VLOOKUP($A45,'Data Vlaue (Cr)'!$C:$FB,68)</f>
        <v>870</v>
      </c>
      <c r="N45" s="75">
        <f t="shared" si="7"/>
        <v>-218</v>
      </c>
      <c r="O45" s="75">
        <f t="shared" si="8"/>
        <v>-33.435582822085891</v>
      </c>
      <c r="P45" s="75">
        <f>VLOOKUP($A45,'Data Vlaue (Cr)'!$C:$FB,119)</f>
        <v>0.74</v>
      </c>
      <c r="Q45" s="75">
        <f>VLOOKUP($A45,'Data Vlaue (Cr)'!$C:$FB,122)*100</f>
        <v>32.14</v>
      </c>
      <c r="R45" s="75">
        <f>VLOOKUP($A45,'Data Vlaue (Cr)'!$C:$FB,125)</f>
        <v>0.72</v>
      </c>
      <c r="S45" s="75">
        <f>VLOOKUP($A45,'Data Vlaue (Cr)'!$C:$FB,128)*100</f>
        <v>10.77</v>
      </c>
    </row>
    <row r="46" spans="1:19" x14ac:dyDescent="0.25">
      <c r="A46" s="96" t="str">
        <f>'Data Vlaue (Cr)'!C37</f>
        <v>BOSCHLTD</v>
      </c>
      <c r="B46" s="75">
        <f>VLOOKUP($A46,'Data Vlaue (Cr)'!$C:$FB,2)</f>
        <v>25</v>
      </c>
      <c r="C46" s="75">
        <f>VLOOKUP($A46,'Data Vlaue (Cr)'!$C:$FB,8)</f>
        <v>35835</v>
      </c>
      <c r="D46" s="75">
        <f>VLOOKUP($A46,'Data Vlaue (Cr)'!$C:$FB,4)</f>
        <v>36060</v>
      </c>
      <c r="E46" s="75">
        <f>VLOOKUP($A46,'Data Vlaue (Cr)'!$C:$FB,5)</f>
        <v>36645</v>
      </c>
      <c r="F46" s="75">
        <f t="shared" si="0"/>
        <v>225</v>
      </c>
      <c r="G46" s="75">
        <f t="shared" si="1"/>
        <v>-1.622296173044925</v>
      </c>
      <c r="H46" s="75">
        <f>VLOOKUP($A46,'Data Vlaue (Cr)'!$C:$FB,99)</f>
        <v>1783</v>
      </c>
      <c r="I46" s="75">
        <f>VLOOKUP($A46,'Data Vlaue (Cr)'!$C:$FB,100)</f>
        <v>3019</v>
      </c>
      <c r="J46" s="75">
        <f t="shared" si="2"/>
        <v>-1236</v>
      </c>
      <c r="K46" s="75">
        <f t="shared" si="6"/>
        <v>-69.321368480089745</v>
      </c>
      <c r="L46" s="75">
        <f>VLOOKUP($A46,'Data Vlaue (Cr)'!$C:$FB,67)</f>
        <v>2816</v>
      </c>
      <c r="M46" s="75">
        <f>VLOOKUP($A46,'Data Vlaue (Cr)'!$C:$FB,68)</f>
        <v>7948</v>
      </c>
      <c r="N46" s="75">
        <f t="shared" si="7"/>
        <v>-5132</v>
      </c>
      <c r="O46" s="75">
        <f t="shared" si="8"/>
        <v>-182.24431818181819</v>
      </c>
      <c r="P46" s="75">
        <f>VLOOKUP($A46,'Data Vlaue (Cr)'!$C:$FB,119)</f>
        <v>0.5</v>
      </c>
      <c r="Q46" s="75">
        <f>VLOOKUP($A46,'Data Vlaue (Cr)'!$C:$FB,122)*100</f>
        <v>19.05</v>
      </c>
      <c r="R46" s="75">
        <f>VLOOKUP($A46,'Data Vlaue (Cr)'!$C:$FB,125)</f>
        <v>0.34</v>
      </c>
      <c r="S46" s="75">
        <f>VLOOKUP($A46,'Data Vlaue (Cr)'!$C:$FB,128)*100</f>
        <v>-19.05</v>
      </c>
    </row>
    <row r="47" spans="1:19" x14ac:dyDescent="0.25">
      <c r="A47" s="96" t="str">
        <f>'Data Vlaue (Cr)'!C38</f>
        <v>BPCL</v>
      </c>
      <c r="B47" s="75">
        <f>VLOOKUP($A47,'Data Vlaue (Cr)'!$C:$FB,2)</f>
        <v>1975</v>
      </c>
      <c r="C47" s="75">
        <f>VLOOKUP($A47,'Data Vlaue (Cr)'!$C:$FB,8)</f>
        <v>304.60000000000002</v>
      </c>
      <c r="D47" s="75">
        <f>VLOOKUP($A47,'Data Vlaue (Cr)'!$C:$FB,4)</f>
        <v>306.3</v>
      </c>
      <c r="E47" s="75">
        <f>VLOOKUP($A47,'Data Vlaue (Cr)'!$C:$FB,5)</f>
        <v>309.89999999999998</v>
      </c>
      <c r="F47" s="75">
        <f t="shared" si="0"/>
        <v>1.6999999999999886</v>
      </c>
      <c r="G47" s="75">
        <f t="shared" si="1"/>
        <v>-1.1753183153770701</v>
      </c>
      <c r="H47" s="75">
        <f>VLOOKUP($A47,'Data Vlaue (Cr)'!$C:$FB,99)</f>
        <v>1959</v>
      </c>
      <c r="I47" s="75">
        <f>VLOOKUP($A47,'Data Vlaue (Cr)'!$C:$FB,100)</f>
        <v>3182</v>
      </c>
      <c r="J47" s="75">
        <f t="shared" si="2"/>
        <v>-1223</v>
      </c>
      <c r="K47" s="75">
        <f t="shared" si="6"/>
        <v>-62.429811128126602</v>
      </c>
      <c r="L47" s="75">
        <f>VLOOKUP($A47,'Data Vlaue (Cr)'!$C:$FB,67)</f>
        <v>1473</v>
      </c>
      <c r="M47" s="75">
        <f>VLOOKUP($A47,'Data Vlaue (Cr)'!$C:$FB,68)</f>
        <v>4822</v>
      </c>
      <c r="N47" s="75">
        <f t="shared" si="7"/>
        <v>-3349</v>
      </c>
      <c r="O47" s="75">
        <f t="shared" si="8"/>
        <v>-227.35913102511881</v>
      </c>
      <c r="P47" s="75">
        <f>VLOOKUP($A47,'Data Vlaue (Cr)'!$C:$FB,119)</f>
        <v>0.75</v>
      </c>
      <c r="Q47" s="75">
        <f>VLOOKUP($A47,'Data Vlaue (Cr)'!$C:$FB,122)*100</f>
        <v>0</v>
      </c>
      <c r="R47" s="75">
        <f>VLOOKUP($A47,'Data Vlaue (Cr)'!$C:$FB,125)</f>
        <v>0.55000000000000004</v>
      </c>
      <c r="S47" s="75">
        <f>VLOOKUP($A47,'Data Vlaue (Cr)'!$C:$FB,128)*100</f>
        <v>30.95</v>
      </c>
    </row>
    <row r="48" spans="1:19" x14ac:dyDescent="0.25">
      <c r="A48" s="96" t="str">
        <f>'Data Vlaue (Cr)'!C39</f>
        <v>BRITANNIA</v>
      </c>
      <c r="B48" s="75">
        <f>VLOOKUP($A48,'Data Vlaue (Cr)'!$C:$FB,2)</f>
        <v>125</v>
      </c>
      <c r="C48" s="75">
        <f>VLOOKUP($A48,'Data Vlaue (Cr)'!$C:$FB,8)</f>
        <v>5338</v>
      </c>
      <c r="D48" s="75">
        <f>VLOOKUP($A48,'Data Vlaue (Cr)'!$C:$FB,4)</f>
        <v>5363.5</v>
      </c>
      <c r="E48" s="75">
        <f>VLOOKUP($A48,'Data Vlaue (Cr)'!$C:$FB,5)</f>
        <v>5345</v>
      </c>
      <c r="F48" s="75">
        <f t="shared" si="0"/>
        <v>25.5</v>
      </c>
      <c r="G48" s="75">
        <f t="shared" si="1"/>
        <v>0.34492402349212264</v>
      </c>
      <c r="H48" s="75">
        <f>VLOOKUP($A48,'Data Vlaue (Cr)'!$C:$FB,99)</f>
        <v>1726</v>
      </c>
      <c r="I48" s="75">
        <f>VLOOKUP($A48,'Data Vlaue (Cr)'!$C:$FB,100)</f>
        <v>3212</v>
      </c>
      <c r="J48" s="75">
        <f t="shared" si="2"/>
        <v>-1486</v>
      </c>
      <c r="K48" s="75">
        <f t="shared" si="6"/>
        <v>-86.095017381228274</v>
      </c>
      <c r="L48" s="75">
        <f>VLOOKUP($A48,'Data Vlaue (Cr)'!$C:$FB,67)</f>
        <v>1542</v>
      </c>
      <c r="M48" s="75">
        <f>VLOOKUP($A48,'Data Vlaue (Cr)'!$C:$FB,68)</f>
        <v>2443</v>
      </c>
      <c r="N48" s="75">
        <f t="shared" si="7"/>
        <v>-901</v>
      </c>
      <c r="O48" s="75">
        <f t="shared" si="8"/>
        <v>-58.430609597924779</v>
      </c>
      <c r="P48" s="75">
        <f>VLOOKUP($A48,'Data Vlaue (Cr)'!$C:$FB,119)</f>
        <v>0.97</v>
      </c>
      <c r="Q48" s="75">
        <f>VLOOKUP($A48,'Data Vlaue (Cr)'!$C:$FB,122)*100</f>
        <v>67.239999999999995</v>
      </c>
      <c r="R48" s="75">
        <f>VLOOKUP($A48,'Data Vlaue (Cr)'!$C:$FB,125)</f>
        <v>0.47</v>
      </c>
      <c r="S48" s="75">
        <f>VLOOKUP($A48,'Data Vlaue (Cr)'!$C:$FB,128)*100</f>
        <v>4.4400000000000004</v>
      </c>
    </row>
    <row r="49" spans="1:19" x14ac:dyDescent="0.25">
      <c r="A49" s="96" t="str">
        <f>'Data Vlaue (Cr)'!C40</f>
        <v>BSE</v>
      </c>
      <c r="B49" s="75">
        <f>VLOOKUP($A49,'Data Vlaue (Cr)'!$C:$FB,2)</f>
        <v>375</v>
      </c>
      <c r="C49" s="75">
        <f>VLOOKUP($A49,'Data Vlaue (Cr)'!$C:$FB,8)</f>
        <v>4403.3</v>
      </c>
      <c r="D49" s="75">
        <f>VLOOKUP($A49,'Data Vlaue (Cr)'!$C:$FB,4)</f>
        <v>4421.3999999999996</v>
      </c>
      <c r="E49" s="75">
        <f>VLOOKUP($A49,'Data Vlaue (Cr)'!$C:$FB,5)</f>
        <v>4326.3</v>
      </c>
      <c r="F49" s="75">
        <f t="shared" si="0"/>
        <v>18.099999999999454</v>
      </c>
      <c r="G49" s="75">
        <f t="shared" si="1"/>
        <v>2.1509024290948449</v>
      </c>
      <c r="H49" s="75">
        <f>VLOOKUP($A49,'Data Vlaue (Cr)'!$C:$FB,99)</f>
        <v>6852</v>
      </c>
      <c r="I49" s="75">
        <f>VLOOKUP($A49,'Data Vlaue (Cr)'!$C:$FB,100)</f>
        <v>10892</v>
      </c>
      <c r="J49" s="75">
        <f t="shared" si="2"/>
        <v>-4040</v>
      </c>
      <c r="K49" s="75">
        <f t="shared" si="6"/>
        <v>-58.96088733216579</v>
      </c>
      <c r="L49" s="75">
        <f>VLOOKUP($A49,'Data Vlaue (Cr)'!$C:$FB,67)</f>
        <v>17485</v>
      </c>
      <c r="M49" s="75">
        <f>VLOOKUP($A49,'Data Vlaue (Cr)'!$C:$FB,68)</f>
        <v>21278</v>
      </c>
      <c r="N49" s="75">
        <f t="shared" si="7"/>
        <v>-3793</v>
      </c>
      <c r="O49" s="75">
        <f t="shared" si="8"/>
        <v>-21.692879611095226</v>
      </c>
      <c r="P49" s="75">
        <f>VLOOKUP($A49,'Data Vlaue (Cr)'!$C:$FB,119)</f>
        <v>0.99</v>
      </c>
      <c r="Q49" s="75">
        <f>VLOOKUP($A49,'Data Vlaue (Cr)'!$C:$FB,122)*100</f>
        <v>-11.61</v>
      </c>
      <c r="R49" s="75">
        <f>VLOOKUP($A49,'Data Vlaue (Cr)'!$C:$FB,125)</f>
        <v>0.75</v>
      </c>
      <c r="S49" s="75">
        <f>VLOOKUP($A49,'Data Vlaue (Cr)'!$C:$FB,128)*100</f>
        <v>-13.79</v>
      </c>
    </row>
    <row r="50" spans="1:19" x14ac:dyDescent="0.25">
      <c r="A50" s="96" t="str">
        <f>'Data Vlaue (Cr)'!C41</f>
        <v>CAMS</v>
      </c>
      <c r="B50" s="75">
        <f>VLOOKUP($A50,'Data Vlaue (Cr)'!$C:$FB,2)</f>
        <v>750</v>
      </c>
      <c r="C50" s="75">
        <f>VLOOKUP($A50,'Data Vlaue (Cr)'!$C:$FB,8)</f>
        <v>773.15</v>
      </c>
      <c r="D50" s="75">
        <f>VLOOKUP($A50,'Data Vlaue (Cr)'!$C:$FB,4)</f>
        <v>775.05</v>
      </c>
      <c r="E50" s="75">
        <f>VLOOKUP($A50,'Data Vlaue (Cr)'!$C:$FB,5)</f>
        <v>775.35</v>
      </c>
      <c r="F50" s="75">
        <f t="shared" si="0"/>
        <v>1.8999999999999773</v>
      </c>
      <c r="G50" s="75">
        <f t="shared" si="1"/>
        <v>-3.8707180181932553E-2</v>
      </c>
      <c r="H50" s="75">
        <f>VLOOKUP($A50,'Data Vlaue (Cr)'!$C:$FB,99)</f>
        <v>555</v>
      </c>
      <c r="I50" s="75">
        <f>VLOOKUP($A50,'Data Vlaue (Cr)'!$C:$FB,100)</f>
        <v>1065</v>
      </c>
      <c r="J50" s="75">
        <f t="shared" si="2"/>
        <v>-510</v>
      </c>
      <c r="K50" s="75">
        <f t="shared" si="6"/>
        <v>-91.891891891891902</v>
      </c>
      <c r="L50" s="75">
        <f>VLOOKUP($A50,'Data Vlaue (Cr)'!$C:$FB,67)</f>
        <v>445</v>
      </c>
      <c r="M50" s="75">
        <f>VLOOKUP($A50,'Data Vlaue (Cr)'!$C:$FB,68)</f>
        <v>904</v>
      </c>
      <c r="N50" s="75">
        <f t="shared" si="7"/>
        <v>-459</v>
      </c>
      <c r="O50" s="75">
        <f t="shared" si="8"/>
        <v>-103.14606741573033</v>
      </c>
      <c r="P50" s="75">
        <f>VLOOKUP($A50,'Data Vlaue (Cr)'!$C:$FB,119)</f>
        <v>0.71</v>
      </c>
      <c r="Q50" s="75">
        <f>VLOOKUP($A50,'Data Vlaue (Cr)'!$C:$FB,122)*100</f>
        <v>-7.79</v>
      </c>
      <c r="R50" s="75">
        <f>VLOOKUP($A50,'Data Vlaue (Cr)'!$C:$FB,125)</f>
        <v>0.4</v>
      </c>
      <c r="S50" s="75">
        <f>VLOOKUP($A50,'Data Vlaue (Cr)'!$C:$FB,128)*100</f>
        <v>-28.57</v>
      </c>
    </row>
    <row r="51" spans="1:19" x14ac:dyDescent="0.25">
      <c r="A51" s="96" t="str">
        <f>'Data Vlaue (Cr)'!C42</f>
        <v>CANBK</v>
      </c>
      <c r="B51" s="75">
        <f>VLOOKUP($A51,'Data Vlaue (Cr)'!$C:$FB,2)</f>
        <v>6750</v>
      </c>
      <c r="C51" s="75">
        <f>VLOOKUP($A51,'Data Vlaue (Cr)'!$C:$FB,8)</f>
        <v>133.15</v>
      </c>
      <c r="D51" s="75">
        <f>VLOOKUP($A51,'Data Vlaue (Cr)'!$C:$FB,4)</f>
        <v>134.26</v>
      </c>
      <c r="E51" s="75">
        <f>VLOOKUP($A51,'Data Vlaue (Cr)'!$C:$FB,5)</f>
        <v>134.78</v>
      </c>
      <c r="F51" s="75">
        <f t="shared" si="0"/>
        <v>1.1099999999999852</v>
      </c>
      <c r="G51" s="75">
        <f t="shared" si="1"/>
        <v>-0.38730820795472237</v>
      </c>
      <c r="H51" s="75">
        <f>VLOOKUP($A51,'Data Vlaue (Cr)'!$C:$FB,99)</f>
        <v>4334</v>
      </c>
      <c r="I51" s="75">
        <f>VLOOKUP($A51,'Data Vlaue (Cr)'!$C:$FB,100)</f>
        <v>5805</v>
      </c>
      <c r="J51" s="75">
        <f t="shared" si="2"/>
        <v>-1471</v>
      </c>
      <c r="K51" s="75">
        <f t="shared" si="6"/>
        <v>-33.940932164282415</v>
      </c>
      <c r="L51" s="75">
        <f>VLOOKUP($A51,'Data Vlaue (Cr)'!$C:$FB,67)</f>
        <v>3177</v>
      </c>
      <c r="M51" s="75">
        <f>VLOOKUP($A51,'Data Vlaue (Cr)'!$C:$FB,68)</f>
        <v>5138</v>
      </c>
      <c r="N51" s="75">
        <f t="shared" si="7"/>
        <v>-1961</v>
      </c>
      <c r="O51" s="75">
        <f t="shared" si="8"/>
        <v>-61.724897702234813</v>
      </c>
      <c r="P51" s="75">
        <f>VLOOKUP($A51,'Data Vlaue (Cr)'!$C:$FB,119)</f>
        <v>1.1499999999999999</v>
      </c>
      <c r="Q51" s="75">
        <f>VLOOKUP($A51,'Data Vlaue (Cr)'!$C:$FB,122)*100</f>
        <v>38.550000000000004</v>
      </c>
      <c r="R51" s="75">
        <f>VLOOKUP($A51,'Data Vlaue (Cr)'!$C:$FB,125)</f>
        <v>0.6</v>
      </c>
      <c r="S51" s="75">
        <f>VLOOKUP($A51,'Data Vlaue (Cr)'!$C:$FB,128)*100</f>
        <v>-15.49</v>
      </c>
    </row>
    <row r="52" spans="1:19" x14ac:dyDescent="0.25">
      <c r="A52" s="96" t="str">
        <f>'Data Vlaue (Cr)'!C43</f>
        <v>CDSL</v>
      </c>
      <c r="B52" s="75">
        <f>VLOOKUP($A52,'Data Vlaue (Cr)'!$C:$FB,2)</f>
        <v>475</v>
      </c>
      <c r="C52" s="75">
        <f>VLOOKUP($A52,'Data Vlaue (Cr)'!$C:$FB,8)</f>
        <v>1226.3</v>
      </c>
      <c r="D52" s="75">
        <f>VLOOKUP($A52,'Data Vlaue (Cr)'!$C:$FB,4)</f>
        <v>1233.3</v>
      </c>
      <c r="E52" s="75">
        <f>VLOOKUP($A52,'Data Vlaue (Cr)'!$C:$FB,5)</f>
        <v>1216.5999999999999</v>
      </c>
      <c r="F52" s="75">
        <f t="shared" si="0"/>
        <v>7</v>
      </c>
      <c r="G52" s="75">
        <f t="shared" si="1"/>
        <v>1.3540906510986821</v>
      </c>
      <c r="H52" s="75">
        <f>VLOOKUP($A52,'Data Vlaue (Cr)'!$C:$FB,99)</f>
        <v>2390</v>
      </c>
      <c r="I52" s="75">
        <f>VLOOKUP($A52,'Data Vlaue (Cr)'!$C:$FB,100)</f>
        <v>3623</v>
      </c>
      <c r="J52" s="75">
        <f t="shared" si="2"/>
        <v>-1233</v>
      </c>
      <c r="K52" s="75">
        <f t="shared" si="6"/>
        <v>-51.58995815899582</v>
      </c>
      <c r="L52" s="75">
        <f>VLOOKUP($A52,'Data Vlaue (Cr)'!$C:$FB,67)</f>
        <v>2146</v>
      </c>
      <c r="M52" s="75">
        <f>VLOOKUP($A52,'Data Vlaue (Cr)'!$C:$FB,68)</f>
        <v>3494</v>
      </c>
      <c r="N52" s="75">
        <f t="shared" si="7"/>
        <v>-1348</v>
      </c>
      <c r="O52" s="75">
        <f t="shared" si="8"/>
        <v>-62.814538676607647</v>
      </c>
      <c r="P52" s="75">
        <f>VLOOKUP($A52,'Data Vlaue (Cr)'!$C:$FB,119)</f>
        <v>0.82</v>
      </c>
      <c r="Q52" s="75">
        <f>VLOOKUP($A52,'Data Vlaue (Cr)'!$C:$FB,122)*100</f>
        <v>22.39</v>
      </c>
      <c r="R52" s="75">
        <f>VLOOKUP($A52,'Data Vlaue (Cr)'!$C:$FB,125)</f>
        <v>0.5</v>
      </c>
      <c r="S52" s="75">
        <f>VLOOKUP($A52,'Data Vlaue (Cr)'!$C:$FB,128)*100</f>
        <v>13.639999999999999</v>
      </c>
    </row>
    <row r="53" spans="1:19" x14ac:dyDescent="0.25">
      <c r="A53" s="96" t="str">
        <f>'Data Vlaue (Cr)'!C44</f>
        <v>CGPOWER</v>
      </c>
      <c r="B53" s="75">
        <f>VLOOKUP($A53,'Data Vlaue (Cr)'!$C:$FB,2)</f>
        <v>850</v>
      </c>
      <c r="C53" s="75">
        <f>VLOOKUP($A53,'Data Vlaue (Cr)'!$C:$FB,8)</f>
        <v>879.15</v>
      </c>
      <c r="D53" s="75">
        <f>VLOOKUP($A53,'Data Vlaue (Cr)'!$C:$FB,4)</f>
        <v>884.3</v>
      </c>
      <c r="E53" s="75">
        <f>VLOOKUP($A53,'Data Vlaue (Cr)'!$C:$FB,5)</f>
        <v>874.85</v>
      </c>
      <c r="F53" s="75">
        <f t="shared" si="0"/>
        <v>5.1499999999999773</v>
      </c>
      <c r="G53" s="75">
        <f t="shared" si="1"/>
        <v>1.0686418636209354</v>
      </c>
      <c r="H53" s="75">
        <f>VLOOKUP($A53,'Data Vlaue (Cr)'!$C:$FB,99)</f>
        <v>2150</v>
      </c>
      <c r="I53" s="75">
        <f>VLOOKUP($A53,'Data Vlaue (Cr)'!$C:$FB,100)</f>
        <v>2890</v>
      </c>
      <c r="J53" s="75">
        <f t="shared" si="2"/>
        <v>-740</v>
      </c>
      <c r="K53" s="75">
        <f t="shared" si="6"/>
        <v>-34.418604651162795</v>
      </c>
      <c r="L53" s="75">
        <f>VLOOKUP($A53,'Data Vlaue (Cr)'!$C:$FB,67)</f>
        <v>1637</v>
      </c>
      <c r="M53" s="75">
        <f>VLOOKUP($A53,'Data Vlaue (Cr)'!$C:$FB,68)</f>
        <v>2296</v>
      </c>
      <c r="N53" s="75">
        <f t="shared" si="7"/>
        <v>-659</v>
      </c>
      <c r="O53" s="75">
        <f t="shared" si="8"/>
        <v>-40.25656689065363</v>
      </c>
      <c r="P53" s="75">
        <f>VLOOKUP($A53,'Data Vlaue (Cr)'!$C:$FB,119)</f>
        <v>0.65</v>
      </c>
      <c r="Q53" s="75">
        <f>VLOOKUP($A53,'Data Vlaue (Cr)'!$C:$FB,122)*100</f>
        <v>-24.42</v>
      </c>
      <c r="R53" s="75">
        <f>VLOOKUP($A53,'Data Vlaue (Cr)'!$C:$FB,125)</f>
        <v>0.25</v>
      </c>
      <c r="S53" s="75">
        <f>VLOOKUP($A53,'Data Vlaue (Cr)'!$C:$FB,128)*100</f>
        <v>-39.019999999999996</v>
      </c>
    </row>
    <row r="54" spans="1:19" x14ac:dyDescent="0.25">
      <c r="A54" s="96" t="str">
        <f>'Data Vlaue (Cr)'!C45</f>
        <v>CHOLAFIN</v>
      </c>
      <c r="B54" s="75">
        <f>VLOOKUP($A54,'Data Vlaue (Cr)'!$C:$FB,2)</f>
        <v>625</v>
      </c>
      <c r="C54" s="75">
        <f>VLOOKUP($A54,'Data Vlaue (Cr)'!$C:$FB,8)</f>
        <v>1567.3</v>
      </c>
      <c r="D54" s="75">
        <f>VLOOKUP($A54,'Data Vlaue (Cr)'!$C:$FB,4)</f>
        <v>1579.8</v>
      </c>
      <c r="E54" s="75">
        <f>VLOOKUP($A54,'Data Vlaue (Cr)'!$C:$FB,5)</f>
        <v>1599.4</v>
      </c>
      <c r="F54" s="75">
        <f t="shared" si="0"/>
        <v>12.5</v>
      </c>
      <c r="G54" s="75">
        <f t="shared" si="1"/>
        <v>-1.2406633751107823</v>
      </c>
      <c r="H54" s="75">
        <f>VLOOKUP($A54,'Data Vlaue (Cr)'!$C:$FB,99)</f>
        <v>3131</v>
      </c>
      <c r="I54" s="75">
        <f>VLOOKUP($A54,'Data Vlaue (Cr)'!$C:$FB,100)</f>
        <v>3943</v>
      </c>
      <c r="J54" s="75">
        <f t="shared" si="2"/>
        <v>-812</v>
      </c>
      <c r="K54" s="75">
        <f t="shared" si="6"/>
        <v>-25.934206323858195</v>
      </c>
      <c r="L54" s="75">
        <f>VLOOKUP($A54,'Data Vlaue (Cr)'!$C:$FB,67)</f>
        <v>1616</v>
      </c>
      <c r="M54" s="75">
        <f>VLOOKUP($A54,'Data Vlaue (Cr)'!$C:$FB,68)</f>
        <v>4291</v>
      </c>
      <c r="N54" s="75">
        <f t="shared" si="7"/>
        <v>-2675</v>
      </c>
      <c r="O54" s="75">
        <f t="shared" si="8"/>
        <v>-165.53217821782178</v>
      </c>
      <c r="P54" s="75">
        <f>VLOOKUP($A54,'Data Vlaue (Cr)'!$C:$FB,119)</f>
        <v>0.74</v>
      </c>
      <c r="Q54" s="75">
        <f>VLOOKUP($A54,'Data Vlaue (Cr)'!$C:$FB,122)*100</f>
        <v>2.78</v>
      </c>
      <c r="R54" s="75">
        <f>VLOOKUP($A54,'Data Vlaue (Cr)'!$C:$FB,125)</f>
        <v>1.29</v>
      </c>
      <c r="S54" s="75">
        <f>VLOOKUP($A54,'Data Vlaue (Cr)'!$C:$FB,128)*100</f>
        <v>163.27000000000001</v>
      </c>
    </row>
    <row r="55" spans="1:19" x14ac:dyDescent="0.25">
      <c r="A55" s="96" t="str">
        <f>'Data Vlaue (Cr)'!C46</f>
        <v>CIPLA</v>
      </c>
      <c r="B55" s="75">
        <f>VLOOKUP($A55,'Data Vlaue (Cr)'!$C:$FB,2)</f>
        <v>375</v>
      </c>
      <c r="C55" s="75">
        <f>VLOOKUP($A55,'Data Vlaue (Cr)'!$C:$FB,8)</f>
        <v>1417.5</v>
      </c>
      <c r="D55" s="75">
        <f>VLOOKUP($A55,'Data Vlaue (Cr)'!$C:$FB,4)</f>
        <v>1417</v>
      </c>
      <c r="E55" s="75">
        <f>VLOOKUP($A55,'Data Vlaue (Cr)'!$C:$FB,5)</f>
        <v>1411.9</v>
      </c>
      <c r="F55" s="75">
        <f t="shared" si="0"/>
        <v>-0.5</v>
      </c>
      <c r="G55" s="75">
        <f t="shared" si="1"/>
        <v>0.35991531404374799</v>
      </c>
      <c r="H55" s="75">
        <f>VLOOKUP($A55,'Data Vlaue (Cr)'!$C:$FB,99)</f>
        <v>2545</v>
      </c>
      <c r="I55" s="75">
        <f>VLOOKUP($A55,'Data Vlaue (Cr)'!$C:$FB,100)</f>
        <v>4544</v>
      </c>
      <c r="J55" s="75">
        <f t="shared" si="2"/>
        <v>-1999</v>
      </c>
      <c r="K55" s="75">
        <f t="shared" si="6"/>
        <v>-78.546168958742641</v>
      </c>
      <c r="L55" s="75">
        <f>VLOOKUP($A55,'Data Vlaue (Cr)'!$C:$FB,67)</f>
        <v>2020</v>
      </c>
      <c r="M55" s="75">
        <f>VLOOKUP($A55,'Data Vlaue (Cr)'!$C:$FB,68)</f>
        <v>3941</v>
      </c>
      <c r="N55" s="75">
        <f t="shared" si="7"/>
        <v>-1921</v>
      </c>
      <c r="O55" s="75">
        <f t="shared" si="8"/>
        <v>-95.099009900990097</v>
      </c>
      <c r="P55" s="75">
        <f>VLOOKUP($A55,'Data Vlaue (Cr)'!$C:$FB,119)</f>
        <v>0.83</v>
      </c>
      <c r="Q55" s="75">
        <f>VLOOKUP($A55,'Data Vlaue (Cr)'!$C:$FB,122)*100</f>
        <v>-9.7799999999999994</v>
      </c>
      <c r="R55" s="75">
        <f>VLOOKUP($A55,'Data Vlaue (Cr)'!$C:$FB,125)</f>
        <v>0.71</v>
      </c>
      <c r="S55" s="75">
        <f>VLOOKUP($A55,'Data Vlaue (Cr)'!$C:$FB,128)*100</f>
        <v>39.22</v>
      </c>
    </row>
    <row r="56" spans="1:19" x14ac:dyDescent="0.25">
      <c r="A56" s="96" t="str">
        <f>'Data Vlaue (Cr)'!C47</f>
        <v>COALINDIA</v>
      </c>
      <c r="B56" s="75">
        <f>VLOOKUP($A56,'Data Vlaue (Cr)'!$C:$FB,2)</f>
        <v>1350</v>
      </c>
      <c r="C56" s="75">
        <f>VLOOKUP($A56,'Data Vlaue (Cr)'!$C:$FB,8)</f>
        <v>458.15</v>
      </c>
      <c r="D56" s="75">
        <f>VLOOKUP($A56,'Data Vlaue (Cr)'!$C:$FB,4)</f>
        <v>456.55</v>
      </c>
      <c r="E56" s="75">
        <f>VLOOKUP($A56,'Data Vlaue (Cr)'!$C:$FB,5)</f>
        <v>460.1</v>
      </c>
      <c r="F56" s="75">
        <f t="shared" si="0"/>
        <v>-1.5999999999999659</v>
      </c>
      <c r="G56" s="75">
        <f t="shared" si="1"/>
        <v>-0.77757091227686148</v>
      </c>
      <c r="H56" s="75">
        <f>VLOOKUP($A56,'Data Vlaue (Cr)'!$C:$FB,99)</f>
        <v>4367</v>
      </c>
      <c r="I56" s="75">
        <f>VLOOKUP($A56,'Data Vlaue (Cr)'!$C:$FB,100)</f>
        <v>5229</v>
      </c>
      <c r="J56" s="75">
        <f t="shared" si="2"/>
        <v>-862</v>
      </c>
      <c r="K56" s="75">
        <f t="shared" si="6"/>
        <v>-19.73895122509732</v>
      </c>
      <c r="L56" s="75">
        <f>VLOOKUP($A56,'Data Vlaue (Cr)'!$C:$FB,67)</f>
        <v>9574</v>
      </c>
      <c r="M56" s="75">
        <f>VLOOKUP($A56,'Data Vlaue (Cr)'!$C:$FB,68)</f>
        <v>4408</v>
      </c>
      <c r="N56" s="75">
        <f t="shared" si="7"/>
        <v>5166</v>
      </c>
      <c r="O56" s="75">
        <f t="shared" si="8"/>
        <v>53.958637977856696</v>
      </c>
      <c r="P56" s="75">
        <f>VLOOKUP($A56,'Data Vlaue (Cr)'!$C:$FB,119)</f>
        <v>0.93</v>
      </c>
      <c r="Q56" s="75">
        <f>VLOOKUP($A56,'Data Vlaue (Cr)'!$C:$FB,122)*100</f>
        <v>57.63</v>
      </c>
      <c r="R56" s="75">
        <f>VLOOKUP($A56,'Data Vlaue (Cr)'!$C:$FB,125)</f>
        <v>0.65</v>
      </c>
      <c r="S56" s="75">
        <f>VLOOKUP($A56,'Data Vlaue (Cr)'!$C:$FB,128)*100</f>
        <v>-26.14</v>
      </c>
    </row>
    <row r="57" spans="1:19" x14ac:dyDescent="0.25">
      <c r="A57" s="96" t="str">
        <f>'Data Vlaue (Cr)'!C48</f>
        <v>COCHINSHIP</v>
      </c>
      <c r="B57" s="75">
        <f>VLOOKUP($A57,'Data Vlaue (Cr)'!$C:$FB,2)</f>
        <v>400</v>
      </c>
      <c r="C57" s="75">
        <f>VLOOKUP($A57,'Data Vlaue (Cr)'!$C:$FB,8)</f>
        <v>1526.2</v>
      </c>
      <c r="D57" s="75">
        <f>VLOOKUP($A57,'Data Vlaue (Cr)'!$C:$FB,4)</f>
        <v>1535</v>
      </c>
      <c r="E57" s="75">
        <f>VLOOKUP($A57,'Data Vlaue (Cr)'!$C:$FB,5)</f>
        <v>1521.7</v>
      </c>
      <c r="F57" s="75">
        <f t="shared" si="0"/>
        <v>8.7999999999999545</v>
      </c>
      <c r="G57" s="75">
        <f t="shared" si="1"/>
        <v>0.86644951140064841</v>
      </c>
      <c r="H57" s="75">
        <f>VLOOKUP($A57,'Data Vlaue (Cr)'!$C:$FB,99)</f>
        <v>613</v>
      </c>
      <c r="I57" s="75">
        <f>VLOOKUP($A57,'Data Vlaue (Cr)'!$C:$FB,100)</f>
        <v>991</v>
      </c>
      <c r="J57" s="75">
        <f t="shared" si="2"/>
        <v>-378</v>
      </c>
      <c r="K57" s="75">
        <f t="shared" si="6"/>
        <v>-61.663947797716148</v>
      </c>
      <c r="L57" s="75">
        <f>VLOOKUP($A57,'Data Vlaue (Cr)'!$C:$FB,67)</f>
        <v>748</v>
      </c>
      <c r="M57" s="75">
        <f>VLOOKUP($A57,'Data Vlaue (Cr)'!$C:$FB,68)</f>
        <v>815</v>
      </c>
      <c r="N57" s="75">
        <f t="shared" si="7"/>
        <v>-67</v>
      </c>
      <c r="O57" s="75">
        <f t="shared" si="8"/>
        <v>-8.9572192513368982</v>
      </c>
      <c r="P57" s="75">
        <f>VLOOKUP($A57,'Data Vlaue (Cr)'!$C:$FB,119)</f>
        <v>0.71</v>
      </c>
      <c r="Q57" s="75">
        <f>VLOOKUP($A57,'Data Vlaue (Cr)'!$C:$FB,122)*100</f>
        <v>33.96</v>
      </c>
      <c r="R57" s="75">
        <f>VLOOKUP($A57,'Data Vlaue (Cr)'!$C:$FB,125)</f>
        <v>0.44</v>
      </c>
      <c r="S57" s="75">
        <f>VLOOKUP($A57,'Data Vlaue (Cr)'!$C:$FB,128)*100</f>
        <v>-4.3499999999999996</v>
      </c>
    </row>
    <row r="58" spans="1:19" x14ac:dyDescent="0.25">
      <c r="A58" s="96" t="str">
        <f>'Data Vlaue (Cr)'!C49</f>
        <v>COFORGE</v>
      </c>
      <c r="B58" s="75">
        <f>VLOOKUP($A58,'Data Vlaue (Cr)'!$C:$FB,2)</f>
        <v>375</v>
      </c>
      <c r="C58" s="75">
        <f>VLOOKUP($A58,'Data Vlaue (Cr)'!$C:$FB,8)</f>
        <v>1422.8</v>
      </c>
      <c r="D58" s="75">
        <f>VLOOKUP($A58,'Data Vlaue (Cr)'!$C:$FB,4)</f>
        <v>1424.1</v>
      </c>
      <c r="E58" s="75">
        <f>VLOOKUP($A58,'Data Vlaue (Cr)'!$C:$FB,5)</f>
        <v>1408.3</v>
      </c>
      <c r="F58" s="75">
        <f t="shared" si="0"/>
        <v>1.2999999999999545</v>
      </c>
      <c r="G58" s="75">
        <f t="shared" si="1"/>
        <v>1.1094726493925957</v>
      </c>
      <c r="H58" s="75">
        <f>VLOOKUP($A58,'Data Vlaue (Cr)'!$C:$FB,99)</f>
        <v>3025</v>
      </c>
      <c r="I58" s="75">
        <f>VLOOKUP($A58,'Data Vlaue (Cr)'!$C:$FB,100)</f>
        <v>5294</v>
      </c>
      <c r="J58" s="75">
        <f t="shared" si="2"/>
        <v>-2269</v>
      </c>
      <c r="K58" s="75">
        <f t="shared" si="6"/>
        <v>-75.008264462809919</v>
      </c>
      <c r="L58" s="75">
        <f>VLOOKUP($A58,'Data Vlaue (Cr)'!$C:$FB,67)</f>
        <v>3256</v>
      </c>
      <c r="M58" s="75">
        <f>VLOOKUP($A58,'Data Vlaue (Cr)'!$C:$FB,68)</f>
        <v>6082</v>
      </c>
      <c r="N58" s="75">
        <f t="shared" si="7"/>
        <v>-2826</v>
      </c>
      <c r="O58" s="75">
        <f t="shared" si="8"/>
        <v>-86.793611793611788</v>
      </c>
      <c r="P58" s="75">
        <f>VLOOKUP($A58,'Data Vlaue (Cr)'!$C:$FB,119)</f>
        <v>0.57999999999999996</v>
      </c>
      <c r="Q58" s="75">
        <f>VLOOKUP($A58,'Data Vlaue (Cr)'!$C:$FB,122)*100</f>
        <v>-28.4</v>
      </c>
      <c r="R58" s="75">
        <f>VLOOKUP($A58,'Data Vlaue (Cr)'!$C:$FB,125)</f>
        <v>0.51</v>
      </c>
      <c r="S58" s="75">
        <f>VLOOKUP($A58,'Data Vlaue (Cr)'!$C:$FB,128)*100</f>
        <v>-3.7699999999999996</v>
      </c>
    </row>
    <row r="59" spans="1:19" x14ac:dyDescent="0.25">
      <c r="A59" s="96" t="str">
        <f>'Data Vlaue (Cr)'!C50</f>
        <v>COLPAL</v>
      </c>
      <c r="B59" s="75">
        <f>VLOOKUP($A59,'Data Vlaue (Cr)'!$C:$FB,2)</f>
        <v>225</v>
      </c>
      <c r="C59" s="75">
        <f>VLOOKUP($A59,'Data Vlaue (Cr)'!$C:$FB,8)</f>
        <v>2077.1</v>
      </c>
      <c r="D59" s="75">
        <f>VLOOKUP($A59,'Data Vlaue (Cr)'!$C:$FB,4)</f>
        <v>2072.1999999999998</v>
      </c>
      <c r="E59" s="75">
        <f>VLOOKUP($A59,'Data Vlaue (Cr)'!$C:$FB,5)</f>
        <v>2088.1</v>
      </c>
      <c r="F59" s="75">
        <f t="shared" si="0"/>
        <v>-4.9000000000000909</v>
      </c>
      <c r="G59" s="75">
        <f t="shared" si="1"/>
        <v>-0.76730045362417199</v>
      </c>
      <c r="H59" s="75">
        <f>VLOOKUP($A59,'Data Vlaue (Cr)'!$C:$FB,99)</f>
        <v>1500</v>
      </c>
      <c r="I59" s="75">
        <f>VLOOKUP($A59,'Data Vlaue (Cr)'!$C:$FB,100)</f>
        <v>1716</v>
      </c>
      <c r="J59" s="75">
        <f t="shared" si="2"/>
        <v>-216</v>
      </c>
      <c r="K59" s="75">
        <f t="shared" si="6"/>
        <v>-14.399999999999999</v>
      </c>
      <c r="L59" s="75">
        <f>VLOOKUP($A59,'Data Vlaue (Cr)'!$C:$FB,67)</f>
        <v>1736</v>
      </c>
      <c r="M59" s="75">
        <f>VLOOKUP($A59,'Data Vlaue (Cr)'!$C:$FB,68)</f>
        <v>5941</v>
      </c>
      <c r="N59" s="75">
        <f t="shared" si="7"/>
        <v>-4205</v>
      </c>
      <c r="O59" s="75">
        <f t="shared" si="8"/>
        <v>-242.22350230414747</v>
      </c>
      <c r="P59" s="75">
        <f>VLOOKUP($A59,'Data Vlaue (Cr)'!$C:$FB,119)</f>
        <v>0.66</v>
      </c>
      <c r="Q59" s="75">
        <f>VLOOKUP($A59,'Data Vlaue (Cr)'!$C:$FB,122)*100</f>
        <v>22.220000000000002</v>
      </c>
      <c r="R59" s="75">
        <f>VLOOKUP($A59,'Data Vlaue (Cr)'!$C:$FB,125)</f>
        <v>0.55000000000000004</v>
      </c>
      <c r="S59" s="75">
        <f>VLOOKUP($A59,'Data Vlaue (Cr)'!$C:$FB,128)*100</f>
        <v>-32.93</v>
      </c>
    </row>
    <row r="60" spans="1:19" x14ac:dyDescent="0.25">
      <c r="A60" s="96" t="str">
        <f>'Data Vlaue (Cr)'!C51</f>
        <v>CONCOR</v>
      </c>
      <c r="B60" s="75">
        <f>VLOOKUP($A60,'Data Vlaue (Cr)'!$C:$FB,2)</f>
        <v>1250</v>
      </c>
      <c r="C60" s="75">
        <f>VLOOKUP($A60,'Data Vlaue (Cr)'!$C:$FB,8)</f>
        <v>475.9</v>
      </c>
      <c r="D60" s="75">
        <f>VLOOKUP($A60,'Data Vlaue (Cr)'!$C:$FB,4)</f>
        <v>479</v>
      </c>
      <c r="E60" s="75">
        <f>VLOOKUP($A60,'Data Vlaue (Cr)'!$C:$FB,5)</f>
        <v>515.6</v>
      </c>
      <c r="F60" s="75">
        <f t="shared" si="0"/>
        <v>3.1000000000000227</v>
      </c>
      <c r="G60" s="75">
        <f t="shared" si="1"/>
        <v>-7.6409185803757866</v>
      </c>
      <c r="H60" s="75">
        <f>VLOOKUP($A60,'Data Vlaue (Cr)'!$C:$FB,99)</f>
        <v>1832</v>
      </c>
      <c r="I60" s="75">
        <f>VLOOKUP($A60,'Data Vlaue (Cr)'!$C:$FB,100)</f>
        <v>1685</v>
      </c>
      <c r="J60" s="75">
        <f t="shared" si="2"/>
        <v>147</v>
      </c>
      <c r="K60" s="75">
        <f t="shared" si="6"/>
        <v>8.0240174672489086</v>
      </c>
      <c r="L60" s="75">
        <f>VLOOKUP($A60,'Data Vlaue (Cr)'!$C:$FB,67)</f>
        <v>3782</v>
      </c>
      <c r="M60" s="75">
        <f>VLOOKUP($A60,'Data Vlaue (Cr)'!$C:$FB,68)</f>
        <v>1482</v>
      </c>
      <c r="N60" s="75">
        <f t="shared" si="7"/>
        <v>2300</v>
      </c>
      <c r="O60" s="75">
        <f t="shared" si="8"/>
        <v>60.81438392384981</v>
      </c>
      <c r="P60" s="75">
        <f>VLOOKUP($A60,'Data Vlaue (Cr)'!$C:$FB,119)</f>
        <v>0.73</v>
      </c>
      <c r="Q60" s="75">
        <f>VLOOKUP($A60,'Data Vlaue (Cr)'!$C:$FB,122)*100</f>
        <v>-19.78</v>
      </c>
      <c r="R60" s="75">
        <f>VLOOKUP($A60,'Data Vlaue (Cr)'!$C:$FB,125)</f>
        <v>0.82</v>
      </c>
      <c r="S60" s="75">
        <f>VLOOKUP($A60,'Data Vlaue (Cr)'!$C:$FB,128)*100</f>
        <v>10.81</v>
      </c>
    </row>
    <row r="61" spans="1:19" x14ac:dyDescent="0.25">
      <c r="A61" s="96" t="str">
        <f>'Data Vlaue (Cr)'!C52</f>
        <v>CROMPTON</v>
      </c>
      <c r="B61" s="75">
        <f>VLOOKUP($A61,'Data Vlaue (Cr)'!$C:$FB,2)</f>
        <v>1800</v>
      </c>
      <c r="C61" s="75">
        <f>VLOOKUP($A61,'Data Vlaue (Cr)'!$C:$FB,8)</f>
        <v>289.05</v>
      </c>
      <c r="D61" s="75">
        <f>VLOOKUP($A61,'Data Vlaue (Cr)'!$C:$FB,4)</f>
        <v>290.55</v>
      </c>
      <c r="E61" s="75">
        <f>VLOOKUP($A61,'Data Vlaue (Cr)'!$C:$FB,5)</f>
        <v>295.60000000000002</v>
      </c>
      <c r="F61" s="75">
        <f t="shared" si="0"/>
        <v>1.5</v>
      </c>
      <c r="G61" s="75">
        <f t="shared" si="1"/>
        <v>-1.7380829461366414</v>
      </c>
      <c r="H61" s="75">
        <f>VLOOKUP($A61,'Data Vlaue (Cr)'!$C:$FB,99)</f>
        <v>1774</v>
      </c>
      <c r="I61" s="75">
        <f>VLOOKUP($A61,'Data Vlaue (Cr)'!$C:$FB,100)</f>
        <v>2489</v>
      </c>
      <c r="J61" s="75">
        <f t="shared" si="2"/>
        <v>-715</v>
      </c>
      <c r="K61" s="75">
        <f t="shared" si="6"/>
        <v>-40.304396843291997</v>
      </c>
      <c r="L61" s="75">
        <f>VLOOKUP($A61,'Data Vlaue (Cr)'!$C:$FB,67)</f>
        <v>1016</v>
      </c>
      <c r="M61" s="75">
        <f>VLOOKUP($A61,'Data Vlaue (Cr)'!$C:$FB,68)</f>
        <v>1441</v>
      </c>
      <c r="N61" s="75">
        <f t="shared" si="7"/>
        <v>-425</v>
      </c>
      <c r="O61" s="75">
        <f t="shared" si="8"/>
        <v>-41.830708661417319</v>
      </c>
      <c r="P61" s="75">
        <f>VLOOKUP($A61,'Data Vlaue (Cr)'!$C:$FB,119)</f>
        <v>0.4</v>
      </c>
      <c r="Q61" s="75">
        <f>VLOOKUP($A61,'Data Vlaue (Cr)'!$C:$FB,122)*100</f>
        <v>-29.82</v>
      </c>
      <c r="R61" s="75">
        <f>VLOOKUP($A61,'Data Vlaue (Cr)'!$C:$FB,125)</f>
        <v>0.48</v>
      </c>
      <c r="S61" s="75">
        <f>VLOOKUP($A61,'Data Vlaue (Cr)'!$C:$FB,128)*100</f>
        <v>9.09</v>
      </c>
    </row>
    <row r="62" spans="1:19" x14ac:dyDescent="0.25">
      <c r="A62" s="96" t="str">
        <f>'Data Vlaue (Cr)'!C53</f>
        <v>CUMMINSIND</v>
      </c>
      <c r="B62" s="75">
        <f>VLOOKUP($A62,'Data Vlaue (Cr)'!$C:$FB,2)</f>
        <v>200</v>
      </c>
      <c r="C62" s="75">
        <f>VLOOKUP($A62,'Data Vlaue (Cr)'!$C:$FB,8)</f>
        <v>5418.5</v>
      </c>
      <c r="D62" s="75">
        <f>VLOOKUP($A62,'Data Vlaue (Cr)'!$C:$FB,4)</f>
        <v>5462</v>
      </c>
      <c r="E62" s="75">
        <f>VLOOKUP($A62,'Data Vlaue (Cr)'!$C:$FB,5)</f>
        <v>5413.5</v>
      </c>
      <c r="F62" s="75">
        <f t="shared" si="0"/>
        <v>43.5</v>
      </c>
      <c r="G62" s="75">
        <f t="shared" si="1"/>
        <v>0.88795313072134752</v>
      </c>
      <c r="H62" s="75">
        <f>VLOOKUP($A62,'Data Vlaue (Cr)'!$C:$FB,99)</f>
        <v>2184</v>
      </c>
      <c r="I62" s="75">
        <f>VLOOKUP($A62,'Data Vlaue (Cr)'!$C:$FB,100)</f>
        <v>2822</v>
      </c>
      <c r="J62" s="75">
        <f t="shared" si="2"/>
        <v>-638</v>
      </c>
      <c r="K62" s="75">
        <f t="shared" si="6"/>
        <v>-29.212454212454215</v>
      </c>
      <c r="L62" s="75">
        <f>VLOOKUP($A62,'Data Vlaue (Cr)'!$C:$FB,67)</f>
        <v>1946</v>
      </c>
      <c r="M62" s="75">
        <f>VLOOKUP($A62,'Data Vlaue (Cr)'!$C:$FB,68)</f>
        <v>2473</v>
      </c>
      <c r="N62" s="75">
        <f t="shared" si="7"/>
        <v>-527</v>
      </c>
      <c r="O62" s="75">
        <f t="shared" si="8"/>
        <v>-27.081192189105856</v>
      </c>
      <c r="P62" s="75">
        <f>VLOOKUP($A62,'Data Vlaue (Cr)'!$C:$FB,119)</f>
        <v>0.85</v>
      </c>
      <c r="Q62" s="75">
        <f>VLOOKUP($A62,'Data Vlaue (Cr)'!$C:$FB,122)*100</f>
        <v>8.9700000000000006</v>
      </c>
      <c r="R62" s="75">
        <f>VLOOKUP($A62,'Data Vlaue (Cr)'!$C:$FB,125)</f>
        <v>0.66</v>
      </c>
      <c r="S62" s="75">
        <f>VLOOKUP($A62,'Data Vlaue (Cr)'!$C:$FB,128)*100</f>
        <v>13.79</v>
      </c>
    </row>
    <row r="63" spans="1:19" x14ac:dyDescent="0.25">
      <c r="A63" s="96" t="str">
        <f>'Data Vlaue (Cr)'!C54</f>
        <v>DABUR</v>
      </c>
      <c r="B63" s="75">
        <f>VLOOKUP($A63,'Data Vlaue (Cr)'!$C:$FB,2)</f>
        <v>1250</v>
      </c>
      <c r="C63" s="75">
        <f>VLOOKUP($A63,'Data Vlaue (Cr)'!$C:$FB,8)</f>
        <v>447.6</v>
      </c>
      <c r="D63" s="75">
        <f>VLOOKUP($A63,'Data Vlaue (Cr)'!$C:$FB,4)</f>
        <v>450.55</v>
      </c>
      <c r="E63" s="75">
        <f>VLOOKUP($A63,'Data Vlaue (Cr)'!$C:$FB,5)</f>
        <v>450</v>
      </c>
      <c r="F63" s="75">
        <f t="shared" si="0"/>
        <v>2.9499999999999886</v>
      </c>
      <c r="G63" s="75">
        <f t="shared" si="1"/>
        <v>0.12207302186217099</v>
      </c>
      <c r="H63" s="75">
        <f>VLOOKUP($A63,'Data Vlaue (Cr)'!$C:$FB,99)</f>
        <v>1281</v>
      </c>
      <c r="I63" s="75">
        <f>VLOOKUP($A63,'Data Vlaue (Cr)'!$C:$FB,100)</f>
        <v>1967</v>
      </c>
      <c r="J63" s="75">
        <f t="shared" si="2"/>
        <v>-686</v>
      </c>
      <c r="K63" s="75">
        <f t="shared" si="6"/>
        <v>-53.551912568306015</v>
      </c>
      <c r="L63" s="75">
        <f>VLOOKUP($A63,'Data Vlaue (Cr)'!$C:$FB,67)</f>
        <v>700</v>
      </c>
      <c r="M63" s="75">
        <f>VLOOKUP($A63,'Data Vlaue (Cr)'!$C:$FB,68)</f>
        <v>1197</v>
      </c>
      <c r="N63" s="75">
        <f t="shared" si="7"/>
        <v>-497</v>
      </c>
      <c r="O63" s="75">
        <f t="shared" si="8"/>
        <v>-71</v>
      </c>
      <c r="P63" s="75">
        <f>VLOOKUP($A63,'Data Vlaue (Cr)'!$C:$FB,119)</f>
        <v>0.74</v>
      </c>
      <c r="Q63" s="75">
        <f>VLOOKUP($A63,'Data Vlaue (Cr)'!$C:$FB,122)*100</f>
        <v>8.82</v>
      </c>
      <c r="R63" s="75">
        <f>VLOOKUP($A63,'Data Vlaue (Cr)'!$C:$FB,125)</f>
        <v>0.79</v>
      </c>
      <c r="S63" s="75">
        <f>VLOOKUP($A63,'Data Vlaue (Cr)'!$C:$FB,128)*100</f>
        <v>75.56</v>
      </c>
    </row>
    <row r="64" spans="1:19" x14ac:dyDescent="0.25">
      <c r="A64" s="96" t="str">
        <f>'Data Vlaue (Cr)'!C55</f>
        <v>DALBHARAT</v>
      </c>
      <c r="B64" s="75">
        <f>VLOOKUP($A64,'Data Vlaue (Cr)'!$C:$FB,2)</f>
        <v>325</v>
      </c>
      <c r="C64" s="75">
        <f>VLOOKUP($A64,'Data Vlaue (Cr)'!$C:$FB,8)</f>
        <v>1785.6</v>
      </c>
      <c r="D64" s="75">
        <f>VLOOKUP($A64,'Data Vlaue (Cr)'!$C:$FB,4)</f>
        <v>1794.3</v>
      </c>
      <c r="E64" s="75">
        <f>VLOOKUP($A64,'Data Vlaue (Cr)'!$C:$FB,5)</f>
        <v>1832</v>
      </c>
      <c r="F64" s="75">
        <f t="shared" si="0"/>
        <v>8.7000000000000455</v>
      </c>
      <c r="G64" s="75">
        <f t="shared" si="1"/>
        <v>-2.1010979211948975</v>
      </c>
      <c r="H64" s="75">
        <f>VLOOKUP($A64,'Data Vlaue (Cr)'!$C:$FB,99)</f>
        <v>765</v>
      </c>
      <c r="I64" s="75">
        <f>VLOOKUP($A64,'Data Vlaue (Cr)'!$C:$FB,100)</f>
        <v>1244</v>
      </c>
      <c r="J64" s="75">
        <f t="shared" si="2"/>
        <v>-479</v>
      </c>
      <c r="K64" s="75">
        <f t="shared" si="6"/>
        <v>-62.614379084967318</v>
      </c>
      <c r="L64" s="75">
        <f>VLOOKUP($A64,'Data Vlaue (Cr)'!$C:$FB,67)</f>
        <v>630</v>
      </c>
      <c r="M64" s="75">
        <f>VLOOKUP($A64,'Data Vlaue (Cr)'!$C:$FB,68)</f>
        <v>1667</v>
      </c>
      <c r="N64" s="75">
        <f t="shared" si="7"/>
        <v>-1037</v>
      </c>
      <c r="O64" s="75">
        <f t="shared" si="8"/>
        <v>-164.60317460317461</v>
      </c>
      <c r="P64" s="75">
        <f>VLOOKUP($A64,'Data Vlaue (Cr)'!$C:$FB,119)</f>
        <v>1.19</v>
      </c>
      <c r="Q64" s="75">
        <f>VLOOKUP($A64,'Data Vlaue (Cr)'!$C:$FB,122)*100</f>
        <v>46.910000000000004</v>
      </c>
      <c r="R64" s="75">
        <f>VLOOKUP($A64,'Data Vlaue (Cr)'!$C:$FB,125)</f>
        <v>0.51</v>
      </c>
      <c r="S64" s="75">
        <f>VLOOKUP($A64,'Data Vlaue (Cr)'!$C:$FB,128)*100</f>
        <v>8.51</v>
      </c>
    </row>
    <row r="65" spans="1:19" x14ac:dyDescent="0.25">
      <c r="A65" s="96" t="str">
        <f>'Data Vlaue (Cr)'!C56</f>
        <v>DELHIVERY</v>
      </c>
      <c r="B65" s="75">
        <f>VLOOKUP($A65,'Data Vlaue (Cr)'!$C:$FB,2)</f>
        <v>2075</v>
      </c>
      <c r="C65" s="75">
        <f>VLOOKUP($A65,'Data Vlaue (Cr)'!$C:$FB,8)</f>
        <v>463.5</v>
      </c>
      <c r="D65" s="75">
        <f>VLOOKUP($A65,'Data Vlaue (Cr)'!$C:$FB,4)</f>
        <v>467.25</v>
      </c>
      <c r="E65" s="75">
        <f>VLOOKUP($A65,'Data Vlaue (Cr)'!$C:$FB,5)</f>
        <v>458.75</v>
      </c>
      <c r="F65" s="75">
        <f t="shared" si="0"/>
        <v>3.75</v>
      </c>
      <c r="G65" s="75">
        <f t="shared" si="1"/>
        <v>1.8191546281433921</v>
      </c>
      <c r="H65" s="75">
        <f>VLOOKUP($A65,'Data Vlaue (Cr)'!$C:$FB,99)</f>
        <v>1633</v>
      </c>
      <c r="I65" s="75">
        <f>VLOOKUP($A65,'Data Vlaue (Cr)'!$C:$FB,100)</f>
        <v>2193</v>
      </c>
      <c r="J65" s="75">
        <f t="shared" si="2"/>
        <v>-560</v>
      </c>
      <c r="K65" s="75">
        <f t="shared" si="6"/>
        <v>-34.29271279853031</v>
      </c>
      <c r="L65" s="75">
        <f>VLOOKUP($A65,'Data Vlaue (Cr)'!$C:$FB,67)</f>
        <v>1038</v>
      </c>
      <c r="M65" s="75">
        <f>VLOOKUP($A65,'Data Vlaue (Cr)'!$C:$FB,68)</f>
        <v>1678</v>
      </c>
      <c r="N65" s="75">
        <f t="shared" si="7"/>
        <v>-640</v>
      </c>
      <c r="O65" s="75">
        <f t="shared" si="8"/>
        <v>-61.657032755298644</v>
      </c>
      <c r="P65" s="75">
        <f>VLOOKUP($A65,'Data Vlaue (Cr)'!$C:$FB,119)</f>
        <v>0.49</v>
      </c>
      <c r="Q65" s="75">
        <f>VLOOKUP($A65,'Data Vlaue (Cr)'!$C:$FB,122)*100</f>
        <v>19.509999999999998</v>
      </c>
      <c r="R65" s="75">
        <f>VLOOKUP($A65,'Data Vlaue (Cr)'!$C:$FB,125)</f>
        <v>0.41</v>
      </c>
      <c r="S65" s="75">
        <f>VLOOKUP($A65,'Data Vlaue (Cr)'!$C:$FB,128)*100</f>
        <v>-8.89</v>
      </c>
    </row>
    <row r="66" spans="1:19" x14ac:dyDescent="0.25">
      <c r="A66" s="96" t="str">
        <f>'Data Vlaue (Cr)'!C57</f>
        <v>DIVISLAB</v>
      </c>
      <c r="B66" s="75">
        <f>VLOOKUP($A66,'Data Vlaue (Cr)'!$C:$FB,2)</f>
        <v>100</v>
      </c>
      <c r="C66" s="75">
        <f>VLOOKUP($A66,'Data Vlaue (Cr)'!$C:$FB,8)</f>
        <v>6753</v>
      </c>
      <c r="D66" s="75">
        <f>VLOOKUP($A66,'Data Vlaue (Cr)'!$C:$FB,4)</f>
        <v>6800.5</v>
      </c>
      <c r="E66" s="75">
        <f>VLOOKUP($A66,'Data Vlaue (Cr)'!$C:$FB,5)</f>
        <v>6815.5</v>
      </c>
      <c r="F66" s="75">
        <f t="shared" si="0"/>
        <v>47.5</v>
      </c>
      <c r="G66" s="75">
        <f t="shared" si="1"/>
        <v>-0.22057201676347329</v>
      </c>
      <c r="H66" s="75">
        <f>VLOOKUP($A66,'Data Vlaue (Cr)'!$C:$FB,99)</f>
        <v>2063</v>
      </c>
      <c r="I66" s="75">
        <f>VLOOKUP($A66,'Data Vlaue (Cr)'!$C:$FB,100)</f>
        <v>3047</v>
      </c>
      <c r="J66" s="75">
        <f t="shared" si="2"/>
        <v>-984</v>
      </c>
      <c r="K66" s="75">
        <f t="shared" si="6"/>
        <v>-47.697527872031017</v>
      </c>
      <c r="L66" s="75">
        <f>VLOOKUP($A66,'Data Vlaue (Cr)'!$C:$FB,67)</f>
        <v>2859</v>
      </c>
      <c r="M66" s="75">
        <f>VLOOKUP($A66,'Data Vlaue (Cr)'!$C:$FB,68)</f>
        <v>9516</v>
      </c>
      <c r="N66" s="75">
        <f t="shared" si="7"/>
        <v>-6657</v>
      </c>
      <c r="O66" s="75">
        <f t="shared" si="8"/>
        <v>-232.84365162644281</v>
      </c>
      <c r="P66" s="75">
        <f>VLOOKUP($A66,'Data Vlaue (Cr)'!$C:$FB,119)</f>
        <v>0.53</v>
      </c>
      <c r="Q66" s="75">
        <f>VLOOKUP($A66,'Data Vlaue (Cr)'!$C:$FB,122)*100</f>
        <v>-25.35</v>
      </c>
      <c r="R66" s="75">
        <f>VLOOKUP($A66,'Data Vlaue (Cr)'!$C:$FB,125)</f>
        <v>0.81</v>
      </c>
      <c r="S66" s="75">
        <f>VLOOKUP($A66,'Data Vlaue (Cr)'!$C:$FB,128)*100</f>
        <v>10.96</v>
      </c>
    </row>
    <row r="67" spans="1:19" x14ac:dyDescent="0.25">
      <c r="A67" s="96" t="str">
        <f>'Data Vlaue (Cr)'!C58</f>
        <v>DIXON</v>
      </c>
      <c r="B67" s="75">
        <f>VLOOKUP($A67,'Data Vlaue (Cr)'!$C:$FB,2)</f>
        <v>50</v>
      </c>
      <c r="C67" s="75">
        <f>VLOOKUP($A67,'Data Vlaue (Cr)'!$C:$FB,8)</f>
        <v>11673</v>
      </c>
      <c r="D67" s="75">
        <f>VLOOKUP($A67,'Data Vlaue (Cr)'!$C:$FB,4)</f>
        <v>11632</v>
      </c>
      <c r="E67" s="75">
        <f>VLOOKUP($A67,'Data Vlaue (Cr)'!$C:$FB,5)</f>
        <v>11826</v>
      </c>
      <c r="F67" s="75">
        <f t="shared" si="0"/>
        <v>-41</v>
      </c>
      <c r="G67" s="75">
        <f t="shared" si="1"/>
        <v>-1.6678129298486932</v>
      </c>
      <c r="H67" s="75">
        <f>VLOOKUP($A67,'Data Vlaue (Cr)'!$C:$FB,99)</f>
        <v>4767</v>
      </c>
      <c r="I67" s="75">
        <f>VLOOKUP($A67,'Data Vlaue (Cr)'!$C:$FB,100)</f>
        <v>7353</v>
      </c>
      <c r="J67" s="75">
        <f t="shared" si="2"/>
        <v>-2586</v>
      </c>
      <c r="K67" s="75">
        <f t="shared" si="6"/>
        <v>-54.247954688483325</v>
      </c>
      <c r="L67" s="75">
        <f>VLOOKUP($A67,'Data Vlaue (Cr)'!$C:$FB,67)</f>
        <v>7898</v>
      </c>
      <c r="M67" s="75">
        <f>VLOOKUP($A67,'Data Vlaue (Cr)'!$C:$FB,68)</f>
        <v>18522</v>
      </c>
      <c r="N67" s="75">
        <f t="shared" si="7"/>
        <v>-10624</v>
      </c>
      <c r="O67" s="75">
        <f t="shared" si="8"/>
        <v>-134.51506710559636</v>
      </c>
      <c r="P67" s="75">
        <f>VLOOKUP($A67,'Data Vlaue (Cr)'!$C:$FB,119)</f>
        <v>0.82</v>
      </c>
      <c r="Q67" s="75">
        <f>VLOOKUP($A67,'Data Vlaue (Cr)'!$C:$FB,122)*100</f>
        <v>0</v>
      </c>
      <c r="R67" s="75">
        <f>VLOOKUP($A67,'Data Vlaue (Cr)'!$C:$FB,125)</f>
        <v>0.72</v>
      </c>
      <c r="S67" s="75">
        <f>VLOOKUP($A67,'Data Vlaue (Cr)'!$C:$FB,128)*100</f>
        <v>50</v>
      </c>
    </row>
    <row r="68" spans="1:19" x14ac:dyDescent="0.25">
      <c r="A68" s="96" t="str">
        <f>'Data Vlaue (Cr)'!C59</f>
        <v>DLF</v>
      </c>
      <c r="B68" s="75">
        <f>VLOOKUP($A68,'Data Vlaue (Cr)'!$C:$FB,2)</f>
        <v>825</v>
      </c>
      <c r="C68" s="75">
        <f>VLOOKUP($A68,'Data Vlaue (Cr)'!$C:$FB,8)</f>
        <v>589.79999999999995</v>
      </c>
      <c r="D68" s="75">
        <f>VLOOKUP($A68,'Data Vlaue (Cr)'!$C:$FB,4)</f>
        <v>593.04999999999995</v>
      </c>
      <c r="E68" s="75">
        <f>VLOOKUP($A68,'Data Vlaue (Cr)'!$C:$FB,5)</f>
        <v>597</v>
      </c>
      <c r="F68" s="75">
        <f t="shared" si="0"/>
        <v>3.25</v>
      </c>
      <c r="G68" s="75">
        <f t="shared" si="1"/>
        <v>-0.66604839389596926</v>
      </c>
      <c r="H68" s="75">
        <f>VLOOKUP($A68,'Data Vlaue (Cr)'!$C:$FB,99)</f>
        <v>2993</v>
      </c>
      <c r="I68" s="75">
        <f>VLOOKUP($A68,'Data Vlaue (Cr)'!$C:$FB,100)</f>
        <v>3563</v>
      </c>
      <c r="J68" s="75">
        <f t="shared" si="2"/>
        <v>-570</v>
      </c>
      <c r="K68" s="75">
        <f t="shared" si="6"/>
        <v>-19.044437019712664</v>
      </c>
      <c r="L68" s="75">
        <f>VLOOKUP($A68,'Data Vlaue (Cr)'!$C:$FB,67)</f>
        <v>1802</v>
      </c>
      <c r="M68" s="75">
        <f>VLOOKUP($A68,'Data Vlaue (Cr)'!$C:$FB,68)</f>
        <v>2418</v>
      </c>
      <c r="N68" s="75">
        <f t="shared" si="7"/>
        <v>-616</v>
      </c>
      <c r="O68" s="75">
        <f t="shared" si="8"/>
        <v>-34.184239733629305</v>
      </c>
      <c r="P68" s="75">
        <f>VLOOKUP($A68,'Data Vlaue (Cr)'!$C:$FB,119)</f>
        <v>0.75</v>
      </c>
      <c r="Q68" s="75">
        <f>VLOOKUP($A68,'Data Vlaue (Cr)'!$C:$FB,122)*100</f>
        <v>0</v>
      </c>
      <c r="R68" s="75">
        <f>VLOOKUP($A68,'Data Vlaue (Cr)'!$C:$FB,125)</f>
        <v>0.55000000000000004</v>
      </c>
      <c r="S68" s="75">
        <f>VLOOKUP($A68,'Data Vlaue (Cr)'!$C:$FB,128)*100</f>
        <v>-6.78</v>
      </c>
    </row>
    <row r="69" spans="1:19" x14ac:dyDescent="0.25">
      <c r="A69" s="96" t="str">
        <f>'Data Vlaue (Cr)'!C60</f>
        <v>DMART</v>
      </c>
      <c r="B69" s="75">
        <f>VLOOKUP($A69,'Data Vlaue (Cr)'!$C:$FB,2)</f>
        <v>150</v>
      </c>
      <c r="C69" s="75">
        <f>VLOOKUP($A69,'Data Vlaue (Cr)'!$C:$FB,8)</f>
        <v>4103.6000000000004</v>
      </c>
      <c r="D69" s="75">
        <f>VLOOKUP($A69,'Data Vlaue (Cr)'!$C:$FB,4)</f>
        <v>4136.2</v>
      </c>
      <c r="E69" s="75">
        <f>VLOOKUP($A69,'Data Vlaue (Cr)'!$C:$FB,5)</f>
        <v>4114.3999999999996</v>
      </c>
      <c r="F69" s="75">
        <f t="shared" si="0"/>
        <v>32.599999999999454</v>
      </c>
      <c r="G69" s="75">
        <f t="shared" si="1"/>
        <v>0.52705381751366431</v>
      </c>
      <c r="H69" s="75">
        <f>VLOOKUP($A69,'Data Vlaue (Cr)'!$C:$FB,99)</f>
        <v>1955</v>
      </c>
      <c r="I69" s="75">
        <f>VLOOKUP($A69,'Data Vlaue (Cr)'!$C:$FB,100)</f>
        <v>2877</v>
      </c>
      <c r="J69" s="75">
        <f t="shared" si="2"/>
        <v>-922</v>
      </c>
      <c r="K69" s="75">
        <f t="shared" si="6"/>
        <v>-47.161125319693092</v>
      </c>
      <c r="L69" s="75">
        <f>VLOOKUP($A69,'Data Vlaue (Cr)'!$C:$FB,67)</f>
        <v>1913</v>
      </c>
      <c r="M69" s="75">
        <f>VLOOKUP($A69,'Data Vlaue (Cr)'!$C:$FB,68)</f>
        <v>2277</v>
      </c>
      <c r="N69" s="75">
        <f t="shared" si="7"/>
        <v>-364</v>
      </c>
      <c r="O69" s="75">
        <f t="shared" si="8"/>
        <v>-19.027705175117614</v>
      </c>
      <c r="P69" s="75">
        <f>VLOOKUP($A69,'Data Vlaue (Cr)'!$C:$FB,119)</f>
        <v>0.79</v>
      </c>
      <c r="Q69" s="75">
        <f>VLOOKUP($A69,'Data Vlaue (Cr)'!$C:$FB,122)*100</f>
        <v>75.56</v>
      </c>
      <c r="R69" s="75">
        <f>VLOOKUP($A69,'Data Vlaue (Cr)'!$C:$FB,125)</f>
        <v>0.47</v>
      </c>
      <c r="S69" s="75">
        <f>VLOOKUP($A69,'Data Vlaue (Cr)'!$C:$FB,128)*100</f>
        <v>23.68</v>
      </c>
    </row>
    <row r="70" spans="1:19" x14ac:dyDescent="0.25">
      <c r="A70" s="96" t="str">
        <f>'Data Vlaue (Cr)'!C61</f>
        <v>DRREDDY</v>
      </c>
      <c r="B70" s="75">
        <f>VLOOKUP($A70,'Data Vlaue (Cr)'!$C:$FB,2)</f>
        <v>625</v>
      </c>
      <c r="C70" s="75">
        <f>VLOOKUP($A70,'Data Vlaue (Cr)'!$C:$FB,8)</f>
        <v>1327.9</v>
      </c>
      <c r="D70" s="75">
        <f>VLOOKUP($A70,'Data Vlaue (Cr)'!$C:$FB,4)</f>
        <v>1326.5</v>
      </c>
      <c r="E70" s="75">
        <f>VLOOKUP($A70,'Data Vlaue (Cr)'!$C:$FB,5)</f>
        <v>1334.8</v>
      </c>
      <c r="F70" s="75">
        <f t="shared" si="0"/>
        <v>-1.4000000000000909</v>
      </c>
      <c r="G70" s="75">
        <f t="shared" si="1"/>
        <v>-0.62570674707877527</v>
      </c>
      <c r="H70" s="75">
        <f>VLOOKUP($A70,'Data Vlaue (Cr)'!$C:$FB,99)</f>
        <v>2904</v>
      </c>
      <c r="I70" s="75">
        <f>VLOOKUP($A70,'Data Vlaue (Cr)'!$C:$FB,100)</f>
        <v>4939</v>
      </c>
      <c r="J70" s="75">
        <f t="shared" si="2"/>
        <v>-2035</v>
      </c>
      <c r="K70" s="75">
        <f t="shared" si="6"/>
        <v>-70.075757575757578</v>
      </c>
      <c r="L70" s="75">
        <f>VLOOKUP($A70,'Data Vlaue (Cr)'!$C:$FB,67)</f>
        <v>2876</v>
      </c>
      <c r="M70" s="75">
        <f>VLOOKUP($A70,'Data Vlaue (Cr)'!$C:$FB,68)</f>
        <v>4870</v>
      </c>
      <c r="N70" s="75">
        <f t="shared" si="7"/>
        <v>-1994</v>
      </c>
      <c r="O70" s="75">
        <f t="shared" si="8"/>
        <v>-69.332406119610567</v>
      </c>
      <c r="P70" s="75">
        <f>VLOOKUP($A70,'Data Vlaue (Cr)'!$C:$FB,119)</f>
        <v>0.69</v>
      </c>
      <c r="Q70" s="75">
        <f>VLOOKUP($A70,'Data Vlaue (Cr)'!$C:$FB,122)*100</f>
        <v>15</v>
      </c>
      <c r="R70" s="75">
        <f>VLOOKUP($A70,'Data Vlaue (Cr)'!$C:$FB,125)</f>
        <v>0.61</v>
      </c>
      <c r="S70" s="75">
        <f>VLOOKUP($A70,'Data Vlaue (Cr)'!$C:$FB,128)*100</f>
        <v>7.02</v>
      </c>
    </row>
    <row r="71" spans="1:19" x14ac:dyDescent="0.25">
      <c r="A71" s="96" t="str">
        <f>'Data Vlaue (Cr)'!C62</f>
        <v>EICHERMOT</v>
      </c>
      <c r="B71" s="75">
        <f>VLOOKUP($A71,'Data Vlaue (Cr)'!$C:$FB,2)</f>
        <v>100</v>
      </c>
      <c r="C71" s="75">
        <f>VLOOKUP($A71,'Data Vlaue (Cr)'!$C:$FB,8)</f>
        <v>7376</v>
      </c>
      <c r="D71" s="75">
        <f>VLOOKUP($A71,'Data Vlaue (Cr)'!$C:$FB,4)</f>
        <v>7412</v>
      </c>
      <c r="E71" s="75">
        <f>VLOOKUP($A71,'Data Vlaue (Cr)'!$C:$FB,5)</f>
        <v>7472</v>
      </c>
      <c r="F71" s="75">
        <f t="shared" si="0"/>
        <v>36</v>
      </c>
      <c r="G71" s="75">
        <f t="shared" si="1"/>
        <v>-0.80949811117107395</v>
      </c>
      <c r="H71" s="75">
        <f>VLOOKUP($A71,'Data Vlaue (Cr)'!$C:$FB,99)</f>
        <v>3672</v>
      </c>
      <c r="I71" s="75">
        <f>VLOOKUP($A71,'Data Vlaue (Cr)'!$C:$FB,100)</f>
        <v>5413</v>
      </c>
      <c r="J71" s="75">
        <f t="shared" si="2"/>
        <v>-1741</v>
      </c>
      <c r="K71" s="75">
        <f t="shared" si="6"/>
        <v>-47.412854030501087</v>
      </c>
      <c r="L71" s="75">
        <f>VLOOKUP($A71,'Data Vlaue (Cr)'!$C:$FB,67)</f>
        <v>5619</v>
      </c>
      <c r="M71" s="75">
        <f>VLOOKUP($A71,'Data Vlaue (Cr)'!$C:$FB,68)</f>
        <v>22499</v>
      </c>
      <c r="N71" s="75">
        <f t="shared" si="7"/>
        <v>-16880</v>
      </c>
      <c r="O71" s="75">
        <f t="shared" si="8"/>
        <v>-300.40932550275852</v>
      </c>
      <c r="P71" s="75">
        <f>VLOOKUP($A71,'Data Vlaue (Cr)'!$C:$FB,119)</f>
        <v>0.72</v>
      </c>
      <c r="Q71" s="75">
        <f>VLOOKUP($A71,'Data Vlaue (Cr)'!$C:$FB,122)*100</f>
        <v>-7.6899999999999995</v>
      </c>
      <c r="R71" s="75">
        <f>VLOOKUP($A71,'Data Vlaue (Cr)'!$C:$FB,125)</f>
        <v>0.42</v>
      </c>
      <c r="S71" s="75">
        <f>VLOOKUP($A71,'Data Vlaue (Cr)'!$C:$FB,128)*100</f>
        <v>2.44</v>
      </c>
    </row>
    <row r="72" spans="1:19" x14ac:dyDescent="0.25">
      <c r="A72" s="96" t="str">
        <f>'Data Vlaue (Cr)'!C63</f>
        <v>ETERNAL</v>
      </c>
      <c r="B72" s="75">
        <f>VLOOKUP($A72,'Data Vlaue (Cr)'!$C:$FB,2)</f>
        <v>2425</v>
      </c>
      <c r="C72" s="75">
        <f>VLOOKUP($A72,'Data Vlaue (Cr)'!$C:$FB,8)</f>
        <v>250.17</v>
      </c>
      <c r="D72" s="75">
        <f>VLOOKUP($A72,'Data Vlaue (Cr)'!$C:$FB,4)</f>
        <v>252.4</v>
      </c>
      <c r="E72" s="75">
        <f>VLOOKUP($A72,'Data Vlaue (Cr)'!$C:$FB,5)</f>
        <v>249.62</v>
      </c>
      <c r="F72" s="75">
        <f t="shared" si="0"/>
        <v>2.2300000000000182</v>
      </c>
      <c r="G72" s="75">
        <f t="shared" si="1"/>
        <v>1.1014263074484949</v>
      </c>
      <c r="H72" s="75">
        <f>VLOOKUP($A72,'Data Vlaue (Cr)'!$C:$FB,99)</f>
        <v>6130</v>
      </c>
      <c r="I72" s="75">
        <f>VLOOKUP($A72,'Data Vlaue (Cr)'!$C:$FB,100)</f>
        <v>7956</v>
      </c>
      <c r="J72" s="75">
        <f t="shared" si="2"/>
        <v>-1826</v>
      </c>
      <c r="K72" s="75">
        <f t="shared" si="6"/>
        <v>-29.787928221859705</v>
      </c>
      <c r="L72" s="75">
        <f>VLOOKUP($A72,'Data Vlaue (Cr)'!$C:$FB,67)</f>
        <v>5744</v>
      </c>
      <c r="M72" s="75">
        <f>VLOOKUP($A72,'Data Vlaue (Cr)'!$C:$FB,68)</f>
        <v>6914</v>
      </c>
      <c r="N72" s="75">
        <f t="shared" si="7"/>
        <v>-1170</v>
      </c>
      <c r="O72" s="75">
        <f t="shared" si="8"/>
        <v>-20.369080779944291</v>
      </c>
      <c r="P72" s="75">
        <f>VLOOKUP($A72,'Data Vlaue (Cr)'!$C:$FB,119)</f>
        <v>1.07</v>
      </c>
      <c r="Q72" s="75">
        <f>VLOOKUP($A72,'Data Vlaue (Cr)'!$C:$FB,122)*100</f>
        <v>87.72</v>
      </c>
      <c r="R72" s="75">
        <f>VLOOKUP($A72,'Data Vlaue (Cr)'!$C:$FB,125)</f>
        <v>0.55000000000000004</v>
      </c>
      <c r="S72" s="75">
        <f>VLOOKUP($A72,'Data Vlaue (Cr)'!$C:$FB,128)*100</f>
        <v>-14.06</v>
      </c>
    </row>
    <row r="73" spans="1:19" x14ac:dyDescent="0.25">
      <c r="A73" s="96" t="str">
        <f>'Data Vlaue (Cr)'!C64</f>
        <v>EXIDEIND</v>
      </c>
      <c r="B73" s="75">
        <f>VLOOKUP($A73,'Data Vlaue (Cr)'!$C:$FB,2)</f>
        <v>1800</v>
      </c>
      <c r="C73" s="75">
        <f>VLOOKUP($A73,'Data Vlaue (Cr)'!$C:$FB,8)</f>
        <v>366.25</v>
      </c>
      <c r="D73" s="75">
        <f>VLOOKUP($A73,'Data Vlaue (Cr)'!$C:$FB,4)</f>
        <v>368.15</v>
      </c>
      <c r="E73" s="75">
        <f>VLOOKUP($A73,'Data Vlaue (Cr)'!$C:$FB,5)</f>
        <v>349.5</v>
      </c>
      <c r="F73" s="75">
        <f t="shared" si="0"/>
        <v>1.8999999999999773</v>
      </c>
      <c r="G73" s="75">
        <f t="shared" si="1"/>
        <v>5.0658698899904877</v>
      </c>
      <c r="H73" s="75">
        <f>VLOOKUP($A73,'Data Vlaue (Cr)'!$C:$FB,99)</f>
        <v>1286</v>
      </c>
      <c r="I73" s="75">
        <f>VLOOKUP($A73,'Data Vlaue (Cr)'!$C:$FB,100)</f>
        <v>1832</v>
      </c>
      <c r="J73" s="75">
        <f t="shared" si="2"/>
        <v>-546</v>
      </c>
      <c r="K73" s="75">
        <f t="shared" si="6"/>
        <v>-42.457231726283048</v>
      </c>
      <c r="L73" s="75">
        <f>VLOOKUP($A73,'Data Vlaue (Cr)'!$C:$FB,67)</f>
        <v>2368</v>
      </c>
      <c r="M73" s="75">
        <f>VLOOKUP($A73,'Data Vlaue (Cr)'!$C:$FB,68)</f>
        <v>1090</v>
      </c>
      <c r="N73" s="75">
        <f t="shared" si="7"/>
        <v>1278</v>
      </c>
      <c r="O73" s="75">
        <f t="shared" si="8"/>
        <v>53.969594594594597</v>
      </c>
      <c r="P73" s="75">
        <f>VLOOKUP($A73,'Data Vlaue (Cr)'!$C:$FB,119)</f>
        <v>0.68</v>
      </c>
      <c r="Q73" s="75">
        <f>VLOOKUP($A73,'Data Vlaue (Cr)'!$C:$FB,122)*100</f>
        <v>13.33</v>
      </c>
      <c r="R73" s="75">
        <f>VLOOKUP($A73,'Data Vlaue (Cr)'!$C:$FB,125)</f>
        <v>0.28999999999999998</v>
      </c>
      <c r="S73" s="75">
        <f>VLOOKUP($A73,'Data Vlaue (Cr)'!$C:$FB,128)*100</f>
        <v>-42</v>
      </c>
    </row>
    <row r="74" spans="1:19" x14ac:dyDescent="0.25">
      <c r="A74" s="96" t="str">
        <f>'Data Vlaue (Cr)'!C65</f>
        <v>FEDERALBNK</v>
      </c>
      <c r="B74" s="75">
        <f>VLOOKUP($A74,'Data Vlaue (Cr)'!$C:$FB,2)</f>
        <v>2500</v>
      </c>
      <c r="C74" s="75">
        <f>VLOOKUP($A74,'Data Vlaue (Cr)'!$C:$FB,8)</f>
        <v>290.2</v>
      </c>
      <c r="D74" s="75">
        <f>VLOOKUP($A74,'Data Vlaue (Cr)'!$C:$FB,4)</f>
        <v>291.55</v>
      </c>
      <c r="E74" s="75">
        <f>VLOOKUP($A74,'Data Vlaue (Cr)'!$C:$FB,5)</f>
        <v>291</v>
      </c>
      <c r="F74" s="75">
        <f t="shared" si="0"/>
        <v>1.3500000000000227</v>
      </c>
      <c r="G74" s="75">
        <f t="shared" si="1"/>
        <v>0.18864688732636301</v>
      </c>
      <c r="H74" s="75">
        <f>VLOOKUP($A74,'Data Vlaue (Cr)'!$C:$FB,99)</f>
        <v>2865</v>
      </c>
      <c r="I74" s="75">
        <f>VLOOKUP($A74,'Data Vlaue (Cr)'!$C:$FB,100)</f>
        <v>3939</v>
      </c>
      <c r="J74" s="75">
        <f t="shared" si="2"/>
        <v>-1074</v>
      </c>
      <c r="K74" s="75">
        <f t="shared" si="6"/>
        <v>-37.486910994764401</v>
      </c>
      <c r="L74" s="75">
        <f>VLOOKUP($A74,'Data Vlaue (Cr)'!$C:$FB,67)</f>
        <v>1806</v>
      </c>
      <c r="M74" s="75">
        <f>VLOOKUP($A74,'Data Vlaue (Cr)'!$C:$FB,68)</f>
        <v>2724</v>
      </c>
      <c r="N74" s="75">
        <f t="shared" si="7"/>
        <v>-918</v>
      </c>
      <c r="O74" s="75">
        <f t="shared" si="8"/>
        <v>-50.830564784053159</v>
      </c>
      <c r="P74" s="75">
        <f>VLOOKUP($A74,'Data Vlaue (Cr)'!$C:$FB,119)</f>
        <v>0.76</v>
      </c>
      <c r="Q74" s="75">
        <f>VLOOKUP($A74,'Data Vlaue (Cr)'!$C:$FB,122)*100</f>
        <v>26.669999999999998</v>
      </c>
      <c r="R74" s="75">
        <f>VLOOKUP($A74,'Data Vlaue (Cr)'!$C:$FB,125)</f>
        <v>0.49</v>
      </c>
      <c r="S74" s="75">
        <f>VLOOKUP($A74,'Data Vlaue (Cr)'!$C:$FB,128)*100</f>
        <v>4.26</v>
      </c>
    </row>
    <row r="75" spans="1:19" x14ac:dyDescent="0.25">
      <c r="A75" s="96" t="str">
        <f>'Data Vlaue (Cr)'!C66</f>
        <v>FINNIFTY</v>
      </c>
      <c r="B75" s="75">
        <f>VLOOKUP($A75,'Data Vlaue (Cr)'!$C:$FB,2)</f>
        <v>60</v>
      </c>
      <c r="C75" s="75">
        <f>VLOOKUP($A75,'Data Vlaue (Cr)'!$C:$FB,8)</f>
        <v>25932.25</v>
      </c>
      <c r="D75" s="75">
        <f>VLOOKUP($A75,'Data Vlaue (Cr)'!$C:$FB,4)</f>
        <v>26061.8</v>
      </c>
      <c r="E75" s="75">
        <f>VLOOKUP($A75,'Data Vlaue (Cr)'!$C:$FB,5)</f>
        <v>26277.4</v>
      </c>
      <c r="F75" s="75">
        <f t="shared" ref="F75:F138" si="9">D75-C75</f>
        <v>129.54999999999927</v>
      </c>
      <c r="G75" s="75">
        <f t="shared" ref="G75:G138" si="10">(D75-E75)/D75*100</f>
        <v>-0.82726442532749922</v>
      </c>
      <c r="H75" s="75">
        <f>VLOOKUP($A75,'Data Vlaue (Cr)'!$C:$FB,99)</f>
        <v>83</v>
      </c>
      <c r="I75" s="75">
        <f>VLOOKUP($A75,'Data Vlaue (Cr)'!$C:$FB,100)</f>
        <v>5365</v>
      </c>
      <c r="J75" s="75">
        <f t="shared" ref="J75:J138" si="11">H75-I75</f>
        <v>-5282</v>
      </c>
      <c r="K75" s="75">
        <f t="shared" ref="K75:K106" si="12">J75/H75*100</f>
        <v>-6363.8554216867469</v>
      </c>
      <c r="L75" s="75">
        <f>VLOOKUP($A75,'Data Vlaue (Cr)'!$C:$FB,67)</f>
        <v>435722</v>
      </c>
      <c r="M75" s="75">
        <f>VLOOKUP($A75,'Data Vlaue (Cr)'!$C:$FB,68)</f>
        <v>49823</v>
      </c>
      <c r="N75" s="75">
        <f t="shared" ref="N75" si="13">L75-M75</f>
        <v>385899</v>
      </c>
      <c r="O75" s="75">
        <f t="shared" ref="O75" si="14">N75/L75*100</f>
        <v>88.56541556313428</v>
      </c>
      <c r="P75" s="75">
        <f>VLOOKUP($A75,'Data Vlaue (Cr)'!$C:$FB,119)</f>
        <v>0.78</v>
      </c>
      <c r="Q75" s="75">
        <f>VLOOKUP($A75,'Data Vlaue (Cr)'!$C:$FB,122)*100</f>
        <v>-17.89</v>
      </c>
      <c r="R75" s="75">
        <f>VLOOKUP($A75,'Data Vlaue (Cr)'!$C:$FB,125)</f>
        <v>1.1299999999999999</v>
      </c>
      <c r="S75" s="75">
        <f>VLOOKUP($A75,'Data Vlaue (Cr)'!$C:$FB,128)*100</f>
        <v>15.310000000000002</v>
      </c>
    </row>
    <row r="76" spans="1:19" x14ac:dyDescent="0.25">
      <c r="A76" s="96" t="str">
        <f>'Data Vlaue (Cr)'!C67</f>
        <v>FORCEMOT</v>
      </c>
      <c r="B76" s="75">
        <f>VLOOKUP($A76,'Data Vlaue (Cr)'!$C:$FB,2)</f>
        <v>25</v>
      </c>
      <c r="C76" s="75">
        <f>VLOOKUP($A76,'Data Vlaue (Cr)'!$C:$FB,8)</f>
        <v>19833</v>
      </c>
      <c r="D76" s="75">
        <f>VLOOKUP($A76,'Data Vlaue (Cr)'!$C:$FB,4)</f>
        <v>19900</v>
      </c>
      <c r="E76" s="75">
        <f>VLOOKUP($A76,'Data Vlaue (Cr)'!$C:$FB,5)</f>
        <v>20089</v>
      </c>
      <c r="F76" s="75">
        <f t="shared" si="9"/>
        <v>67</v>
      </c>
      <c r="G76" s="75">
        <f t="shared" si="10"/>
        <v>-0.94974874371859308</v>
      </c>
      <c r="H76" s="75">
        <f>VLOOKUP($A76,'Data Vlaue (Cr)'!$C:$FB,99)</f>
        <v>526</v>
      </c>
      <c r="I76" s="75">
        <f>VLOOKUP($A76,'Data Vlaue (Cr)'!$C:$FB,100)</f>
        <v>1026</v>
      </c>
      <c r="J76" s="75">
        <f t="shared" si="11"/>
        <v>-500</v>
      </c>
      <c r="K76" s="75">
        <f t="shared" si="12"/>
        <v>-95.057034220532316</v>
      </c>
      <c r="L76" s="75">
        <f>VLOOKUP($A76,'Data Vlaue (Cr)'!$C:$FB,67)</f>
        <v>1262</v>
      </c>
      <c r="M76" s="75">
        <f>VLOOKUP($A76,'Data Vlaue (Cr)'!$C:$FB,68)</f>
        <v>5666</v>
      </c>
      <c r="N76" s="75">
        <f t="shared" ref="N76:N139" si="15">L76-M76</f>
        <v>-4404</v>
      </c>
      <c r="O76" s="75">
        <f t="shared" ref="O76:O139" si="16">N76/L76*100</f>
        <v>-348.9698890649762</v>
      </c>
      <c r="P76" s="75">
        <f>VLOOKUP($A76,'Data Vlaue (Cr)'!$C:$FB,119)</f>
        <v>0.27</v>
      </c>
      <c r="Q76" s="75">
        <f>VLOOKUP($A76,'Data Vlaue (Cr)'!$C:$FB,122)*100</f>
        <v>-15.620000000000001</v>
      </c>
      <c r="R76" s="75">
        <f>VLOOKUP($A76,'Data Vlaue (Cr)'!$C:$FB,125)</f>
        <v>0.22</v>
      </c>
      <c r="S76" s="75">
        <f>VLOOKUP($A76,'Data Vlaue (Cr)'!$C:$FB,128)*100</f>
        <v>-24.14</v>
      </c>
    </row>
    <row r="77" spans="1:19" x14ac:dyDescent="0.25">
      <c r="A77" s="96" t="str">
        <f>'Data Vlaue (Cr)'!C68</f>
        <v>FORTIS</v>
      </c>
      <c r="B77" s="75">
        <f>VLOOKUP($A77,'Data Vlaue (Cr)'!$C:$FB,2)</f>
        <v>775</v>
      </c>
      <c r="C77" s="75">
        <f>VLOOKUP($A77,'Data Vlaue (Cr)'!$C:$FB,8)</f>
        <v>966.6</v>
      </c>
      <c r="D77" s="75">
        <f>VLOOKUP($A77,'Data Vlaue (Cr)'!$C:$FB,4)</f>
        <v>974.2</v>
      </c>
      <c r="E77" s="75">
        <f>VLOOKUP($A77,'Data Vlaue (Cr)'!$C:$FB,5)</f>
        <v>978.3</v>
      </c>
      <c r="F77" s="75">
        <f t="shared" si="9"/>
        <v>7.6000000000000227</v>
      </c>
      <c r="G77" s="75">
        <f t="shared" si="10"/>
        <v>-0.42085814001230842</v>
      </c>
      <c r="H77" s="75">
        <f>VLOOKUP($A77,'Data Vlaue (Cr)'!$C:$FB,99)</f>
        <v>1097</v>
      </c>
      <c r="I77" s="75">
        <f>VLOOKUP($A77,'Data Vlaue (Cr)'!$C:$FB,100)</f>
        <v>1357</v>
      </c>
      <c r="J77" s="75">
        <f t="shared" si="11"/>
        <v>-260</v>
      </c>
      <c r="K77" s="75">
        <f t="shared" si="12"/>
        <v>-23.701002734731087</v>
      </c>
      <c r="L77" s="75">
        <f>VLOOKUP($A77,'Data Vlaue (Cr)'!$C:$FB,67)</f>
        <v>649</v>
      </c>
      <c r="M77" s="75">
        <f>VLOOKUP($A77,'Data Vlaue (Cr)'!$C:$FB,68)</f>
        <v>2557</v>
      </c>
      <c r="N77" s="75">
        <f t="shared" si="15"/>
        <v>-1908</v>
      </c>
      <c r="O77" s="75">
        <f t="shared" si="16"/>
        <v>-293.99075500770414</v>
      </c>
      <c r="P77" s="75">
        <f>VLOOKUP($A77,'Data Vlaue (Cr)'!$C:$FB,119)</f>
        <v>0.52</v>
      </c>
      <c r="Q77" s="75">
        <f>VLOOKUP($A77,'Data Vlaue (Cr)'!$C:$FB,122)*100</f>
        <v>-18.75</v>
      </c>
      <c r="R77" s="75">
        <f>VLOOKUP($A77,'Data Vlaue (Cr)'!$C:$FB,125)</f>
        <v>0.43</v>
      </c>
      <c r="S77" s="75">
        <f>VLOOKUP($A77,'Data Vlaue (Cr)'!$C:$FB,128)*100</f>
        <v>-4.4400000000000004</v>
      </c>
    </row>
    <row r="78" spans="1:19" x14ac:dyDescent="0.25">
      <c r="A78" s="96" t="str">
        <f>'Data Vlaue (Cr)'!C69</f>
        <v>GAIL</v>
      </c>
      <c r="B78" s="75">
        <f>VLOOKUP($A78,'Data Vlaue (Cr)'!$C:$FB,2)</f>
        <v>3150</v>
      </c>
      <c r="C78" s="75">
        <f>VLOOKUP($A78,'Data Vlaue (Cr)'!$C:$FB,8)</f>
        <v>167.63</v>
      </c>
      <c r="D78" s="75">
        <f>VLOOKUP($A78,'Data Vlaue (Cr)'!$C:$FB,4)</f>
        <v>168.94</v>
      </c>
      <c r="E78" s="75">
        <f>VLOOKUP($A78,'Data Vlaue (Cr)'!$C:$FB,5)</f>
        <v>169.4</v>
      </c>
      <c r="F78" s="75">
        <f t="shared" si="9"/>
        <v>1.3100000000000023</v>
      </c>
      <c r="G78" s="75">
        <f t="shared" si="10"/>
        <v>-0.27228601870487035</v>
      </c>
      <c r="H78" s="75">
        <f>VLOOKUP($A78,'Data Vlaue (Cr)'!$C:$FB,99)</f>
        <v>1859</v>
      </c>
      <c r="I78" s="75">
        <f>VLOOKUP($A78,'Data Vlaue (Cr)'!$C:$FB,100)</f>
        <v>2573</v>
      </c>
      <c r="J78" s="75">
        <f t="shared" si="11"/>
        <v>-714</v>
      </c>
      <c r="K78" s="75">
        <f t="shared" si="12"/>
        <v>-38.407746100053792</v>
      </c>
      <c r="L78" s="75">
        <f>VLOOKUP($A78,'Data Vlaue (Cr)'!$C:$FB,67)</f>
        <v>1556</v>
      </c>
      <c r="M78" s="75">
        <f>VLOOKUP($A78,'Data Vlaue (Cr)'!$C:$FB,68)</f>
        <v>6235</v>
      </c>
      <c r="N78" s="75">
        <f t="shared" si="15"/>
        <v>-4679</v>
      </c>
      <c r="O78" s="75">
        <f t="shared" si="16"/>
        <v>-300.70694087403598</v>
      </c>
      <c r="P78" s="75">
        <f>VLOOKUP($A78,'Data Vlaue (Cr)'!$C:$FB,119)</f>
        <v>0.87</v>
      </c>
      <c r="Q78" s="75">
        <f>VLOOKUP($A78,'Data Vlaue (Cr)'!$C:$FB,122)*100</f>
        <v>-10.31</v>
      </c>
      <c r="R78" s="75">
        <f>VLOOKUP($A78,'Data Vlaue (Cr)'!$C:$FB,125)</f>
        <v>0.72</v>
      </c>
      <c r="S78" s="75">
        <f>VLOOKUP($A78,'Data Vlaue (Cr)'!$C:$FB,128)*100</f>
        <v>63.639999999999993</v>
      </c>
    </row>
    <row r="79" spans="1:19" x14ac:dyDescent="0.25">
      <c r="A79" s="96" t="str">
        <f>'Data Vlaue (Cr)'!C70</f>
        <v>GLENMARK</v>
      </c>
      <c r="B79" s="75">
        <f>VLOOKUP($A79,'Data Vlaue (Cr)'!$C:$FB,2)</f>
        <v>375</v>
      </c>
      <c r="C79" s="75">
        <f>VLOOKUP($A79,'Data Vlaue (Cr)'!$C:$FB,8)</f>
        <v>2351.4</v>
      </c>
      <c r="D79" s="75">
        <f>VLOOKUP($A79,'Data Vlaue (Cr)'!$C:$FB,4)</f>
        <v>2372.1999999999998</v>
      </c>
      <c r="E79" s="75">
        <f>VLOOKUP($A79,'Data Vlaue (Cr)'!$C:$FB,5)</f>
        <v>2355.9</v>
      </c>
      <c r="F79" s="75">
        <f t="shared" si="9"/>
        <v>20.799999999999727</v>
      </c>
      <c r="G79" s="75">
        <f t="shared" si="10"/>
        <v>0.68712587471544262</v>
      </c>
      <c r="H79" s="75">
        <f>VLOOKUP($A79,'Data Vlaue (Cr)'!$C:$FB,99)</f>
        <v>3312</v>
      </c>
      <c r="I79" s="75">
        <f>VLOOKUP($A79,'Data Vlaue (Cr)'!$C:$FB,100)</f>
        <v>3892</v>
      </c>
      <c r="J79" s="75">
        <f t="shared" si="11"/>
        <v>-580</v>
      </c>
      <c r="K79" s="75">
        <f t="shared" si="12"/>
        <v>-17.512077294685991</v>
      </c>
      <c r="L79" s="75">
        <f>VLOOKUP($A79,'Data Vlaue (Cr)'!$C:$FB,67)</f>
        <v>2417</v>
      </c>
      <c r="M79" s="75">
        <f>VLOOKUP($A79,'Data Vlaue (Cr)'!$C:$FB,68)</f>
        <v>6835</v>
      </c>
      <c r="N79" s="75">
        <f t="shared" si="15"/>
        <v>-4418</v>
      </c>
      <c r="O79" s="75">
        <f t="shared" si="16"/>
        <v>-182.78858088539511</v>
      </c>
      <c r="P79" s="75">
        <f>VLOOKUP($A79,'Data Vlaue (Cr)'!$C:$FB,119)</f>
        <v>0.71</v>
      </c>
      <c r="Q79" s="75">
        <f>VLOOKUP($A79,'Data Vlaue (Cr)'!$C:$FB,122)*100</f>
        <v>20.34</v>
      </c>
      <c r="R79" s="75">
        <f>VLOOKUP($A79,'Data Vlaue (Cr)'!$C:$FB,125)</f>
        <v>0.68</v>
      </c>
      <c r="S79" s="75">
        <f>VLOOKUP($A79,'Data Vlaue (Cr)'!$C:$FB,128)*100</f>
        <v>41.67</v>
      </c>
    </row>
    <row r="80" spans="1:19" x14ac:dyDescent="0.25">
      <c r="A80" s="96" t="str">
        <f>'Data Vlaue (Cr)'!C71</f>
        <v>GMRAIRPORT</v>
      </c>
      <c r="B80" s="75">
        <f>VLOOKUP($A80,'Data Vlaue (Cr)'!$C:$FB,2)</f>
        <v>6975</v>
      </c>
      <c r="C80" s="75">
        <f>VLOOKUP($A80,'Data Vlaue (Cr)'!$C:$FB,8)</f>
        <v>96.23</v>
      </c>
      <c r="D80" s="75">
        <f>VLOOKUP($A80,'Data Vlaue (Cr)'!$C:$FB,4)</f>
        <v>96.88</v>
      </c>
      <c r="E80" s="75">
        <f>VLOOKUP($A80,'Data Vlaue (Cr)'!$C:$FB,5)</f>
        <v>97.6</v>
      </c>
      <c r="F80" s="75">
        <f t="shared" si="9"/>
        <v>0.64999999999999147</v>
      </c>
      <c r="G80" s="75">
        <f t="shared" si="10"/>
        <v>-0.74318744838975936</v>
      </c>
      <c r="H80" s="75">
        <f>VLOOKUP($A80,'Data Vlaue (Cr)'!$C:$FB,99)</f>
        <v>1527</v>
      </c>
      <c r="I80" s="75">
        <f>VLOOKUP($A80,'Data Vlaue (Cr)'!$C:$FB,100)</f>
        <v>2084</v>
      </c>
      <c r="J80" s="75">
        <f t="shared" si="11"/>
        <v>-557</v>
      </c>
      <c r="K80" s="75">
        <f t="shared" si="12"/>
        <v>-36.47675180091683</v>
      </c>
      <c r="L80" s="75">
        <f>VLOOKUP($A80,'Data Vlaue (Cr)'!$C:$FB,67)</f>
        <v>1055</v>
      </c>
      <c r="M80" s="75">
        <f>VLOOKUP($A80,'Data Vlaue (Cr)'!$C:$FB,68)</f>
        <v>1082</v>
      </c>
      <c r="N80" s="75">
        <f t="shared" si="15"/>
        <v>-27</v>
      </c>
      <c r="O80" s="75">
        <f t="shared" si="16"/>
        <v>-2.5592417061611377</v>
      </c>
      <c r="P80" s="75">
        <f>VLOOKUP($A80,'Data Vlaue (Cr)'!$C:$FB,119)</f>
        <v>0.68</v>
      </c>
      <c r="Q80" s="75">
        <f>VLOOKUP($A80,'Data Vlaue (Cr)'!$C:$FB,122)*100</f>
        <v>3.0300000000000002</v>
      </c>
      <c r="R80" s="75">
        <f>VLOOKUP($A80,'Data Vlaue (Cr)'!$C:$FB,125)</f>
        <v>0.35</v>
      </c>
      <c r="S80" s="75">
        <f>VLOOKUP($A80,'Data Vlaue (Cr)'!$C:$FB,128)*100</f>
        <v>-25.53</v>
      </c>
    </row>
    <row r="81" spans="1:19" x14ac:dyDescent="0.25">
      <c r="A81" s="96" t="str">
        <f>'Data Vlaue (Cr)'!C72</f>
        <v>GODFRYPHLP</v>
      </c>
      <c r="B81" s="75">
        <f>VLOOKUP($A81,'Data Vlaue (Cr)'!$C:$FB,2)</f>
        <v>275</v>
      </c>
      <c r="C81" s="75">
        <f>VLOOKUP($A81,'Data Vlaue (Cr)'!$C:$FB,8)</f>
        <v>2298.4</v>
      </c>
      <c r="D81" s="75">
        <f>VLOOKUP($A81,'Data Vlaue (Cr)'!$C:$FB,4)</f>
        <v>2310.9</v>
      </c>
      <c r="E81" s="75">
        <f>VLOOKUP($A81,'Data Vlaue (Cr)'!$C:$FB,5)</f>
        <v>2293.3000000000002</v>
      </c>
      <c r="F81" s="75">
        <f t="shared" si="9"/>
        <v>12.5</v>
      </c>
      <c r="G81" s="75">
        <f t="shared" si="10"/>
        <v>0.76160803150287371</v>
      </c>
      <c r="H81" s="75">
        <f>VLOOKUP($A81,'Data Vlaue (Cr)'!$C:$FB,99)</f>
        <v>763</v>
      </c>
      <c r="I81" s="75">
        <f>VLOOKUP($A81,'Data Vlaue (Cr)'!$C:$FB,100)</f>
        <v>1129</v>
      </c>
      <c r="J81" s="75">
        <f t="shared" si="11"/>
        <v>-366</v>
      </c>
      <c r="K81" s="75">
        <f t="shared" si="12"/>
        <v>-47.968545216251641</v>
      </c>
      <c r="L81" s="75">
        <f>VLOOKUP($A81,'Data Vlaue (Cr)'!$C:$FB,67)</f>
        <v>1379</v>
      </c>
      <c r="M81" s="75">
        <f>VLOOKUP($A81,'Data Vlaue (Cr)'!$C:$FB,68)</f>
        <v>2043</v>
      </c>
      <c r="N81" s="75">
        <f t="shared" si="15"/>
        <v>-664</v>
      </c>
      <c r="O81" s="75">
        <f t="shared" si="16"/>
        <v>-48.150833937635966</v>
      </c>
      <c r="P81" s="75">
        <f>VLOOKUP($A81,'Data Vlaue (Cr)'!$C:$FB,119)</f>
        <v>0.34</v>
      </c>
      <c r="Q81" s="75">
        <f>VLOOKUP($A81,'Data Vlaue (Cr)'!$C:$FB,122)*100</f>
        <v>-32</v>
      </c>
      <c r="R81" s="75">
        <f>VLOOKUP($A81,'Data Vlaue (Cr)'!$C:$FB,125)</f>
        <v>0.54</v>
      </c>
      <c r="S81" s="75">
        <f>VLOOKUP($A81,'Data Vlaue (Cr)'!$C:$FB,128)*100</f>
        <v>86.21</v>
      </c>
    </row>
    <row r="82" spans="1:19" x14ac:dyDescent="0.25">
      <c r="A82" s="96" t="str">
        <f>'Data Vlaue (Cr)'!C73</f>
        <v>GODREJCP</v>
      </c>
      <c r="B82" s="75">
        <f>VLOOKUP($A82,'Data Vlaue (Cr)'!$C:$FB,2)</f>
        <v>500</v>
      </c>
      <c r="C82" s="75">
        <f>VLOOKUP($A82,'Data Vlaue (Cr)'!$C:$FB,8)</f>
        <v>1031.8</v>
      </c>
      <c r="D82" s="75">
        <f>VLOOKUP($A82,'Data Vlaue (Cr)'!$C:$FB,4)</f>
        <v>1037.2</v>
      </c>
      <c r="E82" s="75">
        <f>VLOOKUP($A82,'Data Vlaue (Cr)'!$C:$FB,5)</f>
        <v>1027</v>
      </c>
      <c r="F82" s="75">
        <f t="shared" si="9"/>
        <v>5.4000000000000909</v>
      </c>
      <c r="G82" s="75">
        <f t="shared" si="10"/>
        <v>0.9834168916313194</v>
      </c>
      <c r="H82" s="75">
        <f>VLOOKUP($A82,'Data Vlaue (Cr)'!$C:$FB,99)</f>
        <v>1362</v>
      </c>
      <c r="I82" s="75">
        <f>VLOOKUP($A82,'Data Vlaue (Cr)'!$C:$FB,100)</f>
        <v>1967</v>
      </c>
      <c r="J82" s="75">
        <f t="shared" si="11"/>
        <v>-605</v>
      </c>
      <c r="K82" s="75">
        <f t="shared" si="12"/>
        <v>-44.419970631424377</v>
      </c>
      <c r="L82" s="75">
        <f>VLOOKUP($A82,'Data Vlaue (Cr)'!$C:$FB,67)</f>
        <v>693</v>
      </c>
      <c r="M82" s="75">
        <f>VLOOKUP($A82,'Data Vlaue (Cr)'!$C:$FB,68)</f>
        <v>1463</v>
      </c>
      <c r="N82" s="75">
        <f t="shared" si="15"/>
        <v>-770</v>
      </c>
      <c r="O82" s="75">
        <f t="shared" si="16"/>
        <v>-111.11111111111111</v>
      </c>
      <c r="P82" s="75">
        <f>VLOOKUP($A82,'Data Vlaue (Cr)'!$C:$FB,119)</f>
        <v>0.73</v>
      </c>
      <c r="Q82" s="75">
        <f>VLOOKUP($A82,'Data Vlaue (Cr)'!$C:$FB,122)*100</f>
        <v>15.870000000000001</v>
      </c>
      <c r="R82" s="75">
        <f>VLOOKUP($A82,'Data Vlaue (Cr)'!$C:$FB,125)</f>
        <v>0.65</v>
      </c>
      <c r="S82" s="75">
        <f>VLOOKUP($A82,'Data Vlaue (Cr)'!$C:$FB,128)*100</f>
        <v>44.440000000000005</v>
      </c>
    </row>
    <row r="83" spans="1:19" x14ac:dyDescent="0.25">
      <c r="A83" s="96" t="str">
        <f>'Data Vlaue (Cr)'!C74</f>
        <v>GODREJPROP</v>
      </c>
      <c r="B83" s="75">
        <f>VLOOKUP($A83,'Data Vlaue (Cr)'!$C:$FB,2)</f>
        <v>275</v>
      </c>
      <c r="C83" s="75">
        <f>VLOOKUP($A83,'Data Vlaue (Cr)'!$C:$FB,8)</f>
        <v>1760.2</v>
      </c>
      <c r="D83" s="75">
        <f>VLOOKUP($A83,'Data Vlaue (Cr)'!$C:$FB,4)</f>
        <v>1771.7</v>
      </c>
      <c r="E83" s="75">
        <f>VLOOKUP($A83,'Data Vlaue (Cr)'!$C:$FB,5)</f>
        <v>1779.7</v>
      </c>
      <c r="F83" s="75">
        <f t="shared" si="9"/>
        <v>11.5</v>
      </c>
      <c r="G83" s="75">
        <f t="shared" si="10"/>
        <v>-0.45154371507591573</v>
      </c>
      <c r="H83" s="75">
        <f>VLOOKUP($A83,'Data Vlaue (Cr)'!$C:$FB,99)</f>
        <v>1781</v>
      </c>
      <c r="I83" s="75">
        <f>VLOOKUP($A83,'Data Vlaue (Cr)'!$C:$FB,100)</f>
        <v>2360</v>
      </c>
      <c r="J83" s="75">
        <f t="shared" si="11"/>
        <v>-579</v>
      </c>
      <c r="K83" s="75">
        <f t="shared" si="12"/>
        <v>-32.50982594048287</v>
      </c>
      <c r="L83" s="75">
        <f>VLOOKUP($A83,'Data Vlaue (Cr)'!$C:$FB,67)</f>
        <v>1331</v>
      </c>
      <c r="M83" s="75">
        <f>VLOOKUP($A83,'Data Vlaue (Cr)'!$C:$FB,68)</f>
        <v>2191</v>
      </c>
      <c r="N83" s="75">
        <f t="shared" si="15"/>
        <v>-860</v>
      </c>
      <c r="O83" s="75">
        <f t="shared" si="16"/>
        <v>-64.613072877535686</v>
      </c>
      <c r="P83" s="75">
        <f>VLOOKUP($A83,'Data Vlaue (Cr)'!$C:$FB,119)</f>
        <v>0.67</v>
      </c>
      <c r="Q83" s="75">
        <f>VLOOKUP($A83,'Data Vlaue (Cr)'!$C:$FB,122)*100</f>
        <v>-2.9000000000000004</v>
      </c>
      <c r="R83" s="75">
        <f>VLOOKUP($A83,'Data Vlaue (Cr)'!$C:$FB,125)</f>
        <v>0.65</v>
      </c>
      <c r="S83" s="75">
        <f>VLOOKUP($A83,'Data Vlaue (Cr)'!$C:$FB,128)*100</f>
        <v>-10.96</v>
      </c>
    </row>
    <row r="84" spans="1:19" x14ac:dyDescent="0.25">
      <c r="A84" s="96" t="str">
        <f>'Data Vlaue (Cr)'!C75</f>
        <v>GRASIM</v>
      </c>
      <c r="B84" s="75">
        <f>VLOOKUP($A84,'Data Vlaue (Cr)'!$C:$FB,2)</f>
        <v>250</v>
      </c>
      <c r="C84" s="75">
        <f>VLOOKUP($A84,'Data Vlaue (Cr)'!$C:$FB,8)</f>
        <v>3165</v>
      </c>
      <c r="D84" s="75">
        <f>VLOOKUP($A84,'Data Vlaue (Cr)'!$C:$FB,4)</f>
        <v>3187.3</v>
      </c>
      <c r="E84" s="75">
        <f>VLOOKUP($A84,'Data Vlaue (Cr)'!$C:$FB,5)</f>
        <v>3192.2</v>
      </c>
      <c r="F84" s="75">
        <f t="shared" si="9"/>
        <v>22.300000000000182</v>
      </c>
      <c r="G84" s="75">
        <f t="shared" si="10"/>
        <v>-0.15373513632226762</v>
      </c>
      <c r="H84" s="75">
        <f>VLOOKUP($A84,'Data Vlaue (Cr)'!$C:$FB,99)</f>
        <v>5400</v>
      </c>
      <c r="I84" s="75">
        <f>VLOOKUP($A84,'Data Vlaue (Cr)'!$C:$FB,100)</f>
        <v>6762</v>
      </c>
      <c r="J84" s="75">
        <f t="shared" si="11"/>
        <v>-1362</v>
      </c>
      <c r="K84" s="75">
        <f t="shared" si="12"/>
        <v>-25.222222222222225</v>
      </c>
      <c r="L84" s="75">
        <f>VLOOKUP($A84,'Data Vlaue (Cr)'!$C:$FB,67)</f>
        <v>2901</v>
      </c>
      <c r="M84" s="75">
        <f>VLOOKUP($A84,'Data Vlaue (Cr)'!$C:$FB,68)</f>
        <v>4665</v>
      </c>
      <c r="N84" s="75">
        <f t="shared" si="15"/>
        <v>-1764</v>
      </c>
      <c r="O84" s="75">
        <f t="shared" si="16"/>
        <v>-60.806618407445711</v>
      </c>
      <c r="P84" s="75">
        <f>VLOOKUP($A84,'Data Vlaue (Cr)'!$C:$FB,119)</f>
        <v>1.08</v>
      </c>
      <c r="Q84" s="75">
        <f>VLOOKUP($A84,'Data Vlaue (Cr)'!$C:$FB,122)*100</f>
        <v>-3.5700000000000003</v>
      </c>
      <c r="R84" s="75">
        <f>VLOOKUP($A84,'Data Vlaue (Cr)'!$C:$FB,125)</f>
        <v>0.72</v>
      </c>
      <c r="S84" s="75">
        <f>VLOOKUP($A84,'Data Vlaue (Cr)'!$C:$FB,128)*100</f>
        <v>-14.29</v>
      </c>
    </row>
    <row r="85" spans="1:19" x14ac:dyDescent="0.25">
      <c r="A85" s="96" t="str">
        <f>'Data Vlaue (Cr)'!C76</f>
        <v>HAL</v>
      </c>
      <c r="B85" s="75">
        <f>VLOOKUP($A85,'Data Vlaue (Cr)'!$C:$FB,2)</f>
        <v>150</v>
      </c>
      <c r="C85" s="75">
        <f>VLOOKUP($A85,'Data Vlaue (Cr)'!$C:$FB,8)</f>
        <v>4427.7</v>
      </c>
      <c r="D85" s="75">
        <f>VLOOKUP($A85,'Data Vlaue (Cr)'!$C:$FB,4)</f>
        <v>4460.3999999999996</v>
      </c>
      <c r="E85" s="75">
        <f>VLOOKUP($A85,'Data Vlaue (Cr)'!$C:$FB,5)</f>
        <v>4451.2</v>
      </c>
      <c r="F85" s="75">
        <f t="shared" si="9"/>
        <v>32.699999999999818</v>
      </c>
      <c r="G85" s="75">
        <f t="shared" si="10"/>
        <v>0.20625952829342256</v>
      </c>
      <c r="H85" s="75">
        <f>VLOOKUP($A85,'Data Vlaue (Cr)'!$C:$FB,99)</f>
        <v>4179</v>
      </c>
      <c r="I85" s="75">
        <f>VLOOKUP($A85,'Data Vlaue (Cr)'!$C:$FB,100)</f>
        <v>6208</v>
      </c>
      <c r="J85" s="75">
        <f t="shared" si="11"/>
        <v>-2029</v>
      </c>
      <c r="K85" s="75">
        <f t="shared" si="12"/>
        <v>-48.552285235702321</v>
      </c>
      <c r="L85" s="75">
        <f>VLOOKUP($A85,'Data Vlaue (Cr)'!$C:$FB,67)</f>
        <v>4254</v>
      </c>
      <c r="M85" s="75">
        <f>VLOOKUP($A85,'Data Vlaue (Cr)'!$C:$FB,68)</f>
        <v>7167</v>
      </c>
      <c r="N85" s="75">
        <f t="shared" si="15"/>
        <v>-2913</v>
      </c>
      <c r="O85" s="75">
        <f t="shared" si="16"/>
        <v>-68.476727785613548</v>
      </c>
      <c r="P85" s="75">
        <f>VLOOKUP($A85,'Data Vlaue (Cr)'!$C:$FB,119)</f>
        <v>0.81</v>
      </c>
      <c r="Q85" s="75">
        <f>VLOOKUP($A85,'Data Vlaue (Cr)'!$C:$FB,122)*100</f>
        <v>26.56</v>
      </c>
      <c r="R85" s="75">
        <f>VLOOKUP($A85,'Data Vlaue (Cr)'!$C:$FB,125)</f>
        <v>0.56000000000000005</v>
      </c>
      <c r="S85" s="75">
        <f>VLOOKUP($A85,'Data Vlaue (Cr)'!$C:$FB,128)*100</f>
        <v>19.149999999999999</v>
      </c>
    </row>
    <row r="86" spans="1:19" x14ac:dyDescent="0.25">
      <c r="A86" s="96" t="str">
        <f>'Data Vlaue (Cr)'!C77</f>
        <v>HAVELLS</v>
      </c>
      <c r="B86" s="75">
        <f>VLOOKUP($A86,'Data Vlaue (Cr)'!$C:$FB,2)</f>
        <v>500</v>
      </c>
      <c r="C86" s="75">
        <f>VLOOKUP($A86,'Data Vlaue (Cr)'!$C:$FB,8)</f>
        <v>1201</v>
      </c>
      <c r="D86" s="75">
        <f>VLOOKUP($A86,'Data Vlaue (Cr)'!$C:$FB,4)</f>
        <v>1211</v>
      </c>
      <c r="E86" s="75">
        <f>VLOOKUP($A86,'Data Vlaue (Cr)'!$C:$FB,5)</f>
        <v>1212.7</v>
      </c>
      <c r="F86" s="75">
        <f t="shared" si="9"/>
        <v>10</v>
      </c>
      <c r="G86" s="75">
        <f t="shared" si="10"/>
        <v>-0.14037985136251407</v>
      </c>
      <c r="H86" s="75">
        <f>VLOOKUP($A86,'Data Vlaue (Cr)'!$C:$FB,99)</f>
        <v>1426</v>
      </c>
      <c r="I86" s="75">
        <f>VLOOKUP($A86,'Data Vlaue (Cr)'!$C:$FB,100)</f>
        <v>2109</v>
      </c>
      <c r="J86" s="75">
        <f t="shared" si="11"/>
        <v>-683</v>
      </c>
      <c r="K86" s="75">
        <f t="shared" si="12"/>
        <v>-47.896213183730715</v>
      </c>
      <c r="L86" s="75">
        <f>VLOOKUP($A86,'Data Vlaue (Cr)'!$C:$FB,67)</f>
        <v>1304</v>
      </c>
      <c r="M86" s="75">
        <f>VLOOKUP($A86,'Data Vlaue (Cr)'!$C:$FB,68)</f>
        <v>990</v>
      </c>
      <c r="N86" s="75">
        <f t="shared" si="15"/>
        <v>314</v>
      </c>
      <c r="O86" s="75">
        <f t="shared" si="16"/>
        <v>24.079754601226995</v>
      </c>
      <c r="P86" s="75">
        <f>VLOOKUP($A86,'Data Vlaue (Cr)'!$C:$FB,119)</f>
        <v>0.74</v>
      </c>
      <c r="Q86" s="75">
        <f>VLOOKUP($A86,'Data Vlaue (Cr)'!$C:$FB,122)*100</f>
        <v>57.45</v>
      </c>
      <c r="R86" s="75">
        <f>VLOOKUP($A86,'Data Vlaue (Cr)'!$C:$FB,125)</f>
        <v>1.37</v>
      </c>
      <c r="S86" s="75">
        <f>VLOOKUP($A86,'Data Vlaue (Cr)'!$C:$FB,128)*100</f>
        <v>260.53000000000003</v>
      </c>
    </row>
    <row r="87" spans="1:19" x14ac:dyDescent="0.25">
      <c r="A87" s="96" t="str">
        <f>'Data Vlaue (Cr)'!C78</f>
        <v>HCLTECH</v>
      </c>
      <c r="B87" s="75">
        <f>VLOOKUP($A87,'Data Vlaue (Cr)'!$C:$FB,2)</f>
        <v>350</v>
      </c>
      <c r="C87" s="75">
        <f>VLOOKUP($A87,'Data Vlaue (Cr)'!$C:$FB,8)</f>
        <v>1161.9000000000001</v>
      </c>
      <c r="D87" s="75">
        <f>VLOOKUP($A87,'Data Vlaue (Cr)'!$C:$FB,4)</f>
        <v>1161.3</v>
      </c>
      <c r="E87" s="75">
        <f>VLOOKUP($A87,'Data Vlaue (Cr)'!$C:$FB,5)</f>
        <v>1154.3</v>
      </c>
      <c r="F87" s="75">
        <f t="shared" si="9"/>
        <v>-0.60000000000013642</v>
      </c>
      <c r="G87" s="75">
        <f t="shared" si="10"/>
        <v>0.60277275467148883</v>
      </c>
      <c r="H87" s="75">
        <f>VLOOKUP($A87,'Data Vlaue (Cr)'!$C:$FB,99)</f>
        <v>5508</v>
      </c>
      <c r="I87" s="75">
        <f>VLOOKUP($A87,'Data Vlaue (Cr)'!$C:$FB,100)</f>
        <v>9063</v>
      </c>
      <c r="J87" s="75">
        <f t="shared" si="11"/>
        <v>-3555</v>
      </c>
      <c r="K87" s="75">
        <f t="shared" si="12"/>
        <v>-64.542483660130728</v>
      </c>
      <c r="L87" s="75">
        <f>VLOOKUP($A87,'Data Vlaue (Cr)'!$C:$FB,67)</f>
        <v>3079</v>
      </c>
      <c r="M87" s="75">
        <f>VLOOKUP($A87,'Data Vlaue (Cr)'!$C:$FB,68)</f>
        <v>6649</v>
      </c>
      <c r="N87" s="75">
        <f t="shared" si="15"/>
        <v>-3570</v>
      </c>
      <c r="O87" s="75">
        <f t="shared" si="16"/>
        <v>-115.94673595323157</v>
      </c>
      <c r="P87" s="75">
        <f>VLOOKUP($A87,'Data Vlaue (Cr)'!$C:$FB,119)</f>
        <v>0.75</v>
      </c>
      <c r="Q87" s="75">
        <f>VLOOKUP($A87,'Data Vlaue (Cr)'!$C:$FB,122)*100</f>
        <v>74.42</v>
      </c>
      <c r="R87" s="75">
        <f>VLOOKUP($A87,'Data Vlaue (Cr)'!$C:$FB,125)</f>
        <v>0.47</v>
      </c>
      <c r="S87" s="75">
        <f>VLOOKUP($A87,'Data Vlaue (Cr)'!$C:$FB,128)*100</f>
        <v>-9.6199999999999992</v>
      </c>
    </row>
    <row r="88" spans="1:19" x14ac:dyDescent="0.25">
      <c r="A88" s="96" t="str">
        <f>'Data Vlaue (Cr)'!C79</f>
        <v>HDFCAMC</v>
      </c>
      <c r="B88" s="75">
        <f>VLOOKUP($A88,'Data Vlaue (Cr)'!$C:$FB,2)</f>
        <v>300</v>
      </c>
      <c r="C88" s="75">
        <f>VLOOKUP($A88,'Data Vlaue (Cr)'!$C:$FB,8)</f>
        <v>2739.8</v>
      </c>
      <c r="D88" s="75">
        <f>VLOOKUP($A88,'Data Vlaue (Cr)'!$C:$FB,4)</f>
        <v>2755.1</v>
      </c>
      <c r="E88" s="75">
        <f>VLOOKUP($A88,'Data Vlaue (Cr)'!$C:$FB,5)</f>
        <v>2780.7</v>
      </c>
      <c r="F88" s="75">
        <f t="shared" si="9"/>
        <v>15.299999999999727</v>
      </c>
      <c r="G88" s="75">
        <f t="shared" si="10"/>
        <v>-0.92918587347101422</v>
      </c>
      <c r="H88" s="75">
        <f>VLOOKUP($A88,'Data Vlaue (Cr)'!$C:$FB,99)</f>
        <v>2065</v>
      </c>
      <c r="I88" s="75">
        <f>VLOOKUP($A88,'Data Vlaue (Cr)'!$C:$FB,100)</f>
        <v>2738</v>
      </c>
      <c r="J88" s="75">
        <f t="shared" si="11"/>
        <v>-673</v>
      </c>
      <c r="K88" s="75">
        <f t="shared" si="12"/>
        <v>-32.590799031476998</v>
      </c>
      <c r="L88" s="75">
        <f>VLOOKUP($A88,'Data Vlaue (Cr)'!$C:$FB,67)</f>
        <v>1045</v>
      </c>
      <c r="M88" s="75">
        <f>VLOOKUP($A88,'Data Vlaue (Cr)'!$C:$FB,68)</f>
        <v>2885</v>
      </c>
      <c r="N88" s="75">
        <f t="shared" si="15"/>
        <v>-1840</v>
      </c>
      <c r="O88" s="75">
        <f t="shared" si="16"/>
        <v>-176.07655502392345</v>
      </c>
      <c r="P88" s="75">
        <f>VLOOKUP($A88,'Data Vlaue (Cr)'!$C:$FB,119)</f>
        <v>0.65</v>
      </c>
      <c r="Q88" s="75">
        <f>VLOOKUP($A88,'Data Vlaue (Cr)'!$C:$FB,122)*100</f>
        <v>-2.9899999999999998</v>
      </c>
      <c r="R88" s="75">
        <f>VLOOKUP($A88,'Data Vlaue (Cr)'!$C:$FB,125)</f>
        <v>0.55000000000000004</v>
      </c>
      <c r="S88" s="75">
        <f>VLOOKUP($A88,'Data Vlaue (Cr)'!$C:$FB,128)*100</f>
        <v>243.75</v>
      </c>
    </row>
    <row r="89" spans="1:19" x14ac:dyDescent="0.25">
      <c r="A89" s="96" t="str">
        <f>'Data Vlaue (Cr)'!C80</f>
        <v>HDFCBANK</v>
      </c>
      <c r="B89" s="75">
        <f>VLOOKUP($A89,'Data Vlaue (Cr)'!$C:$FB,2)</f>
        <v>550</v>
      </c>
      <c r="C89" s="75">
        <f>VLOOKUP($A89,'Data Vlaue (Cr)'!$C:$FB,8)</f>
        <v>778.9</v>
      </c>
      <c r="D89" s="75">
        <f>VLOOKUP($A89,'Data Vlaue (Cr)'!$C:$FB,4)</f>
        <v>771.85</v>
      </c>
      <c r="E89" s="75">
        <f>VLOOKUP($A89,'Data Vlaue (Cr)'!$C:$FB,5)</f>
        <v>779.45</v>
      </c>
      <c r="F89" s="75">
        <f t="shared" si="9"/>
        <v>-7.0499999999999545</v>
      </c>
      <c r="G89" s="75">
        <f t="shared" si="10"/>
        <v>-0.98464727602513724</v>
      </c>
      <c r="H89" s="75">
        <f>VLOOKUP($A89,'Data Vlaue (Cr)'!$C:$FB,99)</f>
        <v>33026</v>
      </c>
      <c r="I89" s="75">
        <f>VLOOKUP($A89,'Data Vlaue (Cr)'!$C:$FB,100)</f>
        <v>37830</v>
      </c>
      <c r="J89" s="75">
        <f t="shared" si="11"/>
        <v>-4804</v>
      </c>
      <c r="K89" s="75">
        <f t="shared" si="12"/>
        <v>-14.546115181977836</v>
      </c>
      <c r="L89" s="75">
        <f>VLOOKUP($A89,'Data Vlaue (Cr)'!$C:$FB,67)</f>
        <v>14307</v>
      </c>
      <c r="M89" s="75">
        <f>VLOOKUP($A89,'Data Vlaue (Cr)'!$C:$FB,68)</f>
        <v>25710</v>
      </c>
      <c r="N89" s="75">
        <f t="shared" si="15"/>
        <v>-11403</v>
      </c>
      <c r="O89" s="75">
        <f t="shared" si="16"/>
        <v>-79.70224365695114</v>
      </c>
      <c r="P89" s="75">
        <f>VLOOKUP($A89,'Data Vlaue (Cr)'!$C:$FB,119)</f>
        <v>0.62</v>
      </c>
      <c r="Q89" s="75">
        <f>VLOOKUP($A89,'Data Vlaue (Cr)'!$C:$FB,122)*100</f>
        <v>-7.46</v>
      </c>
      <c r="R89" s="75">
        <f>VLOOKUP($A89,'Data Vlaue (Cr)'!$C:$FB,125)</f>
        <v>0.55000000000000004</v>
      </c>
      <c r="S89" s="75">
        <f>VLOOKUP($A89,'Data Vlaue (Cr)'!$C:$FB,128)*100</f>
        <v>-1.79</v>
      </c>
    </row>
    <row r="90" spans="1:19" x14ac:dyDescent="0.25">
      <c r="A90" s="96" t="str">
        <f>'Data Vlaue (Cr)'!C81</f>
        <v>HDFCLIFE</v>
      </c>
      <c r="B90" s="75">
        <f>VLOOKUP($A90,'Data Vlaue (Cr)'!$C:$FB,2)</f>
        <v>1100</v>
      </c>
      <c r="C90" s="75">
        <f>VLOOKUP($A90,'Data Vlaue (Cr)'!$C:$FB,8)</f>
        <v>618.85</v>
      </c>
      <c r="D90" s="75">
        <f>VLOOKUP($A90,'Data Vlaue (Cr)'!$C:$FB,4)</f>
        <v>620.25</v>
      </c>
      <c r="E90" s="75">
        <f>VLOOKUP($A90,'Data Vlaue (Cr)'!$C:$FB,5)</f>
        <v>621.54999999999995</v>
      </c>
      <c r="F90" s="75">
        <f t="shared" si="9"/>
        <v>1.3999999999999773</v>
      </c>
      <c r="G90" s="75">
        <f t="shared" si="10"/>
        <v>-0.2095929060862482</v>
      </c>
      <c r="H90" s="75">
        <f>VLOOKUP($A90,'Data Vlaue (Cr)'!$C:$FB,99)</f>
        <v>3945</v>
      </c>
      <c r="I90" s="75">
        <f>VLOOKUP($A90,'Data Vlaue (Cr)'!$C:$FB,100)</f>
        <v>5783</v>
      </c>
      <c r="J90" s="75">
        <f t="shared" si="11"/>
        <v>-1838</v>
      </c>
      <c r="K90" s="75">
        <f t="shared" si="12"/>
        <v>-46.590621039290241</v>
      </c>
      <c r="L90" s="75">
        <f>VLOOKUP($A90,'Data Vlaue (Cr)'!$C:$FB,67)</f>
        <v>1850</v>
      </c>
      <c r="M90" s="75">
        <f>VLOOKUP($A90,'Data Vlaue (Cr)'!$C:$FB,68)</f>
        <v>2888</v>
      </c>
      <c r="N90" s="75">
        <f t="shared" si="15"/>
        <v>-1038</v>
      </c>
      <c r="O90" s="75">
        <f t="shared" si="16"/>
        <v>-56.108108108108112</v>
      </c>
      <c r="P90" s="75">
        <f>VLOOKUP($A90,'Data Vlaue (Cr)'!$C:$FB,119)</f>
        <v>0.75</v>
      </c>
      <c r="Q90" s="75">
        <f>VLOOKUP($A90,'Data Vlaue (Cr)'!$C:$FB,122)*100</f>
        <v>7.1400000000000006</v>
      </c>
      <c r="R90" s="75">
        <f>VLOOKUP($A90,'Data Vlaue (Cr)'!$C:$FB,125)</f>
        <v>0.51</v>
      </c>
      <c r="S90" s="75">
        <f>VLOOKUP($A90,'Data Vlaue (Cr)'!$C:$FB,128)*100</f>
        <v>-13.56</v>
      </c>
    </row>
    <row r="91" spans="1:19" x14ac:dyDescent="0.25">
      <c r="A91" s="96" t="str">
        <f>'Data Vlaue (Cr)'!C82</f>
        <v>HEROMOTOCO</v>
      </c>
      <c r="B91" s="75">
        <f>VLOOKUP($A91,'Data Vlaue (Cr)'!$C:$FB,2)</f>
        <v>150</v>
      </c>
      <c r="C91" s="75">
        <f>VLOOKUP($A91,'Data Vlaue (Cr)'!$C:$FB,8)</f>
        <v>4983</v>
      </c>
      <c r="D91" s="75">
        <f>VLOOKUP($A91,'Data Vlaue (Cr)'!$C:$FB,4)</f>
        <v>5014</v>
      </c>
      <c r="E91" s="75">
        <f>VLOOKUP($A91,'Data Vlaue (Cr)'!$C:$FB,5)</f>
        <v>5018</v>
      </c>
      <c r="F91" s="75">
        <f t="shared" si="9"/>
        <v>31</v>
      </c>
      <c r="G91" s="75">
        <f t="shared" si="10"/>
        <v>-7.9776625448743518E-2</v>
      </c>
      <c r="H91" s="75">
        <f>VLOOKUP($A91,'Data Vlaue (Cr)'!$C:$FB,99)</f>
        <v>2912</v>
      </c>
      <c r="I91" s="75">
        <f>VLOOKUP($A91,'Data Vlaue (Cr)'!$C:$FB,100)</f>
        <v>4581</v>
      </c>
      <c r="J91" s="75">
        <f t="shared" si="11"/>
        <v>-1669</v>
      </c>
      <c r="K91" s="75">
        <f t="shared" si="12"/>
        <v>-57.314560439560438</v>
      </c>
      <c r="L91" s="75">
        <f>VLOOKUP($A91,'Data Vlaue (Cr)'!$C:$FB,67)</f>
        <v>3286</v>
      </c>
      <c r="M91" s="75">
        <f>VLOOKUP($A91,'Data Vlaue (Cr)'!$C:$FB,68)</f>
        <v>4704</v>
      </c>
      <c r="N91" s="75">
        <f t="shared" si="15"/>
        <v>-1418</v>
      </c>
      <c r="O91" s="75">
        <f t="shared" si="16"/>
        <v>-43.152769324406577</v>
      </c>
      <c r="P91" s="75">
        <f>VLOOKUP($A91,'Data Vlaue (Cr)'!$C:$FB,119)</f>
        <v>0.54</v>
      </c>
      <c r="Q91" s="75">
        <f>VLOOKUP($A91,'Data Vlaue (Cr)'!$C:$FB,122)*100</f>
        <v>-8.4699999999999989</v>
      </c>
      <c r="R91" s="75">
        <f>VLOOKUP($A91,'Data Vlaue (Cr)'!$C:$FB,125)</f>
        <v>0.32</v>
      </c>
      <c r="S91" s="75">
        <f>VLOOKUP($A91,'Data Vlaue (Cr)'!$C:$FB,128)*100</f>
        <v>-3.0300000000000002</v>
      </c>
    </row>
    <row r="92" spans="1:19" x14ac:dyDescent="0.25">
      <c r="A92" s="96" t="str">
        <f>'Data Vlaue (Cr)'!C83</f>
        <v>HINDALCO</v>
      </c>
      <c r="B92" s="75">
        <f>VLOOKUP($A92,'Data Vlaue (Cr)'!$C:$FB,2)</f>
        <v>700</v>
      </c>
      <c r="C92" s="75">
        <f>VLOOKUP($A92,'Data Vlaue (Cr)'!$C:$FB,8)</f>
        <v>1103.8</v>
      </c>
      <c r="D92" s="75">
        <f>VLOOKUP($A92,'Data Vlaue (Cr)'!$C:$FB,4)</f>
        <v>1114</v>
      </c>
      <c r="E92" s="75">
        <f>VLOOKUP($A92,'Data Vlaue (Cr)'!$C:$FB,5)</f>
        <v>1105.4000000000001</v>
      </c>
      <c r="F92" s="75">
        <f t="shared" si="9"/>
        <v>10.200000000000045</v>
      </c>
      <c r="G92" s="75">
        <f t="shared" si="10"/>
        <v>0.77199281867144609</v>
      </c>
      <c r="H92" s="75">
        <f>VLOOKUP($A92,'Data Vlaue (Cr)'!$C:$FB,99)</f>
        <v>4761</v>
      </c>
      <c r="I92" s="75">
        <f>VLOOKUP($A92,'Data Vlaue (Cr)'!$C:$FB,100)</f>
        <v>6320</v>
      </c>
      <c r="J92" s="75">
        <f t="shared" si="11"/>
        <v>-1559</v>
      </c>
      <c r="K92" s="75">
        <f t="shared" si="12"/>
        <v>-32.745221592102496</v>
      </c>
      <c r="L92" s="75">
        <f>VLOOKUP($A92,'Data Vlaue (Cr)'!$C:$FB,67)</f>
        <v>4787</v>
      </c>
      <c r="M92" s="75">
        <f>VLOOKUP($A92,'Data Vlaue (Cr)'!$C:$FB,68)</f>
        <v>13735</v>
      </c>
      <c r="N92" s="75">
        <f t="shared" si="15"/>
        <v>-8948</v>
      </c>
      <c r="O92" s="75">
        <f t="shared" si="16"/>
        <v>-186.92291623146019</v>
      </c>
      <c r="P92" s="75">
        <f>VLOOKUP($A92,'Data Vlaue (Cr)'!$C:$FB,119)</f>
        <v>0.64</v>
      </c>
      <c r="Q92" s="75">
        <f>VLOOKUP($A92,'Data Vlaue (Cr)'!$C:$FB,122)*100</f>
        <v>-25.580000000000002</v>
      </c>
      <c r="R92" s="75">
        <f>VLOOKUP($A92,'Data Vlaue (Cr)'!$C:$FB,125)</f>
        <v>0.56999999999999995</v>
      </c>
      <c r="S92" s="75">
        <f>VLOOKUP($A92,'Data Vlaue (Cr)'!$C:$FB,128)*100</f>
        <v>-1.72</v>
      </c>
    </row>
    <row r="93" spans="1:19" x14ac:dyDescent="0.25">
      <c r="A93" s="96" t="str">
        <f>'Data Vlaue (Cr)'!C84</f>
        <v>HINDPETRO</v>
      </c>
      <c r="B93" s="75">
        <f>VLOOKUP($A93,'Data Vlaue (Cr)'!$C:$FB,2)</f>
        <v>2025</v>
      </c>
      <c r="C93" s="75">
        <f>VLOOKUP($A93,'Data Vlaue (Cr)'!$C:$FB,8)</f>
        <v>398</v>
      </c>
      <c r="D93" s="75">
        <f>VLOOKUP($A93,'Data Vlaue (Cr)'!$C:$FB,4)</f>
        <v>400.55</v>
      </c>
      <c r="E93" s="75">
        <f>VLOOKUP($A93,'Data Vlaue (Cr)'!$C:$FB,5)</f>
        <v>406.4</v>
      </c>
      <c r="F93" s="75">
        <f t="shared" si="9"/>
        <v>2.5500000000000114</v>
      </c>
      <c r="G93" s="75">
        <f t="shared" si="10"/>
        <v>-1.4604918237423457</v>
      </c>
      <c r="H93" s="75">
        <f>VLOOKUP($A93,'Data Vlaue (Cr)'!$C:$FB,99)</f>
        <v>1879</v>
      </c>
      <c r="I93" s="75">
        <f>VLOOKUP($A93,'Data Vlaue (Cr)'!$C:$FB,100)</f>
        <v>2779</v>
      </c>
      <c r="J93" s="75">
        <f t="shared" si="11"/>
        <v>-900</v>
      </c>
      <c r="K93" s="75">
        <f t="shared" si="12"/>
        <v>-47.897817988291649</v>
      </c>
      <c r="L93" s="75">
        <f>VLOOKUP($A93,'Data Vlaue (Cr)'!$C:$FB,67)</f>
        <v>1384</v>
      </c>
      <c r="M93" s="75">
        <f>VLOOKUP($A93,'Data Vlaue (Cr)'!$C:$FB,68)</f>
        <v>4627</v>
      </c>
      <c r="N93" s="75">
        <f t="shared" si="15"/>
        <v>-3243</v>
      </c>
      <c r="O93" s="75">
        <f t="shared" si="16"/>
        <v>-234.32080924855492</v>
      </c>
      <c r="P93" s="75">
        <f>VLOOKUP($A93,'Data Vlaue (Cr)'!$C:$FB,119)</f>
        <v>0.75</v>
      </c>
      <c r="Q93" s="75">
        <f>VLOOKUP($A93,'Data Vlaue (Cr)'!$C:$FB,122)*100</f>
        <v>-12.790000000000001</v>
      </c>
      <c r="R93" s="75">
        <f>VLOOKUP($A93,'Data Vlaue (Cr)'!$C:$FB,125)</f>
        <v>0.74</v>
      </c>
      <c r="S93" s="75">
        <f>VLOOKUP($A93,'Data Vlaue (Cr)'!$C:$FB,128)*100</f>
        <v>80.489999999999995</v>
      </c>
    </row>
    <row r="94" spans="1:19" x14ac:dyDescent="0.25">
      <c r="A94" s="96" t="str">
        <f>'Data Vlaue (Cr)'!C85</f>
        <v>HINDUNILVR</v>
      </c>
      <c r="B94" s="75">
        <f>VLOOKUP($A94,'Data Vlaue (Cr)'!$C:$FB,2)</f>
        <v>300</v>
      </c>
      <c r="C94" s="75">
        <f>VLOOKUP($A94,'Data Vlaue (Cr)'!$C:$FB,8)</f>
        <v>2209.4</v>
      </c>
      <c r="D94" s="75">
        <f>VLOOKUP($A94,'Data Vlaue (Cr)'!$C:$FB,4)</f>
        <v>2195.1</v>
      </c>
      <c r="E94" s="75">
        <f>VLOOKUP($A94,'Data Vlaue (Cr)'!$C:$FB,5)</f>
        <v>2193</v>
      </c>
      <c r="F94" s="75">
        <f t="shared" si="9"/>
        <v>-14.300000000000182</v>
      </c>
      <c r="G94" s="75">
        <f t="shared" si="10"/>
        <v>9.5667623342895955E-2</v>
      </c>
      <c r="H94" s="75">
        <f>VLOOKUP($A94,'Data Vlaue (Cr)'!$C:$FB,99)</f>
        <v>4722</v>
      </c>
      <c r="I94" s="75">
        <f>VLOOKUP($A94,'Data Vlaue (Cr)'!$C:$FB,100)</f>
        <v>7359</v>
      </c>
      <c r="J94" s="75">
        <f t="shared" si="11"/>
        <v>-2637</v>
      </c>
      <c r="K94" s="75">
        <f t="shared" si="12"/>
        <v>-55.844980940279541</v>
      </c>
      <c r="L94" s="75">
        <f>VLOOKUP($A94,'Data Vlaue (Cr)'!$C:$FB,67)</f>
        <v>3192</v>
      </c>
      <c r="M94" s="75">
        <f>VLOOKUP($A94,'Data Vlaue (Cr)'!$C:$FB,68)</f>
        <v>4439</v>
      </c>
      <c r="N94" s="75">
        <f t="shared" si="15"/>
        <v>-1247</v>
      </c>
      <c r="O94" s="75">
        <f t="shared" si="16"/>
        <v>-39.06641604010025</v>
      </c>
      <c r="P94" s="75">
        <f>VLOOKUP($A94,'Data Vlaue (Cr)'!$C:$FB,119)</f>
        <v>0.55000000000000004</v>
      </c>
      <c r="Q94" s="75">
        <f>VLOOKUP($A94,'Data Vlaue (Cr)'!$C:$FB,122)*100</f>
        <v>14.580000000000002</v>
      </c>
      <c r="R94" s="75">
        <f>VLOOKUP($A94,'Data Vlaue (Cr)'!$C:$FB,125)</f>
        <v>0.6</v>
      </c>
      <c r="S94" s="75">
        <f>VLOOKUP($A94,'Data Vlaue (Cr)'!$C:$FB,128)*100</f>
        <v>13.209999999999999</v>
      </c>
    </row>
    <row r="95" spans="1:19" x14ac:dyDescent="0.25">
      <c r="A95" s="96" t="str">
        <f>'Data Vlaue (Cr)'!C86</f>
        <v>HINDZINC</v>
      </c>
      <c r="B95" s="75">
        <f>VLOOKUP($A95,'Data Vlaue (Cr)'!$C:$FB,2)</f>
        <v>1225</v>
      </c>
      <c r="C95" s="75">
        <f>VLOOKUP($A95,'Data Vlaue (Cr)'!$C:$FB,8)</f>
        <v>647.4</v>
      </c>
      <c r="D95" s="75">
        <f>VLOOKUP($A95,'Data Vlaue (Cr)'!$C:$FB,4)</f>
        <v>650.70000000000005</v>
      </c>
      <c r="E95" s="75">
        <f>VLOOKUP($A95,'Data Vlaue (Cr)'!$C:$FB,5)</f>
        <v>639.79999999999995</v>
      </c>
      <c r="F95" s="75">
        <f t="shared" si="9"/>
        <v>3.3000000000000682</v>
      </c>
      <c r="G95" s="75">
        <f t="shared" si="10"/>
        <v>1.6751191025050085</v>
      </c>
      <c r="H95" s="75">
        <f>VLOOKUP($A95,'Data Vlaue (Cr)'!$C:$FB,99)</f>
        <v>3314</v>
      </c>
      <c r="I95" s="75">
        <f>VLOOKUP($A95,'Data Vlaue (Cr)'!$C:$FB,100)</f>
        <v>4883</v>
      </c>
      <c r="J95" s="75">
        <f t="shared" si="11"/>
        <v>-1569</v>
      </c>
      <c r="K95" s="75">
        <f t="shared" si="12"/>
        <v>-47.344598672299334</v>
      </c>
      <c r="L95" s="75">
        <f>VLOOKUP($A95,'Data Vlaue (Cr)'!$C:$FB,67)</f>
        <v>4043</v>
      </c>
      <c r="M95" s="75">
        <f>VLOOKUP($A95,'Data Vlaue (Cr)'!$C:$FB,68)</f>
        <v>4864</v>
      </c>
      <c r="N95" s="75">
        <f t="shared" si="15"/>
        <v>-821</v>
      </c>
      <c r="O95" s="75">
        <f t="shared" si="16"/>
        <v>-20.306702943358893</v>
      </c>
      <c r="P95" s="75">
        <f>VLOOKUP($A95,'Data Vlaue (Cr)'!$C:$FB,119)</f>
        <v>0.7</v>
      </c>
      <c r="Q95" s="75">
        <f>VLOOKUP($A95,'Data Vlaue (Cr)'!$C:$FB,122)*100</f>
        <v>-4.1099999999999994</v>
      </c>
      <c r="R95" s="75">
        <f>VLOOKUP($A95,'Data Vlaue (Cr)'!$C:$FB,125)</f>
        <v>0.49</v>
      </c>
      <c r="S95" s="75">
        <f>VLOOKUP($A95,'Data Vlaue (Cr)'!$C:$FB,128)*100</f>
        <v>44.12</v>
      </c>
    </row>
    <row r="96" spans="1:19" x14ac:dyDescent="0.25">
      <c r="A96" s="96" t="str">
        <f>'Data Vlaue (Cr)'!C87</f>
        <v>HYUNDAI</v>
      </c>
      <c r="B96" s="75">
        <f>VLOOKUP($A96,'Data Vlaue (Cr)'!$C:$FB,2)</f>
        <v>275</v>
      </c>
      <c r="C96" s="75">
        <f>VLOOKUP($A96,'Data Vlaue (Cr)'!$C:$FB,8)</f>
        <v>1884</v>
      </c>
      <c r="D96" s="75">
        <f>VLOOKUP($A96,'Data Vlaue (Cr)'!$C:$FB,4)</f>
        <v>1897.4</v>
      </c>
      <c r="E96" s="75">
        <f>VLOOKUP($A96,'Data Vlaue (Cr)'!$C:$FB,5)</f>
        <v>1891.2</v>
      </c>
      <c r="F96" s="75">
        <f t="shared" si="9"/>
        <v>13.400000000000091</v>
      </c>
      <c r="G96" s="75">
        <f t="shared" si="10"/>
        <v>0.3267629387583032</v>
      </c>
      <c r="H96" s="75">
        <f>VLOOKUP($A96,'Data Vlaue (Cr)'!$C:$FB,99)</f>
        <v>2161</v>
      </c>
      <c r="I96" s="75">
        <f>VLOOKUP($A96,'Data Vlaue (Cr)'!$C:$FB,100)</f>
        <v>2691</v>
      </c>
      <c r="J96" s="75">
        <f t="shared" si="11"/>
        <v>-530</v>
      </c>
      <c r="K96" s="75">
        <f t="shared" si="12"/>
        <v>-24.525682554372978</v>
      </c>
      <c r="L96" s="75">
        <f>VLOOKUP($A96,'Data Vlaue (Cr)'!$C:$FB,67)</f>
        <v>907</v>
      </c>
      <c r="M96" s="75">
        <f>VLOOKUP($A96,'Data Vlaue (Cr)'!$C:$FB,68)</f>
        <v>2545</v>
      </c>
      <c r="N96" s="75">
        <f t="shared" si="15"/>
        <v>-1638</v>
      </c>
      <c r="O96" s="75">
        <f t="shared" si="16"/>
        <v>-180.59536934950387</v>
      </c>
      <c r="P96" s="75">
        <f>VLOOKUP($A96,'Data Vlaue (Cr)'!$C:$FB,119)</f>
        <v>0.73</v>
      </c>
      <c r="Q96" s="75">
        <f>VLOOKUP($A96,'Data Vlaue (Cr)'!$C:$FB,122)*100</f>
        <v>-3.95</v>
      </c>
      <c r="R96" s="75">
        <f>VLOOKUP($A96,'Data Vlaue (Cr)'!$C:$FB,125)</f>
        <v>0.36</v>
      </c>
      <c r="S96" s="75">
        <f>VLOOKUP($A96,'Data Vlaue (Cr)'!$C:$FB,128)*100</f>
        <v>16.13</v>
      </c>
    </row>
    <row r="97" spans="1:19" x14ac:dyDescent="0.25">
      <c r="A97" s="96" t="str">
        <f>'Data Vlaue (Cr)'!C88</f>
        <v>ICICIBANK</v>
      </c>
      <c r="B97" s="75">
        <f>VLOOKUP($A97,'Data Vlaue (Cr)'!$C:$FB,2)</f>
        <v>700</v>
      </c>
      <c r="C97" s="75">
        <f>VLOOKUP($A97,'Data Vlaue (Cr)'!$C:$FB,8)</f>
        <v>1279.0999999999999</v>
      </c>
      <c r="D97" s="75">
        <f>VLOOKUP($A97,'Data Vlaue (Cr)'!$C:$FB,4)</f>
        <v>1290.2</v>
      </c>
      <c r="E97" s="75">
        <f>VLOOKUP($A97,'Data Vlaue (Cr)'!$C:$FB,5)</f>
        <v>1300.3</v>
      </c>
      <c r="F97" s="75">
        <f t="shared" si="9"/>
        <v>11.100000000000136</v>
      </c>
      <c r="G97" s="75">
        <f t="shared" si="10"/>
        <v>-0.78282436831498292</v>
      </c>
      <c r="H97" s="75">
        <f>VLOOKUP($A97,'Data Vlaue (Cr)'!$C:$FB,99)</f>
        <v>23740</v>
      </c>
      <c r="I97" s="75">
        <f>VLOOKUP($A97,'Data Vlaue (Cr)'!$C:$FB,100)</f>
        <v>29088</v>
      </c>
      <c r="J97" s="75">
        <f t="shared" si="11"/>
        <v>-5348</v>
      </c>
      <c r="K97" s="75">
        <f t="shared" si="12"/>
        <v>-22.527379949452399</v>
      </c>
      <c r="L97" s="75">
        <f>VLOOKUP($A97,'Data Vlaue (Cr)'!$C:$FB,67)</f>
        <v>15163</v>
      </c>
      <c r="M97" s="75">
        <f>VLOOKUP($A97,'Data Vlaue (Cr)'!$C:$FB,68)</f>
        <v>24517</v>
      </c>
      <c r="N97" s="75">
        <f t="shared" si="15"/>
        <v>-9354</v>
      </c>
      <c r="O97" s="75">
        <f t="shared" si="16"/>
        <v>-61.689639253445883</v>
      </c>
      <c r="P97" s="75">
        <f>VLOOKUP($A97,'Data Vlaue (Cr)'!$C:$FB,119)</f>
        <v>1.07</v>
      </c>
      <c r="Q97" s="75">
        <f>VLOOKUP($A97,'Data Vlaue (Cr)'!$C:$FB,122)*100</f>
        <v>40.79</v>
      </c>
      <c r="R97" s="75">
        <f>VLOOKUP($A97,'Data Vlaue (Cr)'!$C:$FB,125)</f>
        <v>0.68</v>
      </c>
      <c r="S97" s="75">
        <f>VLOOKUP($A97,'Data Vlaue (Cr)'!$C:$FB,128)*100</f>
        <v>15.25</v>
      </c>
    </row>
    <row r="98" spans="1:19" x14ac:dyDescent="0.25">
      <c r="A98" s="96" t="str">
        <f>'Data Vlaue (Cr)'!C89</f>
        <v>ICICIGI</v>
      </c>
      <c r="B98" s="75">
        <f>VLOOKUP($A98,'Data Vlaue (Cr)'!$C:$FB,2)</f>
        <v>325</v>
      </c>
      <c r="C98" s="75">
        <f>VLOOKUP($A98,'Data Vlaue (Cr)'!$C:$FB,8)</f>
        <v>1860.3</v>
      </c>
      <c r="D98" s="75">
        <f>VLOOKUP($A98,'Data Vlaue (Cr)'!$C:$FB,4)</f>
        <v>1866.6</v>
      </c>
      <c r="E98" s="75">
        <f>VLOOKUP($A98,'Data Vlaue (Cr)'!$C:$FB,5)</f>
        <v>1862.9</v>
      </c>
      <c r="F98" s="75">
        <f t="shared" si="9"/>
        <v>6.2999999999999545</v>
      </c>
      <c r="G98" s="75">
        <f t="shared" si="10"/>
        <v>0.19822136504874199</v>
      </c>
      <c r="H98" s="75">
        <f>VLOOKUP($A98,'Data Vlaue (Cr)'!$C:$FB,99)</f>
        <v>950</v>
      </c>
      <c r="I98" s="75">
        <f>VLOOKUP($A98,'Data Vlaue (Cr)'!$C:$FB,100)</f>
        <v>1214</v>
      </c>
      <c r="J98" s="75">
        <f t="shared" si="11"/>
        <v>-264</v>
      </c>
      <c r="K98" s="75">
        <f t="shared" si="12"/>
        <v>-27.789473684210524</v>
      </c>
      <c r="L98" s="75">
        <f>VLOOKUP($A98,'Data Vlaue (Cr)'!$C:$FB,67)</f>
        <v>820</v>
      </c>
      <c r="M98" s="75">
        <f>VLOOKUP($A98,'Data Vlaue (Cr)'!$C:$FB,68)</f>
        <v>720</v>
      </c>
      <c r="N98" s="75">
        <f t="shared" si="15"/>
        <v>100</v>
      </c>
      <c r="O98" s="75">
        <f t="shared" si="16"/>
        <v>12.195121951219512</v>
      </c>
      <c r="P98" s="75">
        <f>VLOOKUP($A98,'Data Vlaue (Cr)'!$C:$FB,119)</f>
        <v>0.64</v>
      </c>
      <c r="Q98" s="75">
        <f>VLOOKUP($A98,'Data Vlaue (Cr)'!$C:$FB,122)*100</f>
        <v>48.84</v>
      </c>
      <c r="R98" s="75">
        <f>VLOOKUP($A98,'Data Vlaue (Cr)'!$C:$FB,125)</f>
        <v>0.4</v>
      </c>
      <c r="S98" s="75">
        <f>VLOOKUP($A98,'Data Vlaue (Cr)'!$C:$FB,128)*100</f>
        <v>100</v>
      </c>
    </row>
    <row r="99" spans="1:19" x14ac:dyDescent="0.25">
      <c r="A99" s="96" t="str">
        <f>'Data Vlaue (Cr)'!C90</f>
        <v>ICICIPRULI</v>
      </c>
      <c r="B99" s="75">
        <f>VLOOKUP($A99,'Data Vlaue (Cr)'!$C:$FB,2)</f>
        <v>925</v>
      </c>
      <c r="C99" s="75">
        <f>VLOOKUP($A99,'Data Vlaue (Cr)'!$C:$FB,8)</f>
        <v>522.70000000000005</v>
      </c>
      <c r="D99" s="75">
        <f>VLOOKUP($A99,'Data Vlaue (Cr)'!$C:$FB,4)</f>
        <v>524.1</v>
      </c>
      <c r="E99" s="75">
        <f>VLOOKUP($A99,'Data Vlaue (Cr)'!$C:$FB,5)</f>
        <v>528.54999999999995</v>
      </c>
      <c r="F99" s="75">
        <f t="shared" si="9"/>
        <v>1.3999999999999773</v>
      </c>
      <c r="G99" s="75">
        <f t="shared" si="10"/>
        <v>-0.84907460408317725</v>
      </c>
      <c r="H99" s="75">
        <f>VLOOKUP($A99,'Data Vlaue (Cr)'!$C:$FB,99)</f>
        <v>962</v>
      </c>
      <c r="I99" s="75">
        <f>VLOOKUP($A99,'Data Vlaue (Cr)'!$C:$FB,100)</f>
        <v>1637</v>
      </c>
      <c r="J99" s="75">
        <f t="shared" si="11"/>
        <v>-675</v>
      </c>
      <c r="K99" s="75">
        <f t="shared" si="12"/>
        <v>-70.166320166320162</v>
      </c>
      <c r="L99" s="75">
        <f>VLOOKUP($A99,'Data Vlaue (Cr)'!$C:$FB,67)</f>
        <v>412</v>
      </c>
      <c r="M99" s="75">
        <f>VLOOKUP($A99,'Data Vlaue (Cr)'!$C:$FB,68)</f>
        <v>841</v>
      </c>
      <c r="N99" s="75">
        <f t="shared" si="15"/>
        <v>-429</v>
      </c>
      <c r="O99" s="75">
        <f t="shared" si="16"/>
        <v>-104.12621359223301</v>
      </c>
      <c r="P99" s="75">
        <f>VLOOKUP($A99,'Data Vlaue (Cr)'!$C:$FB,119)</f>
        <v>1.02</v>
      </c>
      <c r="Q99" s="75">
        <f>VLOOKUP($A99,'Data Vlaue (Cr)'!$C:$FB,122)*100</f>
        <v>14.610000000000001</v>
      </c>
      <c r="R99" s="75">
        <f>VLOOKUP($A99,'Data Vlaue (Cr)'!$C:$FB,125)</f>
        <v>0.85</v>
      </c>
      <c r="S99" s="75">
        <f>VLOOKUP($A99,'Data Vlaue (Cr)'!$C:$FB,128)*100</f>
        <v>70</v>
      </c>
    </row>
    <row r="100" spans="1:19" x14ac:dyDescent="0.25">
      <c r="A100" s="96" t="str">
        <f>'Data Vlaue (Cr)'!C91</f>
        <v>IDEA</v>
      </c>
      <c r="B100" s="75">
        <f>VLOOKUP($A100,'Data Vlaue (Cr)'!$C:$FB,2)</f>
        <v>71475</v>
      </c>
      <c r="C100" s="75">
        <f>VLOOKUP($A100,'Data Vlaue (Cr)'!$C:$FB,8)</f>
        <v>14.14</v>
      </c>
      <c r="D100" s="75">
        <f>VLOOKUP($A100,'Data Vlaue (Cr)'!$C:$FB,4)</f>
        <v>14.22</v>
      </c>
      <c r="E100" s="75">
        <f>VLOOKUP($A100,'Data Vlaue (Cr)'!$C:$FB,5)</f>
        <v>14.17</v>
      </c>
      <c r="F100" s="75">
        <f t="shared" si="9"/>
        <v>8.0000000000000071E-2</v>
      </c>
      <c r="G100" s="75">
        <f t="shared" si="10"/>
        <v>0.35161744022504016</v>
      </c>
      <c r="H100" s="75">
        <f>VLOOKUP($A100,'Data Vlaue (Cr)'!$C:$FB,99)</f>
        <v>10421</v>
      </c>
      <c r="I100" s="75">
        <f>VLOOKUP($A100,'Data Vlaue (Cr)'!$C:$FB,100)</f>
        <v>12606</v>
      </c>
      <c r="J100" s="75">
        <f t="shared" si="11"/>
        <v>-2185</v>
      </c>
      <c r="K100" s="75">
        <f t="shared" si="12"/>
        <v>-20.967277612513193</v>
      </c>
      <c r="L100" s="75">
        <f>VLOOKUP($A100,'Data Vlaue (Cr)'!$C:$FB,67)</f>
        <v>6714</v>
      </c>
      <c r="M100" s="75">
        <f>VLOOKUP($A100,'Data Vlaue (Cr)'!$C:$FB,68)</f>
        <v>7757</v>
      </c>
      <c r="N100" s="75">
        <f t="shared" si="15"/>
        <v>-1043</v>
      </c>
      <c r="O100" s="75">
        <f t="shared" si="16"/>
        <v>-15.534703604408698</v>
      </c>
      <c r="P100" s="75">
        <f>VLOOKUP($A100,'Data Vlaue (Cr)'!$C:$FB,119)</f>
        <v>0.44</v>
      </c>
      <c r="Q100" s="75">
        <f>VLOOKUP($A100,'Data Vlaue (Cr)'!$C:$FB,122)*100</f>
        <v>-29.03</v>
      </c>
      <c r="R100" s="75">
        <f>VLOOKUP($A100,'Data Vlaue (Cr)'!$C:$FB,125)</f>
        <v>0.36</v>
      </c>
      <c r="S100" s="75">
        <f>VLOOKUP($A100,'Data Vlaue (Cr)'!$C:$FB,128)*100</f>
        <v>0</v>
      </c>
    </row>
    <row r="101" spans="1:19" x14ac:dyDescent="0.25">
      <c r="A101" s="96" t="str">
        <f>'Data Vlaue (Cr)'!C92</f>
        <v>IDFCFIRSTB</v>
      </c>
      <c r="B101" s="75">
        <f>VLOOKUP($A101,'Data Vlaue (Cr)'!$C:$FB,2)</f>
        <v>9275</v>
      </c>
      <c r="C101" s="75">
        <f>VLOOKUP($A101,'Data Vlaue (Cr)'!$C:$FB,8)</f>
        <v>70.22</v>
      </c>
      <c r="D101" s="75">
        <f>VLOOKUP($A101,'Data Vlaue (Cr)'!$C:$FB,4)</f>
        <v>70.650000000000006</v>
      </c>
      <c r="E101" s="75">
        <f>VLOOKUP($A101,'Data Vlaue (Cr)'!$C:$FB,5)</f>
        <v>70.06</v>
      </c>
      <c r="F101" s="75">
        <f t="shared" si="9"/>
        <v>0.43000000000000682</v>
      </c>
      <c r="G101" s="75">
        <f t="shared" si="10"/>
        <v>0.83510261854211376</v>
      </c>
      <c r="H101" s="75">
        <f>VLOOKUP($A101,'Data Vlaue (Cr)'!$C:$FB,99)</f>
        <v>3670</v>
      </c>
      <c r="I101" s="75">
        <f>VLOOKUP($A101,'Data Vlaue (Cr)'!$C:$FB,100)</f>
        <v>4522</v>
      </c>
      <c r="J101" s="75">
        <f t="shared" si="11"/>
        <v>-852</v>
      </c>
      <c r="K101" s="75">
        <f t="shared" si="12"/>
        <v>-23.21525885558583</v>
      </c>
      <c r="L101" s="75">
        <f>VLOOKUP($A101,'Data Vlaue (Cr)'!$C:$FB,67)</f>
        <v>2090</v>
      </c>
      <c r="M101" s="75">
        <f>VLOOKUP($A101,'Data Vlaue (Cr)'!$C:$FB,68)</f>
        <v>2605</v>
      </c>
      <c r="N101" s="75">
        <f t="shared" si="15"/>
        <v>-515</v>
      </c>
      <c r="O101" s="75">
        <f t="shared" si="16"/>
        <v>-24.641148325358852</v>
      </c>
      <c r="P101" s="75">
        <f>VLOOKUP($A101,'Data Vlaue (Cr)'!$C:$FB,119)</f>
        <v>1.01</v>
      </c>
      <c r="Q101" s="75">
        <f>VLOOKUP($A101,'Data Vlaue (Cr)'!$C:$FB,122)*100</f>
        <v>13.48</v>
      </c>
      <c r="R101" s="75">
        <f>VLOOKUP($A101,'Data Vlaue (Cr)'!$C:$FB,125)</f>
        <v>0.64</v>
      </c>
      <c r="S101" s="75">
        <f>VLOOKUP($A101,'Data Vlaue (Cr)'!$C:$FB,128)*100</f>
        <v>-25.580000000000002</v>
      </c>
    </row>
    <row r="102" spans="1:19" x14ac:dyDescent="0.25">
      <c r="A102" s="96" t="str">
        <f>'Data Vlaue (Cr)'!C93</f>
        <v>IEX</v>
      </c>
      <c r="B102" s="75">
        <f>VLOOKUP($A102,'Data Vlaue (Cr)'!$C:$FB,2)</f>
        <v>3750</v>
      </c>
      <c r="C102" s="75">
        <f>VLOOKUP($A102,'Data Vlaue (Cr)'!$C:$FB,8)</f>
        <v>127.47</v>
      </c>
      <c r="D102" s="75">
        <f>VLOOKUP($A102,'Data Vlaue (Cr)'!$C:$FB,4)</f>
        <v>128.47</v>
      </c>
      <c r="E102" s="75">
        <f>VLOOKUP($A102,'Data Vlaue (Cr)'!$C:$FB,5)</f>
        <v>128.65</v>
      </c>
      <c r="F102" s="75">
        <f t="shared" si="9"/>
        <v>1</v>
      </c>
      <c r="G102" s="75">
        <f t="shared" si="10"/>
        <v>-0.1401105316416337</v>
      </c>
      <c r="H102" s="75">
        <f>VLOOKUP($A102,'Data Vlaue (Cr)'!$C:$FB,99)</f>
        <v>1258</v>
      </c>
      <c r="I102" s="75">
        <f>VLOOKUP($A102,'Data Vlaue (Cr)'!$C:$FB,100)</f>
        <v>1644</v>
      </c>
      <c r="J102" s="75">
        <f t="shared" si="11"/>
        <v>-386</v>
      </c>
      <c r="K102" s="75">
        <f t="shared" si="12"/>
        <v>-30.683624801271858</v>
      </c>
      <c r="L102" s="75">
        <f>VLOOKUP($A102,'Data Vlaue (Cr)'!$C:$FB,67)</f>
        <v>990</v>
      </c>
      <c r="M102" s="75">
        <f>VLOOKUP($A102,'Data Vlaue (Cr)'!$C:$FB,68)</f>
        <v>1407</v>
      </c>
      <c r="N102" s="75">
        <f t="shared" si="15"/>
        <v>-417</v>
      </c>
      <c r="O102" s="75">
        <f t="shared" si="16"/>
        <v>-42.121212121212118</v>
      </c>
      <c r="P102" s="75">
        <f>VLOOKUP($A102,'Data Vlaue (Cr)'!$C:$FB,119)</f>
        <v>0.76</v>
      </c>
      <c r="Q102" s="75">
        <f>VLOOKUP($A102,'Data Vlaue (Cr)'!$C:$FB,122)*100</f>
        <v>26.669999999999998</v>
      </c>
      <c r="R102" s="75">
        <f>VLOOKUP($A102,'Data Vlaue (Cr)'!$C:$FB,125)</f>
        <v>0.3</v>
      </c>
      <c r="S102" s="75">
        <f>VLOOKUP($A102,'Data Vlaue (Cr)'!$C:$FB,128)*100</f>
        <v>-23.080000000000002</v>
      </c>
    </row>
    <row r="103" spans="1:19" x14ac:dyDescent="0.25">
      <c r="A103" s="96" t="str">
        <f>'Data Vlaue (Cr)'!C94</f>
        <v>INDHOTEL</v>
      </c>
      <c r="B103" s="75">
        <f>VLOOKUP($A103,'Data Vlaue (Cr)'!$C:$FB,2)</f>
        <v>1000</v>
      </c>
      <c r="C103" s="75">
        <f>VLOOKUP($A103,'Data Vlaue (Cr)'!$C:$FB,8)</f>
        <v>657.15</v>
      </c>
      <c r="D103" s="75">
        <f>VLOOKUP($A103,'Data Vlaue (Cr)'!$C:$FB,4)</f>
        <v>659.3</v>
      </c>
      <c r="E103" s="75">
        <f>VLOOKUP($A103,'Data Vlaue (Cr)'!$C:$FB,5)</f>
        <v>665.15</v>
      </c>
      <c r="F103" s="75">
        <f t="shared" si="9"/>
        <v>2.1499999999999773</v>
      </c>
      <c r="G103" s="75">
        <f t="shared" si="10"/>
        <v>-0.88730471712422621</v>
      </c>
      <c r="H103" s="75">
        <f>VLOOKUP($A103,'Data Vlaue (Cr)'!$C:$FB,99)</f>
        <v>1953</v>
      </c>
      <c r="I103" s="75">
        <f>VLOOKUP($A103,'Data Vlaue (Cr)'!$C:$FB,100)</f>
        <v>2386</v>
      </c>
      <c r="J103" s="75">
        <f t="shared" si="11"/>
        <v>-433</v>
      </c>
      <c r="K103" s="75">
        <f t="shared" si="12"/>
        <v>-22.171018945212492</v>
      </c>
      <c r="L103" s="75">
        <f>VLOOKUP($A103,'Data Vlaue (Cr)'!$C:$FB,67)</f>
        <v>932</v>
      </c>
      <c r="M103" s="75">
        <f>VLOOKUP($A103,'Data Vlaue (Cr)'!$C:$FB,68)</f>
        <v>1514</v>
      </c>
      <c r="N103" s="75">
        <f t="shared" si="15"/>
        <v>-582</v>
      </c>
      <c r="O103" s="75">
        <f t="shared" si="16"/>
        <v>-62.446351931330469</v>
      </c>
      <c r="P103" s="75">
        <f>VLOOKUP($A103,'Data Vlaue (Cr)'!$C:$FB,119)</f>
        <v>1.08</v>
      </c>
      <c r="Q103" s="75">
        <f>VLOOKUP($A103,'Data Vlaue (Cr)'!$C:$FB,122)*100</f>
        <v>27.060000000000002</v>
      </c>
      <c r="R103" s="75">
        <f>VLOOKUP($A103,'Data Vlaue (Cr)'!$C:$FB,125)</f>
        <v>0.57999999999999996</v>
      </c>
      <c r="S103" s="75">
        <f>VLOOKUP($A103,'Data Vlaue (Cr)'!$C:$FB,128)*100</f>
        <v>-14.71</v>
      </c>
    </row>
    <row r="104" spans="1:19" x14ac:dyDescent="0.25">
      <c r="A104" s="96" t="str">
        <f>'Data Vlaue (Cr)'!C95</f>
        <v>INDIANB</v>
      </c>
      <c r="B104" s="75">
        <f>VLOOKUP($A104,'Data Vlaue (Cr)'!$C:$FB,2)</f>
        <v>1000</v>
      </c>
      <c r="C104" s="75">
        <f>VLOOKUP($A104,'Data Vlaue (Cr)'!$C:$FB,8)</f>
        <v>833.55</v>
      </c>
      <c r="D104" s="75">
        <f>VLOOKUP($A104,'Data Vlaue (Cr)'!$C:$FB,4)</f>
        <v>838.05</v>
      </c>
      <c r="E104" s="75">
        <f>VLOOKUP($A104,'Data Vlaue (Cr)'!$C:$FB,5)</f>
        <v>843.65</v>
      </c>
      <c r="F104" s="75">
        <f t="shared" si="9"/>
        <v>4.5</v>
      </c>
      <c r="G104" s="75">
        <f t="shared" si="10"/>
        <v>-0.66821788676093585</v>
      </c>
      <c r="H104" s="75">
        <f>VLOOKUP($A104,'Data Vlaue (Cr)'!$C:$FB,99)</f>
        <v>1269</v>
      </c>
      <c r="I104" s="75">
        <f>VLOOKUP($A104,'Data Vlaue (Cr)'!$C:$FB,100)</f>
        <v>1931</v>
      </c>
      <c r="J104" s="75">
        <f t="shared" si="11"/>
        <v>-662</v>
      </c>
      <c r="K104" s="75">
        <f t="shared" si="12"/>
        <v>-52.16706067769897</v>
      </c>
      <c r="L104" s="75">
        <f>VLOOKUP($A104,'Data Vlaue (Cr)'!$C:$FB,67)</f>
        <v>1061</v>
      </c>
      <c r="M104" s="75">
        <f>VLOOKUP($A104,'Data Vlaue (Cr)'!$C:$FB,68)</f>
        <v>1925</v>
      </c>
      <c r="N104" s="75">
        <f t="shared" si="15"/>
        <v>-864</v>
      </c>
      <c r="O104" s="75">
        <f t="shared" si="16"/>
        <v>-81.432610744580586</v>
      </c>
      <c r="P104" s="75">
        <f>VLOOKUP($A104,'Data Vlaue (Cr)'!$C:$FB,119)</f>
        <v>0.85</v>
      </c>
      <c r="Q104" s="75">
        <f>VLOOKUP($A104,'Data Vlaue (Cr)'!$C:$FB,122)*100</f>
        <v>25</v>
      </c>
      <c r="R104" s="75">
        <f>VLOOKUP($A104,'Data Vlaue (Cr)'!$C:$FB,125)</f>
        <v>0.53</v>
      </c>
      <c r="S104" s="75">
        <f>VLOOKUP($A104,'Data Vlaue (Cr)'!$C:$FB,128)*100</f>
        <v>32.5</v>
      </c>
    </row>
    <row r="105" spans="1:19" x14ac:dyDescent="0.25">
      <c r="A105" s="96" t="str">
        <f>'Data Vlaue (Cr)'!C96</f>
        <v>INDIAVIX</v>
      </c>
      <c r="B105" s="75">
        <f>VLOOKUP($A105,'Data Vlaue (Cr)'!$C:$FB,2)</f>
        <v>1</v>
      </c>
      <c r="C105" s="75">
        <f>VLOOKUP($A105,'Data Vlaue (Cr)'!$C:$FB,8)</f>
        <v>16.13</v>
      </c>
      <c r="D105" s="75">
        <f>VLOOKUP($A105,'Data Vlaue (Cr)'!$C:$FB,4)</f>
        <v>0</v>
      </c>
      <c r="E105" s="75">
        <f>VLOOKUP($A105,'Data Vlaue (Cr)'!$C:$FB,5)</f>
        <v>0</v>
      </c>
      <c r="F105" s="75">
        <f t="shared" si="9"/>
        <v>-16.13</v>
      </c>
      <c r="G105" s="75" t="e">
        <f t="shared" si="10"/>
        <v>#DIV/0!</v>
      </c>
      <c r="H105" s="75">
        <f>VLOOKUP($A105,'Data Vlaue (Cr)'!$C:$FB,99)</f>
        <v>0</v>
      </c>
      <c r="I105" s="75">
        <f>VLOOKUP($A105,'Data Vlaue (Cr)'!$C:$FB,100)</f>
        <v>0</v>
      </c>
      <c r="J105" s="75">
        <f t="shared" si="11"/>
        <v>0</v>
      </c>
      <c r="K105" s="75" t="e">
        <f t="shared" si="12"/>
        <v>#DIV/0!</v>
      </c>
      <c r="L105" s="75">
        <f>VLOOKUP($A105,'Data Vlaue (Cr)'!$C:$FB,67)</f>
        <v>0</v>
      </c>
      <c r="M105" s="75">
        <f>VLOOKUP($A105,'Data Vlaue (Cr)'!$C:$FB,68)</f>
        <v>0</v>
      </c>
      <c r="N105" s="75">
        <f t="shared" si="15"/>
        <v>0</v>
      </c>
      <c r="O105" s="75" t="e">
        <f t="shared" si="16"/>
        <v>#DIV/0!</v>
      </c>
      <c r="P105" s="75">
        <f>VLOOKUP($A105,'Data Vlaue (Cr)'!$C:$FB,119)</f>
        <v>0</v>
      </c>
      <c r="Q105" s="75">
        <f>VLOOKUP($A105,'Data Vlaue (Cr)'!$C:$FB,122)*100</f>
        <v>0</v>
      </c>
      <c r="R105" s="75">
        <f>VLOOKUP($A105,'Data Vlaue (Cr)'!$C:$FB,125)</f>
        <v>0</v>
      </c>
      <c r="S105" s="75">
        <f>VLOOKUP($A105,'Data Vlaue (Cr)'!$C:$FB,128)*100</f>
        <v>0</v>
      </c>
    </row>
    <row r="106" spans="1:19" x14ac:dyDescent="0.25">
      <c r="A106" s="96" t="str">
        <f>'Data Vlaue (Cr)'!C97</f>
        <v>INDIGO</v>
      </c>
      <c r="B106" s="75">
        <f>VLOOKUP($A106,'Data Vlaue (Cr)'!$C:$FB,2)</f>
        <v>150</v>
      </c>
      <c r="C106" s="75">
        <f>VLOOKUP($A106,'Data Vlaue (Cr)'!$C:$FB,8)</f>
        <v>4480.8</v>
      </c>
      <c r="D106" s="75">
        <f>VLOOKUP($A106,'Data Vlaue (Cr)'!$C:$FB,4)</f>
        <v>4507.3</v>
      </c>
      <c r="E106" s="75">
        <f>VLOOKUP($A106,'Data Vlaue (Cr)'!$C:$FB,5)</f>
        <v>4518</v>
      </c>
      <c r="F106" s="75">
        <f t="shared" si="9"/>
        <v>26.5</v>
      </c>
      <c r="G106" s="75">
        <f t="shared" si="10"/>
        <v>-0.23739267410644549</v>
      </c>
      <c r="H106" s="75">
        <f>VLOOKUP($A106,'Data Vlaue (Cr)'!$C:$FB,99)</f>
        <v>4671</v>
      </c>
      <c r="I106" s="75">
        <f>VLOOKUP($A106,'Data Vlaue (Cr)'!$C:$FB,100)</f>
        <v>7879</v>
      </c>
      <c r="J106" s="75">
        <f t="shared" si="11"/>
        <v>-3208</v>
      </c>
      <c r="K106" s="75">
        <f t="shared" si="12"/>
        <v>-68.679083707985441</v>
      </c>
      <c r="L106" s="75">
        <f>VLOOKUP($A106,'Data Vlaue (Cr)'!$C:$FB,67)</f>
        <v>7235</v>
      </c>
      <c r="M106" s="75">
        <f>VLOOKUP($A106,'Data Vlaue (Cr)'!$C:$FB,68)</f>
        <v>25131</v>
      </c>
      <c r="N106" s="75">
        <f t="shared" si="15"/>
        <v>-17896</v>
      </c>
      <c r="O106" s="75">
        <f t="shared" si="16"/>
        <v>-247.35314443676572</v>
      </c>
      <c r="P106" s="75">
        <f>VLOOKUP($A106,'Data Vlaue (Cr)'!$C:$FB,119)</f>
        <v>0.97</v>
      </c>
      <c r="Q106" s="75">
        <f>VLOOKUP($A106,'Data Vlaue (Cr)'!$C:$FB,122)*100</f>
        <v>53.97</v>
      </c>
      <c r="R106" s="75">
        <f>VLOOKUP($A106,'Data Vlaue (Cr)'!$C:$FB,125)</f>
        <v>0.64</v>
      </c>
      <c r="S106" s="75">
        <f>VLOOKUP($A106,'Data Vlaue (Cr)'!$C:$FB,128)*100</f>
        <v>-53.959999999999994</v>
      </c>
    </row>
    <row r="107" spans="1:19" x14ac:dyDescent="0.25">
      <c r="A107" s="96" t="str">
        <f>'Data Vlaue (Cr)'!C98</f>
        <v>INDUSINDBK</v>
      </c>
      <c r="B107" s="75">
        <f>VLOOKUP($A107,'Data Vlaue (Cr)'!$C:$FB,2)</f>
        <v>700</v>
      </c>
      <c r="C107" s="75">
        <f>VLOOKUP($A107,'Data Vlaue (Cr)'!$C:$FB,8)</f>
        <v>932.3</v>
      </c>
      <c r="D107" s="75">
        <f>VLOOKUP($A107,'Data Vlaue (Cr)'!$C:$FB,4)</f>
        <v>937.35</v>
      </c>
      <c r="E107" s="75">
        <f>VLOOKUP($A107,'Data Vlaue (Cr)'!$C:$FB,5)</f>
        <v>930.55</v>
      </c>
      <c r="F107" s="75">
        <f t="shared" si="9"/>
        <v>5.0500000000000682</v>
      </c>
      <c r="G107" s="75">
        <f t="shared" si="10"/>
        <v>0.72544940523817869</v>
      </c>
      <c r="H107" s="75">
        <f>VLOOKUP($A107,'Data Vlaue (Cr)'!$C:$FB,99)</f>
        <v>3888</v>
      </c>
      <c r="I107" s="75">
        <f>VLOOKUP($A107,'Data Vlaue (Cr)'!$C:$FB,100)</f>
        <v>4679</v>
      </c>
      <c r="J107" s="75">
        <f t="shared" si="11"/>
        <v>-791</v>
      </c>
      <c r="K107" s="75">
        <f t="shared" ref="K107:K138" si="17">J107/H107*100</f>
        <v>-20.344650205761315</v>
      </c>
      <c r="L107" s="75">
        <f>VLOOKUP($A107,'Data Vlaue (Cr)'!$C:$FB,67)</f>
        <v>1537</v>
      </c>
      <c r="M107" s="75">
        <f>VLOOKUP($A107,'Data Vlaue (Cr)'!$C:$FB,68)</f>
        <v>3399</v>
      </c>
      <c r="N107" s="75">
        <f t="shared" si="15"/>
        <v>-1862</v>
      </c>
      <c r="O107" s="75">
        <f t="shared" si="16"/>
        <v>-121.14508783344178</v>
      </c>
      <c r="P107" s="75">
        <f>VLOOKUP($A107,'Data Vlaue (Cr)'!$C:$FB,119)</f>
        <v>1.03</v>
      </c>
      <c r="Q107" s="75">
        <f>VLOOKUP($A107,'Data Vlaue (Cr)'!$C:$FB,122)*100</f>
        <v>27.16</v>
      </c>
      <c r="R107" s="75">
        <f>VLOOKUP($A107,'Data Vlaue (Cr)'!$C:$FB,125)</f>
        <v>0.6</v>
      </c>
      <c r="S107" s="75">
        <f>VLOOKUP($A107,'Data Vlaue (Cr)'!$C:$FB,128)*100</f>
        <v>5.26</v>
      </c>
    </row>
    <row r="108" spans="1:19" x14ac:dyDescent="0.25">
      <c r="A108" s="96" t="str">
        <f>'Data Vlaue (Cr)'!C99</f>
        <v>INDUSTOWER</v>
      </c>
      <c r="B108" s="75">
        <f>VLOOKUP($A108,'Data Vlaue (Cr)'!$C:$FB,2)</f>
        <v>1700</v>
      </c>
      <c r="C108" s="75">
        <f>VLOOKUP($A108,'Data Vlaue (Cr)'!$C:$FB,8)</f>
        <v>433.25</v>
      </c>
      <c r="D108" s="75">
        <f>VLOOKUP($A108,'Data Vlaue (Cr)'!$C:$FB,4)</f>
        <v>437.05</v>
      </c>
      <c r="E108" s="75">
        <f>VLOOKUP($A108,'Data Vlaue (Cr)'!$C:$FB,5)</f>
        <v>442.55</v>
      </c>
      <c r="F108" s="75">
        <f t="shared" si="9"/>
        <v>3.8000000000000114</v>
      </c>
      <c r="G108" s="75">
        <f t="shared" si="10"/>
        <v>-1.2584372497425924</v>
      </c>
      <c r="H108" s="75">
        <f>VLOOKUP($A108,'Data Vlaue (Cr)'!$C:$FB,99)</f>
        <v>5356</v>
      </c>
      <c r="I108" s="75">
        <f>VLOOKUP($A108,'Data Vlaue (Cr)'!$C:$FB,100)</f>
        <v>6690</v>
      </c>
      <c r="J108" s="75">
        <f t="shared" si="11"/>
        <v>-1334</v>
      </c>
      <c r="K108" s="75">
        <f t="shared" si="17"/>
        <v>-24.906646751306948</v>
      </c>
      <c r="L108" s="75">
        <f>VLOOKUP($A108,'Data Vlaue (Cr)'!$C:$FB,67)</f>
        <v>4686</v>
      </c>
      <c r="M108" s="75">
        <f>VLOOKUP($A108,'Data Vlaue (Cr)'!$C:$FB,68)</f>
        <v>3926</v>
      </c>
      <c r="N108" s="75">
        <f t="shared" si="15"/>
        <v>760</v>
      </c>
      <c r="O108" s="75">
        <f t="shared" si="16"/>
        <v>16.218523260776781</v>
      </c>
      <c r="P108" s="75">
        <f>VLOOKUP($A108,'Data Vlaue (Cr)'!$C:$FB,119)</f>
        <v>1.06</v>
      </c>
      <c r="Q108" s="75">
        <f>VLOOKUP($A108,'Data Vlaue (Cr)'!$C:$FB,122)*100</f>
        <v>16.48</v>
      </c>
      <c r="R108" s="75">
        <f>VLOOKUP($A108,'Data Vlaue (Cr)'!$C:$FB,125)</f>
        <v>0.5</v>
      </c>
      <c r="S108" s="75">
        <f>VLOOKUP($A108,'Data Vlaue (Cr)'!$C:$FB,128)*100</f>
        <v>2.04</v>
      </c>
    </row>
    <row r="109" spans="1:19" x14ac:dyDescent="0.25">
      <c r="A109" s="96" t="str">
        <f>'Data Vlaue (Cr)'!C100</f>
        <v>INFY</v>
      </c>
      <c r="B109" s="75">
        <f>VLOOKUP($A109,'Data Vlaue (Cr)'!$C:$FB,2)</f>
        <v>400</v>
      </c>
      <c r="C109" s="75">
        <f>VLOOKUP($A109,'Data Vlaue (Cr)'!$C:$FB,8)</f>
        <v>1167.7</v>
      </c>
      <c r="D109" s="75">
        <f>VLOOKUP($A109,'Data Vlaue (Cr)'!$C:$FB,4)</f>
        <v>1166</v>
      </c>
      <c r="E109" s="75">
        <f>VLOOKUP($A109,'Data Vlaue (Cr)'!$C:$FB,5)</f>
        <v>1158.5999999999999</v>
      </c>
      <c r="F109" s="75">
        <f t="shared" si="9"/>
        <v>-1.7000000000000455</v>
      </c>
      <c r="G109" s="75">
        <f t="shared" si="10"/>
        <v>0.63464837049743483</v>
      </c>
      <c r="H109" s="75">
        <f>VLOOKUP($A109,'Data Vlaue (Cr)'!$C:$FB,99)</f>
        <v>13712</v>
      </c>
      <c r="I109" s="75">
        <f>VLOOKUP($A109,'Data Vlaue (Cr)'!$C:$FB,100)</f>
        <v>19098</v>
      </c>
      <c r="J109" s="75">
        <f t="shared" si="11"/>
        <v>-5386</v>
      </c>
      <c r="K109" s="75">
        <f t="shared" si="17"/>
        <v>-39.279463243873977</v>
      </c>
      <c r="L109" s="75">
        <f>VLOOKUP($A109,'Data Vlaue (Cr)'!$C:$FB,67)</f>
        <v>8661</v>
      </c>
      <c r="M109" s="75">
        <f>VLOOKUP($A109,'Data Vlaue (Cr)'!$C:$FB,68)</f>
        <v>15669</v>
      </c>
      <c r="N109" s="75">
        <f t="shared" si="15"/>
        <v>-7008</v>
      </c>
      <c r="O109" s="75">
        <f t="shared" si="16"/>
        <v>-80.91444405957742</v>
      </c>
      <c r="P109" s="75">
        <f>VLOOKUP($A109,'Data Vlaue (Cr)'!$C:$FB,119)</f>
        <v>0.91</v>
      </c>
      <c r="Q109" s="75">
        <f>VLOOKUP($A109,'Data Vlaue (Cr)'!$C:$FB,122)*100</f>
        <v>35.82</v>
      </c>
      <c r="R109" s="75">
        <f>VLOOKUP($A109,'Data Vlaue (Cr)'!$C:$FB,125)</f>
        <v>0.6</v>
      </c>
      <c r="S109" s="75">
        <f>VLOOKUP($A109,'Data Vlaue (Cr)'!$C:$FB,128)*100</f>
        <v>-1.6400000000000001</v>
      </c>
    </row>
    <row r="110" spans="1:19" x14ac:dyDescent="0.25">
      <c r="A110" s="96" t="str">
        <f>'Data Vlaue (Cr)'!C101</f>
        <v>INOXWIND</v>
      </c>
      <c r="B110" s="75">
        <f>VLOOKUP($A110,'Data Vlaue (Cr)'!$C:$FB,2)</f>
        <v>3575</v>
      </c>
      <c r="C110" s="75">
        <f>VLOOKUP($A110,'Data Vlaue (Cr)'!$C:$FB,8)</f>
        <v>96.22</v>
      </c>
      <c r="D110" s="75">
        <f>VLOOKUP($A110,'Data Vlaue (Cr)'!$C:$FB,4)</f>
        <v>96.95</v>
      </c>
      <c r="E110" s="75">
        <f>VLOOKUP($A110,'Data Vlaue (Cr)'!$C:$FB,5)</f>
        <v>97.79</v>
      </c>
      <c r="F110" s="75">
        <f t="shared" si="9"/>
        <v>0.73000000000000398</v>
      </c>
      <c r="G110" s="75">
        <f t="shared" si="10"/>
        <v>-0.86642599277978682</v>
      </c>
      <c r="H110" s="75">
        <f>VLOOKUP($A110,'Data Vlaue (Cr)'!$C:$FB,99)</f>
        <v>966</v>
      </c>
      <c r="I110" s="75">
        <f>VLOOKUP($A110,'Data Vlaue (Cr)'!$C:$FB,100)</f>
        <v>1227</v>
      </c>
      <c r="J110" s="75">
        <f t="shared" si="11"/>
        <v>-261</v>
      </c>
      <c r="K110" s="75">
        <f t="shared" si="17"/>
        <v>-27.018633540372672</v>
      </c>
      <c r="L110" s="75">
        <f>VLOOKUP($A110,'Data Vlaue (Cr)'!$C:$FB,67)</f>
        <v>1174</v>
      </c>
      <c r="M110" s="75">
        <f>VLOOKUP($A110,'Data Vlaue (Cr)'!$C:$FB,68)</f>
        <v>1119</v>
      </c>
      <c r="N110" s="75">
        <f t="shared" si="15"/>
        <v>55</v>
      </c>
      <c r="O110" s="75">
        <f t="shared" si="16"/>
        <v>4.6848381601362865</v>
      </c>
      <c r="P110" s="75">
        <f>VLOOKUP($A110,'Data Vlaue (Cr)'!$C:$FB,119)</f>
        <v>0.48</v>
      </c>
      <c r="Q110" s="75">
        <f>VLOOKUP($A110,'Data Vlaue (Cr)'!$C:$FB,122)*100</f>
        <v>6.67</v>
      </c>
      <c r="R110" s="75">
        <f>VLOOKUP($A110,'Data Vlaue (Cr)'!$C:$FB,125)</f>
        <v>0.23</v>
      </c>
      <c r="S110" s="75">
        <f>VLOOKUP($A110,'Data Vlaue (Cr)'!$C:$FB,128)*100</f>
        <v>-36.11</v>
      </c>
    </row>
    <row r="111" spans="1:19" x14ac:dyDescent="0.25">
      <c r="A111" s="96" t="str">
        <f>'Data Vlaue (Cr)'!C102</f>
        <v>IOC</v>
      </c>
      <c r="B111" s="75">
        <f>VLOOKUP($A111,'Data Vlaue (Cr)'!$C:$FB,2)</f>
        <v>4875</v>
      </c>
      <c r="C111" s="75">
        <f>VLOOKUP($A111,'Data Vlaue (Cr)'!$C:$FB,8)</f>
        <v>142.38</v>
      </c>
      <c r="D111" s="75">
        <f>VLOOKUP($A111,'Data Vlaue (Cr)'!$C:$FB,4)</f>
        <v>143.44</v>
      </c>
      <c r="E111" s="75">
        <f>VLOOKUP($A111,'Data Vlaue (Cr)'!$C:$FB,5)</f>
        <v>145.12</v>
      </c>
      <c r="F111" s="75">
        <f t="shared" si="9"/>
        <v>1.0600000000000023</v>
      </c>
      <c r="G111" s="75">
        <f t="shared" si="10"/>
        <v>-1.1712214166201944</v>
      </c>
      <c r="H111" s="75">
        <f>VLOOKUP($A111,'Data Vlaue (Cr)'!$C:$FB,99)</f>
        <v>2314</v>
      </c>
      <c r="I111" s="75">
        <f>VLOOKUP($A111,'Data Vlaue (Cr)'!$C:$FB,100)</f>
        <v>3161</v>
      </c>
      <c r="J111" s="75">
        <f t="shared" si="11"/>
        <v>-847</v>
      </c>
      <c r="K111" s="75">
        <f t="shared" si="17"/>
        <v>-36.603284356093347</v>
      </c>
      <c r="L111" s="75">
        <f>VLOOKUP($A111,'Data Vlaue (Cr)'!$C:$FB,67)</f>
        <v>1821</v>
      </c>
      <c r="M111" s="75">
        <f>VLOOKUP($A111,'Data Vlaue (Cr)'!$C:$FB,68)</f>
        <v>4298</v>
      </c>
      <c r="N111" s="75">
        <f t="shared" si="15"/>
        <v>-2477</v>
      </c>
      <c r="O111" s="75">
        <f t="shared" si="16"/>
        <v>-136.02416254805053</v>
      </c>
      <c r="P111" s="75">
        <f>VLOOKUP($A111,'Data Vlaue (Cr)'!$C:$FB,119)</f>
        <v>0.98</v>
      </c>
      <c r="Q111" s="75">
        <f>VLOOKUP($A111,'Data Vlaue (Cr)'!$C:$FB,122)*100</f>
        <v>28.95</v>
      </c>
      <c r="R111" s="75">
        <f>VLOOKUP($A111,'Data Vlaue (Cr)'!$C:$FB,125)</f>
        <v>0.73</v>
      </c>
      <c r="S111" s="75">
        <f>VLOOKUP($A111,'Data Vlaue (Cr)'!$C:$FB,128)*100</f>
        <v>32.729999999999997</v>
      </c>
    </row>
    <row r="112" spans="1:19" x14ac:dyDescent="0.25">
      <c r="A112" s="96" t="str">
        <f>'Data Vlaue (Cr)'!C103</f>
        <v>IREDA</v>
      </c>
      <c r="B112" s="75">
        <f>VLOOKUP($A112,'Data Vlaue (Cr)'!$C:$FB,2)</f>
        <v>3450</v>
      </c>
      <c r="C112" s="75">
        <f>VLOOKUP($A112,'Data Vlaue (Cr)'!$C:$FB,8)</f>
        <v>129.54</v>
      </c>
      <c r="D112" s="75">
        <f>VLOOKUP($A112,'Data Vlaue (Cr)'!$C:$FB,4)</f>
        <v>127.33</v>
      </c>
      <c r="E112" s="75">
        <f>VLOOKUP($A112,'Data Vlaue (Cr)'!$C:$FB,5)</f>
        <v>126.77</v>
      </c>
      <c r="F112" s="75">
        <f t="shared" si="9"/>
        <v>-2.2099999999999937</v>
      </c>
      <c r="G112" s="75">
        <f t="shared" si="10"/>
        <v>0.43980208905992479</v>
      </c>
      <c r="H112" s="75">
        <f>VLOOKUP($A112,'Data Vlaue (Cr)'!$C:$FB,99)</f>
        <v>916</v>
      </c>
      <c r="I112" s="75">
        <f>VLOOKUP($A112,'Data Vlaue (Cr)'!$C:$FB,100)</f>
        <v>1226</v>
      </c>
      <c r="J112" s="75">
        <f t="shared" si="11"/>
        <v>-310</v>
      </c>
      <c r="K112" s="75">
        <f t="shared" si="17"/>
        <v>-33.842794759825331</v>
      </c>
      <c r="L112" s="75">
        <f>VLOOKUP($A112,'Data Vlaue (Cr)'!$C:$FB,67)</f>
        <v>472</v>
      </c>
      <c r="M112" s="75">
        <f>VLOOKUP($A112,'Data Vlaue (Cr)'!$C:$FB,68)</f>
        <v>1091</v>
      </c>
      <c r="N112" s="75">
        <f t="shared" si="15"/>
        <v>-619</v>
      </c>
      <c r="O112" s="75">
        <f t="shared" si="16"/>
        <v>-131.14406779661016</v>
      </c>
      <c r="P112" s="75">
        <f>VLOOKUP($A112,'Data Vlaue (Cr)'!$C:$FB,119)</f>
        <v>0.9</v>
      </c>
      <c r="Q112" s="75">
        <f>VLOOKUP($A112,'Data Vlaue (Cr)'!$C:$FB,122)*100</f>
        <v>23.29</v>
      </c>
      <c r="R112" s="75">
        <f>VLOOKUP($A112,'Data Vlaue (Cr)'!$C:$FB,125)</f>
        <v>0.5</v>
      </c>
      <c r="S112" s="75">
        <f>VLOOKUP($A112,'Data Vlaue (Cr)'!$C:$FB,128)*100</f>
        <v>11.110000000000001</v>
      </c>
    </row>
    <row r="113" spans="1:19" x14ac:dyDescent="0.25">
      <c r="A113" s="96" t="str">
        <f>'Data Vlaue (Cr)'!C104</f>
        <v>IRFC</v>
      </c>
      <c r="B113" s="75">
        <f>VLOOKUP($A113,'Data Vlaue (Cr)'!$C:$FB,2)</f>
        <v>4250</v>
      </c>
      <c r="C113" s="75">
        <f>VLOOKUP($A113,'Data Vlaue (Cr)'!$C:$FB,8)</f>
        <v>99.28</v>
      </c>
      <c r="D113" s="75">
        <f>VLOOKUP($A113,'Data Vlaue (Cr)'!$C:$FB,4)</f>
        <v>98.64</v>
      </c>
      <c r="E113" s="75">
        <f>VLOOKUP($A113,'Data Vlaue (Cr)'!$C:$FB,5)</f>
        <v>100.42</v>
      </c>
      <c r="F113" s="75">
        <f t="shared" si="9"/>
        <v>-0.64000000000000057</v>
      </c>
      <c r="G113" s="75">
        <f t="shared" si="10"/>
        <v>-1.8045417680454188</v>
      </c>
      <c r="H113" s="75">
        <f>VLOOKUP($A113,'Data Vlaue (Cr)'!$C:$FB,99)</f>
        <v>971</v>
      </c>
      <c r="I113" s="75">
        <f>VLOOKUP($A113,'Data Vlaue (Cr)'!$C:$FB,100)</f>
        <v>1358</v>
      </c>
      <c r="J113" s="75">
        <f t="shared" si="11"/>
        <v>-387</v>
      </c>
      <c r="K113" s="75">
        <f t="shared" si="17"/>
        <v>-39.85581874356334</v>
      </c>
      <c r="L113" s="75">
        <f>VLOOKUP($A113,'Data Vlaue (Cr)'!$C:$FB,67)</f>
        <v>798</v>
      </c>
      <c r="M113" s="75">
        <f>VLOOKUP($A113,'Data Vlaue (Cr)'!$C:$FB,68)</f>
        <v>1293</v>
      </c>
      <c r="N113" s="75">
        <f t="shared" si="15"/>
        <v>-495</v>
      </c>
      <c r="O113" s="75">
        <f t="shared" si="16"/>
        <v>-62.030075187969928</v>
      </c>
      <c r="P113" s="75">
        <f>VLOOKUP($A113,'Data Vlaue (Cr)'!$C:$FB,119)</f>
        <v>0.88</v>
      </c>
      <c r="Q113" s="75">
        <f>VLOOKUP($A113,'Data Vlaue (Cr)'!$C:$FB,122)*100</f>
        <v>23.94</v>
      </c>
      <c r="R113" s="75">
        <f>VLOOKUP($A113,'Data Vlaue (Cr)'!$C:$FB,125)</f>
        <v>0.35</v>
      </c>
      <c r="S113" s="75">
        <f>VLOOKUP($A113,'Data Vlaue (Cr)'!$C:$FB,128)*100</f>
        <v>25</v>
      </c>
    </row>
    <row r="114" spans="1:19" x14ac:dyDescent="0.25">
      <c r="A114" s="96" t="str">
        <f>'Data Vlaue (Cr)'!C105</f>
        <v>ITC</v>
      </c>
      <c r="B114" s="75">
        <f>VLOOKUP($A114,'Data Vlaue (Cr)'!$C:$FB,2)</f>
        <v>1600</v>
      </c>
      <c r="C114" s="75">
        <f>VLOOKUP($A114,'Data Vlaue (Cr)'!$C:$FB,8)</f>
        <v>301.64999999999998</v>
      </c>
      <c r="D114" s="75">
        <f>VLOOKUP($A114,'Data Vlaue (Cr)'!$C:$FB,4)</f>
        <v>303.14999999999998</v>
      </c>
      <c r="E114" s="75">
        <f>VLOOKUP($A114,'Data Vlaue (Cr)'!$C:$FB,5)</f>
        <v>305.8</v>
      </c>
      <c r="F114" s="75">
        <f t="shared" si="9"/>
        <v>1.5</v>
      </c>
      <c r="G114" s="75">
        <f t="shared" si="10"/>
        <v>-0.87415470888999969</v>
      </c>
      <c r="H114" s="75">
        <f>VLOOKUP($A114,'Data Vlaue (Cr)'!$C:$FB,99)</f>
        <v>7459</v>
      </c>
      <c r="I114" s="75">
        <f>VLOOKUP($A114,'Data Vlaue (Cr)'!$C:$FB,100)</f>
        <v>11238</v>
      </c>
      <c r="J114" s="75">
        <f t="shared" si="11"/>
        <v>-3779</v>
      </c>
      <c r="K114" s="75">
        <f t="shared" si="17"/>
        <v>-50.663627832149082</v>
      </c>
      <c r="L114" s="75">
        <f>VLOOKUP($A114,'Data Vlaue (Cr)'!$C:$FB,67)</f>
        <v>5354</v>
      </c>
      <c r="M114" s="75">
        <f>VLOOKUP($A114,'Data Vlaue (Cr)'!$C:$FB,68)</f>
        <v>6367</v>
      </c>
      <c r="N114" s="75">
        <f t="shared" si="15"/>
        <v>-1013</v>
      </c>
      <c r="O114" s="75">
        <f t="shared" si="16"/>
        <v>-18.920433320881582</v>
      </c>
      <c r="P114" s="75">
        <f>VLOOKUP($A114,'Data Vlaue (Cr)'!$C:$FB,119)</f>
        <v>0.68</v>
      </c>
      <c r="Q114" s="75">
        <f>VLOOKUP($A114,'Data Vlaue (Cr)'!$C:$FB,122)*100</f>
        <v>94.289999999999992</v>
      </c>
      <c r="R114" s="75">
        <f>VLOOKUP($A114,'Data Vlaue (Cr)'!$C:$FB,125)</f>
        <v>0.64</v>
      </c>
      <c r="S114" s="75">
        <f>VLOOKUP($A114,'Data Vlaue (Cr)'!$C:$FB,128)*100</f>
        <v>6.67</v>
      </c>
    </row>
    <row r="115" spans="1:19" x14ac:dyDescent="0.25">
      <c r="A115" s="96" t="str">
        <f>'Data Vlaue (Cr)'!C106</f>
        <v>JINDALSTEL</v>
      </c>
      <c r="B115" s="75">
        <f>VLOOKUP($A115,'Data Vlaue (Cr)'!$C:$FB,2)</f>
        <v>625</v>
      </c>
      <c r="C115" s="75">
        <f>VLOOKUP($A115,'Data Vlaue (Cr)'!$C:$FB,8)</f>
        <v>1222.9000000000001</v>
      </c>
      <c r="D115" s="75">
        <f>VLOOKUP($A115,'Data Vlaue (Cr)'!$C:$FB,4)</f>
        <v>1232</v>
      </c>
      <c r="E115" s="75">
        <f>VLOOKUP($A115,'Data Vlaue (Cr)'!$C:$FB,5)</f>
        <v>1221.5999999999999</v>
      </c>
      <c r="F115" s="75">
        <f t="shared" si="9"/>
        <v>9.0999999999999091</v>
      </c>
      <c r="G115" s="75">
        <f t="shared" si="10"/>
        <v>0.84415584415585154</v>
      </c>
      <c r="H115" s="75">
        <f>VLOOKUP($A115,'Data Vlaue (Cr)'!$C:$FB,99)</f>
        <v>1734</v>
      </c>
      <c r="I115" s="75">
        <f>VLOOKUP($A115,'Data Vlaue (Cr)'!$C:$FB,100)</f>
        <v>2335</v>
      </c>
      <c r="J115" s="75">
        <f t="shared" si="11"/>
        <v>-601</v>
      </c>
      <c r="K115" s="75">
        <f t="shared" si="17"/>
        <v>-34.659746251441753</v>
      </c>
      <c r="L115" s="75">
        <f>VLOOKUP($A115,'Data Vlaue (Cr)'!$C:$FB,67)</f>
        <v>1591</v>
      </c>
      <c r="M115" s="75">
        <f>VLOOKUP($A115,'Data Vlaue (Cr)'!$C:$FB,68)</f>
        <v>1302</v>
      </c>
      <c r="N115" s="75">
        <f t="shared" si="15"/>
        <v>289</v>
      </c>
      <c r="O115" s="75">
        <f t="shared" si="16"/>
        <v>18.164676304211188</v>
      </c>
      <c r="P115" s="75">
        <f>VLOOKUP($A115,'Data Vlaue (Cr)'!$C:$FB,119)</f>
        <v>1.55</v>
      </c>
      <c r="Q115" s="75">
        <f>VLOOKUP($A115,'Data Vlaue (Cr)'!$C:$FB,122)*100</f>
        <v>106.67</v>
      </c>
      <c r="R115" s="75">
        <f>VLOOKUP($A115,'Data Vlaue (Cr)'!$C:$FB,125)</f>
        <v>0.51</v>
      </c>
      <c r="S115" s="75">
        <f>VLOOKUP($A115,'Data Vlaue (Cr)'!$C:$FB,128)*100</f>
        <v>-21.54</v>
      </c>
    </row>
    <row r="116" spans="1:19" x14ac:dyDescent="0.25">
      <c r="A116" s="96" t="str">
        <f>'Data Vlaue (Cr)'!C107</f>
        <v>JIOFIN</v>
      </c>
      <c r="B116" s="75">
        <f>VLOOKUP($A116,'Data Vlaue (Cr)'!$C:$FB,2)</f>
        <v>2350</v>
      </c>
      <c r="C116" s="75">
        <f>VLOOKUP($A116,'Data Vlaue (Cr)'!$C:$FB,8)</f>
        <v>240.67</v>
      </c>
      <c r="D116" s="75">
        <f>VLOOKUP($A116,'Data Vlaue (Cr)'!$C:$FB,4)</f>
        <v>242.09</v>
      </c>
      <c r="E116" s="75">
        <f>VLOOKUP($A116,'Data Vlaue (Cr)'!$C:$FB,5)</f>
        <v>243.37</v>
      </c>
      <c r="F116" s="75">
        <f t="shared" si="9"/>
        <v>1.4200000000000159</v>
      </c>
      <c r="G116" s="75">
        <f t="shared" si="10"/>
        <v>-0.52872898508819077</v>
      </c>
      <c r="H116" s="75">
        <f>VLOOKUP($A116,'Data Vlaue (Cr)'!$C:$FB,99)</f>
        <v>5437</v>
      </c>
      <c r="I116" s="75">
        <f>VLOOKUP($A116,'Data Vlaue (Cr)'!$C:$FB,100)</f>
        <v>6978</v>
      </c>
      <c r="J116" s="75">
        <f t="shared" si="11"/>
        <v>-1541</v>
      </c>
      <c r="K116" s="75">
        <f t="shared" si="17"/>
        <v>-28.342836122861868</v>
      </c>
      <c r="L116" s="75">
        <f>VLOOKUP($A116,'Data Vlaue (Cr)'!$C:$FB,67)</f>
        <v>3641</v>
      </c>
      <c r="M116" s="75">
        <f>VLOOKUP($A116,'Data Vlaue (Cr)'!$C:$FB,68)</f>
        <v>5405</v>
      </c>
      <c r="N116" s="75">
        <f t="shared" si="15"/>
        <v>-1764</v>
      </c>
      <c r="O116" s="75">
        <f t="shared" si="16"/>
        <v>-48.448228508651468</v>
      </c>
      <c r="P116" s="75">
        <f>VLOOKUP($A116,'Data Vlaue (Cr)'!$C:$FB,119)</f>
        <v>0.95</v>
      </c>
      <c r="Q116" s="75">
        <f>VLOOKUP($A116,'Data Vlaue (Cr)'!$C:$FB,122)*100</f>
        <v>30.14</v>
      </c>
      <c r="R116" s="75">
        <f>VLOOKUP($A116,'Data Vlaue (Cr)'!$C:$FB,125)</f>
        <v>0.57999999999999996</v>
      </c>
      <c r="S116" s="75">
        <f>VLOOKUP($A116,'Data Vlaue (Cr)'!$C:$FB,128)*100</f>
        <v>41.46</v>
      </c>
    </row>
    <row r="117" spans="1:19" x14ac:dyDescent="0.25">
      <c r="A117" s="96" t="str">
        <f>'Data Vlaue (Cr)'!C108</f>
        <v>JSWENERGY</v>
      </c>
      <c r="B117" s="75">
        <f>VLOOKUP($A117,'Data Vlaue (Cr)'!$C:$FB,2)</f>
        <v>1000</v>
      </c>
      <c r="C117" s="75">
        <f>VLOOKUP($A117,'Data Vlaue (Cr)'!$C:$FB,8)</f>
        <v>576</v>
      </c>
      <c r="D117" s="75">
        <f>VLOOKUP($A117,'Data Vlaue (Cr)'!$C:$FB,4)</f>
        <v>578.5</v>
      </c>
      <c r="E117" s="75">
        <f>VLOOKUP($A117,'Data Vlaue (Cr)'!$C:$FB,5)</f>
        <v>557.9</v>
      </c>
      <c r="F117" s="75">
        <f t="shared" si="9"/>
        <v>2.5</v>
      </c>
      <c r="G117" s="75">
        <f t="shared" si="10"/>
        <v>3.5609334485739019</v>
      </c>
      <c r="H117" s="75">
        <f>VLOOKUP($A117,'Data Vlaue (Cr)'!$C:$FB,99)</f>
        <v>1605</v>
      </c>
      <c r="I117" s="75">
        <f>VLOOKUP($A117,'Data Vlaue (Cr)'!$C:$FB,100)</f>
        <v>2367</v>
      </c>
      <c r="J117" s="75">
        <f t="shared" si="11"/>
        <v>-762</v>
      </c>
      <c r="K117" s="75">
        <f t="shared" si="17"/>
        <v>-47.476635514018689</v>
      </c>
      <c r="L117" s="75">
        <f>VLOOKUP($A117,'Data Vlaue (Cr)'!$C:$FB,67)</f>
        <v>3141</v>
      </c>
      <c r="M117" s="75">
        <f>VLOOKUP($A117,'Data Vlaue (Cr)'!$C:$FB,68)</f>
        <v>2519</v>
      </c>
      <c r="N117" s="75">
        <f t="shared" si="15"/>
        <v>622</v>
      </c>
      <c r="O117" s="75">
        <f t="shared" si="16"/>
        <v>19.802610633556192</v>
      </c>
      <c r="P117" s="75">
        <f>VLOOKUP($A117,'Data Vlaue (Cr)'!$C:$FB,119)</f>
        <v>0.7</v>
      </c>
      <c r="Q117" s="75">
        <f>VLOOKUP($A117,'Data Vlaue (Cr)'!$C:$FB,122)*100</f>
        <v>-11.39</v>
      </c>
      <c r="R117" s="75">
        <f>VLOOKUP($A117,'Data Vlaue (Cr)'!$C:$FB,125)</f>
        <v>0.28000000000000003</v>
      </c>
      <c r="S117" s="75">
        <f>VLOOKUP($A117,'Data Vlaue (Cr)'!$C:$FB,128)*100</f>
        <v>-50.88</v>
      </c>
    </row>
    <row r="118" spans="1:19" x14ac:dyDescent="0.25">
      <c r="A118" s="96" t="str">
        <f>'Data Vlaue (Cr)'!C109</f>
        <v>JSWSTEEL</v>
      </c>
      <c r="B118" s="75">
        <f>VLOOKUP($A118,'Data Vlaue (Cr)'!$C:$FB,2)</f>
        <v>675</v>
      </c>
      <c r="C118" s="75">
        <f>VLOOKUP($A118,'Data Vlaue (Cr)'!$C:$FB,8)</f>
        <v>1293.5999999999999</v>
      </c>
      <c r="D118" s="75">
        <f>VLOOKUP($A118,'Data Vlaue (Cr)'!$C:$FB,4)</f>
        <v>1301.2</v>
      </c>
      <c r="E118" s="75">
        <f>VLOOKUP($A118,'Data Vlaue (Cr)'!$C:$FB,5)</f>
        <v>1297.5999999999999</v>
      </c>
      <c r="F118" s="75">
        <f t="shared" si="9"/>
        <v>7.6000000000001364</v>
      </c>
      <c r="G118" s="75">
        <f t="shared" si="10"/>
        <v>0.27666769136183034</v>
      </c>
      <c r="H118" s="75">
        <f>VLOOKUP($A118,'Data Vlaue (Cr)'!$C:$FB,99)</f>
        <v>6170</v>
      </c>
      <c r="I118" s="75">
        <f>VLOOKUP($A118,'Data Vlaue (Cr)'!$C:$FB,100)</f>
        <v>7612</v>
      </c>
      <c r="J118" s="75">
        <f t="shared" si="11"/>
        <v>-1442</v>
      </c>
      <c r="K118" s="75">
        <f t="shared" si="17"/>
        <v>-23.371150729335493</v>
      </c>
      <c r="L118" s="75">
        <f>VLOOKUP($A118,'Data Vlaue (Cr)'!$C:$FB,67)</f>
        <v>2053</v>
      </c>
      <c r="M118" s="75">
        <f>VLOOKUP($A118,'Data Vlaue (Cr)'!$C:$FB,68)</f>
        <v>2918</v>
      </c>
      <c r="N118" s="75">
        <f t="shared" si="15"/>
        <v>-865</v>
      </c>
      <c r="O118" s="75">
        <f t="shared" si="16"/>
        <v>-42.133463224549438</v>
      </c>
      <c r="P118" s="75">
        <f>VLOOKUP($A118,'Data Vlaue (Cr)'!$C:$FB,119)</f>
        <v>0.69</v>
      </c>
      <c r="Q118" s="75">
        <f>VLOOKUP($A118,'Data Vlaue (Cr)'!$C:$FB,122)*100</f>
        <v>9.5200000000000014</v>
      </c>
      <c r="R118" s="75">
        <f>VLOOKUP($A118,'Data Vlaue (Cr)'!$C:$FB,125)</f>
        <v>0.47</v>
      </c>
      <c r="S118" s="75">
        <f>VLOOKUP($A118,'Data Vlaue (Cr)'!$C:$FB,128)*100</f>
        <v>23.68</v>
      </c>
    </row>
    <row r="119" spans="1:19" x14ac:dyDescent="0.25">
      <c r="A119" s="96" t="str">
        <f>'Data Vlaue (Cr)'!C110</f>
        <v>JUBLFOOD</v>
      </c>
      <c r="B119" s="75">
        <f>VLOOKUP($A119,'Data Vlaue (Cr)'!$C:$FB,2)</f>
        <v>1250</v>
      </c>
      <c r="C119" s="75">
        <f>VLOOKUP($A119,'Data Vlaue (Cr)'!$C:$FB,8)</f>
        <v>430.05</v>
      </c>
      <c r="D119" s="75">
        <f>VLOOKUP($A119,'Data Vlaue (Cr)'!$C:$FB,4)</f>
        <v>430.55</v>
      </c>
      <c r="E119" s="75">
        <f>VLOOKUP($A119,'Data Vlaue (Cr)'!$C:$FB,5)</f>
        <v>437.5</v>
      </c>
      <c r="F119" s="75">
        <f t="shared" si="9"/>
        <v>0.5</v>
      </c>
      <c r="G119" s="75">
        <f t="shared" si="10"/>
        <v>-1.6142143769597002</v>
      </c>
      <c r="H119" s="75">
        <f>VLOOKUP($A119,'Data Vlaue (Cr)'!$C:$FB,99)</f>
        <v>1908</v>
      </c>
      <c r="I119" s="75">
        <f>VLOOKUP($A119,'Data Vlaue (Cr)'!$C:$FB,100)</f>
        <v>2543</v>
      </c>
      <c r="J119" s="75">
        <f t="shared" si="11"/>
        <v>-635</v>
      </c>
      <c r="K119" s="75">
        <f t="shared" si="17"/>
        <v>-33.280922431865825</v>
      </c>
      <c r="L119" s="75">
        <f>VLOOKUP($A119,'Data Vlaue (Cr)'!$C:$FB,67)</f>
        <v>1336</v>
      </c>
      <c r="M119" s="75">
        <f>VLOOKUP($A119,'Data Vlaue (Cr)'!$C:$FB,68)</f>
        <v>2488</v>
      </c>
      <c r="N119" s="75">
        <f t="shared" si="15"/>
        <v>-1152</v>
      </c>
      <c r="O119" s="75">
        <f t="shared" si="16"/>
        <v>-86.227544910179645</v>
      </c>
      <c r="P119" s="75">
        <f>VLOOKUP($A119,'Data Vlaue (Cr)'!$C:$FB,119)</f>
        <v>0.79</v>
      </c>
      <c r="Q119" s="75">
        <f>VLOOKUP($A119,'Data Vlaue (Cr)'!$C:$FB,122)*100</f>
        <v>21.54</v>
      </c>
      <c r="R119" s="75">
        <f>VLOOKUP($A119,'Data Vlaue (Cr)'!$C:$FB,125)</f>
        <v>0.56000000000000005</v>
      </c>
      <c r="S119" s="75">
        <f>VLOOKUP($A119,'Data Vlaue (Cr)'!$C:$FB,128)*100</f>
        <v>80.650000000000006</v>
      </c>
    </row>
    <row r="120" spans="1:19" x14ac:dyDescent="0.25">
      <c r="A120" s="96" t="str">
        <f>'Data Vlaue (Cr)'!C111</f>
        <v>KALYANKJIL</v>
      </c>
      <c r="B120" s="75">
        <f>VLOOKUP($A120,'Data Vlaue (Cr)'!$C:$FB,2)</f>
        <v>1175</v>
      </c>
      <c r="C120" s="75">
        <f>VLOOKUP($A120,'Data Vlaue (Cr)'!$C:$FB,8)</f>
        <v>355.45</v>
      </c>
      <c r="D120" s="75">
        <f>VLOOKUP($A120,'Data Vlaue (Cr)'!$C:$FB,4)</f>
        <v>358.2</v>
      </c>
      <c r="E120" s="75">
        <f>VLOOKUP($A120,'Data Vlaue (Cr)'!$C:$FB,5)</f>
        <v>360.95</v>
      </c>
      <c r="F120" s="75">
        <f t="shared" si="9"/>
        <v>2.75</v>
      </c>
      <c r="G120" s="75">
        <f t="shared" si="10"/>
        <v>-0.76772752652149634</v>
      </c>
      <c r="H120" s="75">
        <f>VLOOKUP($A120,'Data Vlaue (Cr)'!$C:$FB,99)</f>
        <v>1559</v>
      </c>
      <c r="I120" s="75">
        <f>VLOOKUP($A120,'Data Vlaue (Cr)'!$C:$FB,100)</f>
        <v>2541</v>
      </c>
      <c r="J120" s="75">
        <f t="shared" si="11"/>
        <v>-982</v>
      </c>
      <c r="K120" s="75">
        <f t="shared" si="17"/>
        <v>-62.989095574085951</v>
      </c>
      <c r="L120" s="75">
        <f>VLOOKUP($A120,'Data Vlaue (Cr)'!$C:$FB,67)</f>
        <v>1204</v>
      </c>
      <c r="M120" s="75">
        <f>VLOOKUP($A120,'Data Vlaue (Cr)'!$C:$FB,68)</f>
        <v>2103</v>
      </c>
      <c r="N120" s="75">
        <f t="shared" si="15"/>
        <v>-899</v>
      </c>
      <c r="O120" s="75">
        <f t="shared" si="16"/>
        <v>-74.667774086378742</v>
      </c>
      <c r="P120" s="75">
        <f>VLOOKUP($A120,'Data Vlaue (Cr)'!$C:$FB,119)</f>
        <v>0.64</v>
      </c>
      <c r="Q120" s="75">
        <f>VLOOKUP($A120,'Data Vlaue (Cr)'!$C:$FB,122)*100</f>
        <v>16.36</v>
      </c>
      <c r="R120" s="75">
        <f>VLOOKUP($A120,'Data Vlaue (Cr)'!$C:$FB,125)</f>
        <v>0.45</v>
      </c>
      <c r="S120" s="75">
        <f>VLOOKUP($A120,'Data Vlaue (Cr)'!$C:$FB,128)*100</f>
        <v>-10</v>
      </c>
    </row>
    <row r="121" spans="1:19" x14ac:dyDescent="0.25">
      <c r="A121" s="96" t="str">
        <f>'Data Vlaue (Cr)'!C112</f>
        <v>KAYNES</v>
      </c>
      <c r="B121" s="75">
        <f>VLOOKUP($A121,'Data Vlaue (Cr)'!$C:$FB,2)</f>
        <v>100</v>
      </c>
      <c r="C121" s="75">
        <f>VLOOKUP($A121,'Data Vlaue (Cr)'!$C:$FB,8)</f>
        <v>3299</v>
      </c>
      <c r="D121" s="75">
        <f>VLOOKUP($A121,'Data Vlaue (Cr)'!$C:$FB,4)</f>
        <v>3212.1</v>
      </c>
      <c r="E121" s="75">
        <f>VLOOKUP($A121,'Data Vlaue (Cr)'!$C:$FB,5)</f>
        <v>3180.2</v>
      </c>
      <c r="F121" s="75">
        <f t="shared" si="9"/>
        <v>-86.900000000000091</v>
      </c>
      <c r="G121" s="75">
        <f t="shared" si="10"/>
        <v>0.99311976588524931</v>
      </c>
      <c r="H121" s="75">
        <f>VLOOKUP($A121,'Data Vlaue (Cr)'!$C:$FB,99)</f>
        <v>1815</v>
      </c>
      <c r="I121" s="75">
        <f>VLOOKUP($A121,'Data Vlaue (Cr)'!$C:$FB,100)</f>
        <v>2971</v>
      </c>
      <c r="J121" s="75">
        <f t="shared" si="11"/>
        <v>-1156</v>
      </c>
      <c r="K121" s="75">
        <f t="shared" si="17"/>
        <v>-63.691460055096414</v>
      </c>
      <c r="L121" s="75">
        <f>VLOOKUP($A121,'Data Vlaue (Cr)'!$C:$FB,67)</f>
        <v>5074</v>
      </c>
      <c r="M121" s="75">
        <f>VLOOKUP($A121,'Data Vlaue (Cr)'!$C:$FB,68)</f>
        <v>1074</v>
      </c>
      <c r="N121" s="75">
        <f t="shared" si="15"/>
        <v>4000</v>
      </c>
      <c r="O121" s="75">
        <f t="shared" si="16"/>
        <v>78.833267638943639</v>
      </c>
      <c r="P121" s="75">
        <f>VLOOKUP($A121,'Data Vlaue (Cr)'!$C:$FB,119)</f>
        <v>0.66</v>
      </c>
      <c r="Q121" s="75">
        <f>VLOOKUP($A121,'Data Vlaue (Cr)'!$C:$FB,122)*100</f>
        <v>32</v>
      </c>
      <c r="R121" s="75">
        <f>VLOOKUP($A121,'Data Vlaue (Cr)'!$C:$FB,125)</f>
        <v>0.57999999999999996</v>
      </c>
      <c r="S121" s="75">
        <f>VLOOKUP($A121,'Data Vlaue (Cr)'!$C:$FB,128)*100</f>
        <v>18.37</v>
      </c>
    </row>
    <row r="122" spans="1:19" x14ac:dyDescent="0.25">
      <c r="A122" s="96" t="str">
        <f>'Data Vlaue (Cr)'!C113</f>
        <v>KEI</v>
      </c>
      <c r="B122" s="75">
        <f>VLOOKUP($A122,'Data Vlaue (Cr)'!$C:$FB,2)</f>
        <v>175</v>
      </c>
      <c r="C122" s="75">
        <f>VLOOKUP($A122,'Data Vlaue (Cr)'!$C:$FB,8)</f>
        <v>5305.5</v>
      </c>
      <c r="D122" s="75">
        <f>VLOOKUP($A122,'Data Vlaue (Cr)'!$C:$FB,4)</f>
        <v>5338.2</v>
      </c>
      <c r="E122" s="75">
        <f>VLOOKUP($A122,'Data Vlaue (Cr)'!$C:$FB,5)</f>
        <v>5324.2</v>
      </c>
      <c r="F122" s="75">
        <f t="shared" si="9"/>
        <v>32.699999999999818</v>
      </c>
      <c r="G122" s="75">
        <f t="shared" si="10"/>
        <v>0.26226068712300027</v>
      </c>
      <c r="H122" s="75">
        <f>VLOOKUP($A122,'Data Vlaue (Cr)'!$C:$FB,99)</f>
        <v>961</v>
      </c>
      <c r="I122" s="75">
        <f>VLOOKUP($A122,'Data Vlaue (Cr)'!$C:$FB,100)</f>
        <v>1620</v>
      </c>
      <c r="J122" s="75">
        <f t="shared" si="11"/>
        <v>-659</v>
      </c>
      <c r="K122" s="75">
        <f t="shared" si="17"/>
        <v>-68.574401664932367</v>
      </c>
      <c r="L122" s="75">
        <f>VLOOKUP($A122,'Data Vlaue (Cr)'!$C:$FB,67)</f>
        <v>1307</v>
      </c>
      <c r="M122" s="75">
        <f>VLOOKUP($A122,'Data Vlaue (Cr)'!$C:$FB,68)</f>
        <v>2812</v>
      </c>
      <c r="N122" s="75">
        <f t="shared" si="15"/>
        <v>-1505</v>
      </c>
      <c r="O122" s="75">
        <f t="shared" si="16"/>
        <v>-115.14919663351186</v>
      </c>
      <c r="P122" s="75">
        <f>VLOOKUP($A122,'Data Vlaue (Cr)'!$C:$FB,119)</f>
        <v>0.57999999999999996</v>
      </c>
      <c r="Q122" s="75">
        <f>VLOOKUP($A122,'Data Vlaue (Cr)'!$C:$FB,122)*100</f>
        <v>-26.58</v>
      </c>
      <c r="R122" s="75">
        <f>VLOOKUP($A122,'Data Vlaue (Cr)'!$C:$FB,125)</f>
        <v>1.53</v>
      </c>
      <c r="S122" s="75">
        <f>VLOOKUP($A122,'Data Vlaue (Cr)'!$C:$FB,128)*100</f>
        <v>-0.65</v>
      </c>
    </row>
    <row r="123" spans="1:19" x14ac:dyDescent="0.25">
      <c r="A123" s="96" t="str">
        <f>'Data Vlaue (Cr)'!C114</f>
        <v>KFINTECH</v>
      </c>
      <c r="B123" s="75">
        <f>VLOOKUP($A123,'Data Vlaue (Cr)'!$C:$FB,2)</f>
        <v>500</v>
      </c>
      <c r="C123" s="75">
        <f>VLOOKUP($A123,'Data Vlaue (Cr)'!$C:$FB,8)</f>
        <v>837.05</v>
      </c>
      <c r="D123" s="75">
        <f>VLOOKUP($A123,'Data Vlaue (Cr)'!$C:$FB,4)</f>
        <v>841.55</v>
      </c>
      <c r="E123" s="75">
        <f>VLOOKUP($A123,'Data Vlaue (Cr)'!$C:$FB,5)</f>
        <v>828.05</v>
      </c>
      <c r="F123" s="75">
        <f t="shared" si="9"/>
        <v>4.5</v>
      </c>
      <c r="G123" s="75">
        <f t="shared" si="10"/>
        <v>1.6041827580060601</v>
      </c>
      <c r="H123" s="75">
        <f>VLOOKUP($A123,'Data Vlaue (Cr)'!$C:$FB,99)</f>
        <v>509</v>
      </c>
      <c r="I123" s="75">
        <f>VLOOKUP($A123,'Data Vlaue (Cr)'!$C:$FB,100)</f>
        <v>1027</v>
      </c>
      <c r="J123" s="75">
        <f t="shared" si="11"/>
        <v>-518</v>
      </c>
      <c r="K123" s="75">
        <f t="shared" si="17"/>
        <v>-101.76817288801571</v>
      </c>
      <c r="L123" s="75">
        <f>VLOOKUP($A123,'Data Vlaue (Cr)'!$C:$FB,67)</f>
        <v>432</v>
      </c>
      <c r="M123" s="75">
        <f>VLOOKUP($A123,'Data Vlaue (Cr)'!$C:$FB,68)</f>
        <v>708</v>
      </c>
      <c r="N123" s="75">
        <f t="shared" si="15"/>
        <v>-276</v>
      </c>
      <c r="O123" s="75">
        <f t="shared" si="16"/>
        <v>-63.888888888888886</v>
      </c>
      <c r="P123" s="75">
        <f>VLOOKUP($A123,'Data Vlaue (Cr)'!$C:$FB,119)</f>
        <v>1.04</v>
      </c>
      <c r="Q123" s="75">
        <f>VLOOKUP($A123,'Data Vlaue (Cr)'!$C:$FB,122)*100</f>
        <v>55.22</v>
      </c>
      <c r="R123" s="75">
        <f>VLOOKUP($A123,'Data Vlaue (Cr)'!$C:$FB,125)</f>
        <v>0.68</v>
      </c>
      <c r="S123" s="75">
        <f>VLOOKUP($A123,'Data Vlaue (Cr)'!$C:$FB,128)*100</f>
        <v>70</v>
      </c>
    </row>
    <row r="124" spans="1:19" x14ac:dyDescent="0.25">
      <c r="A124" s="96" t="str">
        <f>'Data Vlaue (Cr)'!C115</f>
        <v>KOTAKBANK</v>
      </c>
      <c r="B124" s="75">
        <f>VLOOKUP($A124,'Data Vlaue (Cr)'!$C:$FB,2)</f>
        <v>2000</v>
      </c>
      <c r="C124" s="75">
        <f>VLOOKUP($A124,'Data Vlaue (Cr)'!$C:$FB,8)</f>
        <v>388.65</v>
      </c>
      <c r="D124" s="75">
        <f>VLOOKUP($A124,'Data Vlaue (Cr)'!$C:$FB,4)</f>
        <v>390.9</v>
      </c>
      <c r="E124" s="75">
        <f>VLOOKUP($A124,'Data Vlaue (Cr)'!$C:$FB,5)</f>
        <v>396.2</v>
      </c>
      <c r="F124" s="75">
        <f t="shared" si="9"/>
        <v>2.25</v>
      </c>
      <c r="G124" s="75">
        <f t="shared" si="10"/>
        <v>-1.3558454847787187</v>
      </c>
      <c r="H124" s="75">
        <f>VLOOKUP($A124,'Data Vlaue (Cr)'!$C:$FB,99)</f>
        <v>8467</v>
      </c>
      <c r="I124" s="75">
        <f>VLOOKUP($A124,'Data Vlaue (Cr)'!$C:$FB,100)</f>
        <v>10583</v>
      </c>
      <c r="J124" s="75">
        <f t="shared" si="11"/>
        <v>-2116</v>
      </c>
      <c r="K124" s="75">
        <f t="shared" si="17"/>
        <v>-24.991142081020431</v>
      </c>
      <c r="L124" s="75">
        <f>VLOOKUP($A124,'Data Vlaue (Cr)'!$C:$FB,67)</f>
        <v>3704</v>
      </c>
      <c r="M124" s="75">
        <f>VLOOKUP($A124,'Data Vlaue (Cr)'!$C:$FB,68)</f>
        <v>8330</v>
      </c>
      <c r="N124" s="75">
        <f t="shared" si="15"/>
        <v>-4626</v>
      </c>
      <c r="O124" s="75">
        <f t="shared" si="16"/>
        <v>-124.89200863930886</v>
      </c>
      <c r="P124" s="75">
        <f>VLOOKUP($A124,'Data Vlaue (Cr)'!$C:$FB,119)</f>
        <v>0.85</v>
      </c>
      <c r="Q124" s="75">
        <f>VLOOKUP($A124,'Data Vlaue (Cr)'!$C:$FB,122)*100</f>
        <v>3.66</v>
      </c>
      <c r="R124" s="75">
        <f>VLOOKUP($A124,'Data Vlaue (Cr)'!$C:$FB,125)</f>
        <v>0.67</v>
      </c>
      <c r="S124" s="75">
        <f>VLOOKUP($A124,'Data Vlaue (Cr)'!$C:$FB,128)*100</f>
        <v>48.89</v>
      </c>
    </row>
    <row r="125" spans="1:19" x14ac:dyDescent="0.25">
      <c r="A125" s="96" t="str">
        <f>'Data Vlaue (Cr)'!C116</f>
        <v>KPITTECH</v>
      </c>
      <c r="B125" s="75">
        <f>VLOOKUP($A125,'Data Vlaue (Cr)'!$C:$FB,2)</f>
        <v>425</v>
      </c>
      <c r="C125" s="75">
        <f>VLOOKUP($A125,'Data Vlaue (Cr)'!$C:$FB,8)</f>
        <v>784.7</v>
      </c>
      <c r="D125" s="75">
        <f>VLOOKUP($A125,'Data Vlaue (Cr)'!$C:$FB,4)</f>
        <v>764.85</v>
      </c>
      <c r="E125" s="75">
        <f>VLOOKUP($A125,'Data Vlaue (Cr)'!$C:$FB,5)</f>
        <v>745.35</v>
      </c>
      <c r="F125" s="75">
        <f t="shared" si="9"/>
        <v>-19.850000000000023</v>
      </c>
      <c r="G125" s="75">
        <f t="shared" si="10"/>
        <v>2.5495195136301234</v>
      </c>
      <c r="H125" s="75">
        <f>VLOOKUP($A125,'Data Vlaue (Cr)'!$C:$FB,99)</f>
        <v>897</v>
      </c>
      <c r="I125" s="75">
        <f>VLOOKUP($A125,'Data Vlaue (Cr)'!$C:$FB,100)</f>
        <v>1394</v>
      </c>
      <c r="J125" s="75">
        <f t="shared" si="11"/>
        <v>-497</v>
      </c>
      <c r="K125" s="75">
        <f t="shared" si="17"/>
        <v>-55.406911928651056</v>
      </c>
      <c r="L125" s="75">
        <f>VLOOKUP($A125,'Data Vlaue (Cr)'!$C:$FB,67)</f>
        <v>1330</v>
      </c>
      <c r="M125" s="75">
        <f>VLOOKUP($A125,'Data Vlaue (Cr)'!$C:$FB,68)</f>
        <v>1800</v>
      </c>
      <c r="N125" s="75">
        <f t="shared" si="15"/>
        <v>-470</v>
      </c>
      <c r="O125" s="75">
        <f t="shared" si="16"/>
        <v>-35.338345864661655</v>
      </c>
      <c r="P125" s="75">
        <f>VLOOKUP($A125,'Data Vlaue (Cr)'!$C:$FB,119)</f>
        <v>0.64</v>
      </c>
      <c r="Q125" s="75">
        <f>VLOOKUP($A125,'Data Vlaue (Cr)'!$C:$FB,122)*100</f>
        <v>16.36</v>
      </c>
      <c r="R125" s="75">
        <f>VLOOKUP($A125,'Data Vlaue (Cr)'!$C:$FB,125)</f>
        <v>0.24</v>
      </c>
      <c r="S125" s="75">
        <f>VLOOKUP($A125,'Data Vlaue (Cr)'!$C:$FB,128)*100</f>
        <v>-14.29</v>
      </c>
    </row>
    <row r="126" spans="1:19" x14ac:dyDescent="0.25">
      <c r="A126" s="96" t="str">
        <f>'Data Vlaue (Cr)'!C117</f>
        <v>LAURUSLABS</v>
      </c>
      <c r="B126" s="75">
        <f>VLOOKUP($A126,'Data Vlaue (Cr)'!$C:$FB,2)</f>
        <v>850</v>
      </c>
      <c r="C126" s="75">
        <f>VLOOKUP($A126,'Data Vlaue (Cr)'!$C:$FB,8)</f>
        <v>1373.9</v>
      </c>
      <c r="D126" s="75">
        <f>VLOOKUP($A126,'Data Vlaue (Cr)'!$C:$FB,4)</f>
        <v>1381</v>
      </c>
      <c r="E126" s="75">
        <f>VLOOKUP($A126,'Data Vlaue (Cr)'!$C:$FB,5)</f>
        <v>1368.2</v>
      </c>
      <c r="F126" s="75">
        <f t="shared" si="9"/>
        <v>7.0999999999999091</v>
      </c>
      <c r="G126" s="75">
        <f t="shared" si="10"/>
        <v>0.92686459087617334</v>
      </c>
      <c r="H126" s="75">
        <f>VLOOKUP($A126,'Data Vlaue (Cr)'!$C:$FB,99)</f>
        <v>3374</v>
      </c>
      <c r="I126" s="75">
        <f>VLOOKUP($A126,'Data Vlaue (Cr)'!$C:$FB,100)</f>
        <v>4735</v>
      </c>
      <c r="J126" s="75">
        <f t="shared" si="11"/>
        <v>-1361</v>
      </c>
      <c r="K126" s="75">
        <f t="shared" si="17"/>
        <v>-40.337877889745108</v>
      </c>
      <c r="L126" s="75">
        <f>VLOOKUP($A126,'Data Vlaue (Cr)'!$C:$FB,67)</f>
        <v>2863</v>
      </c>
      <c r="M126" s="75">
        <f>VLOOKUP($A126,'Data Vlaue (Cr)'!$C:$FB,68)</f>
        <v>3303</v>
      </c>
      <c r="N126" s="75">
        <f t="shared" si="15"/>
        <v>-440</v>
      </c>
      <c r="O126" s="75">
        <f t="shared" si="16"/>
        <v>-15.368494586098496</v>
      </c>
      <c r="P126" s="75">
        <f>VLOOKUP($A126,'Data Vlaue (Cr)'!$C:$FB,119)</f>
        <v>1.02</v>
      </c>
      <c r="Q126" s="75">
        <f>VLOOKUP($A126,'Data Vlaue (Cr)'!$C:$FB,122)*100</f>
        <v>-2.86</v>
      </c>
      <c r="R126" s="75">
        <f>VLOOKUP($A126,'Data Vlaue (Cr)'!$C:$FB,125)</f>
        <v>0.82</v>
      </c>
      <c r="S126" s="75">
        <f>VLOOKUP($A126,'Data Vlaue (Cr)'!$C:$FB,128)*100</f>
        <v>-9.89</v>
      </c>
    </row>
    <row r="127" spans="1:19" x14ac:dyDescent="0.25">
      <c r="A127" s="96" t="str">
        <f>'Data Vlaue (Cr)'!C118</f>
        <v>LICHSGFIN</v>
      </c>
      <c r="B127" s="75">
        <f>VLOOKUP($A127,'Data Vlaue (Cr)'!$C:$FB,2)</f>
        <v>1000</v>
      </c>
      <c r="C127" s="75">
        <f>VLOOKUP($A127,'Data Vlaue (Cr)'!$C:$FB,8)</f>
        <v>544.15</v>
      </c>
      <c r="D127" s="75">
        <f>VLOOKUP($A127,'Data Vlaue (Cr)'!$C:$FB,4)</f>
        <v>548.45000000000005</v>
      </c>
      <c r="E127" s="75">
        <f>VLOOKUP($A127,'Data Vlaue (Cr)'!$C:$FB,5)</f>
        <v>547.15</v>
      </c>
      <c r="F127" s="75">
        <f t="shared" si="9"/>
        <v>4.3000000000000682</v>
      </c>
      <c r="G127" s="75">
        <f t="shared" si="10"/>
        <v>0.23703163460663104</v>
      </c>
      <c r="H127" s="75">
        <f>VLOOKUP($A127,'Data Vlaue (Cr)'!$C:$FB,99)</f>
        <v>1952</v>
      </c>
      <c r="I127" s="75">
        <f>VLOOKUP($A127,'Data Vlaue (Cr)'!$C:$FB,100)</f>
        <v>2470</v>
      </c>
      <c r="J127" s="75">
        <f t="shared" si="11"/>
        <v>-518</v>
      </c>
      <c r="K127" s="75">
        <f t="shared" si="17"/>
        <v>-26.536885245901637</v>
      </c>
      <c r="L127" s="75">
        <f>VLOOKUP($A127,'Data Vlaue (Cr)'!$C:$FB,67)</f>
        <v>955</v>
      </c>
      <c r="M127" s="75">
        <f>VLOOKUP($A127,'Data Vlaue (Cr)'!$C:$FB,68)</f>
        <v>1988</v>
      </c>
      <c r="N127" s="75">
        <f t="shared" si="15"/>
        <v>-1033</v>
      </c>
      <c r="O127" s="75">
        <f t="shared" si="16"/>
        <v>-108.1675392670157</v>
      </c>
      <c r="P127" s="75">
        <f>VLOOKUP($A127,'Data Vlaue (Cr)'!$C:$FB,119)</f>
        <v>0.99</v>
      </c>
      <c r="Q127" s="75">
        <f>VLOOKUP($A127,'Data Vlaue (Cr)'!$C:$FB,122)*100</f>
        <v>50</v>
      </c>
      <c r="R127" s="75">
        <f>VLOOKUP($A127,'Data Vlaue (Cr)'!$C:$FB,125)</f>
        <v>0.68</v>
      </c>
      <c r="S127" s="75">
        <f>VLOOKUP($A127,'Data Vlaue (Cr)'!$C:$FB,128)*100</f>
        <v>30.769999999999996</v>
      </c>
    </row>
    <row r="128" spans="1:19" x14ac:dyDescent="0.25">
      <c r="A128" s="96" t="str">
        <f>'Data Vlaue (Cr)'!C119</f>
        <v>LICI</v>
      </c>
      <c r="B128" s="75">
        <f>VLOOKUP($A128,'Data Vlaue (Cr)'!$C:$FB,2)</f>
        <v>700</v>
      </c>
      <c r="C128" s="75">
        <f>VLOOKUP($A128,'Data Vlaue (Cr)'!$C:$FB,8)</f>
        <v>854.9</v>
      </c>
      <c r="D128" s="75">
        <f>VLOOKUP($A128,'Data Vlaue (Cr)'!$C:$FB,4)</f>
        <v>861.25</v>
      </c>
      <c r="E128" s="75">
        <f>VLOOKUP($A128,'Data Vlaue (Cr)'!$C:$FB,5)</f>
        <v>842.35</v>
      </c>
      <c r="F128" s="75">
        <f t="shared" si="9"/>
        <v>6.3500000000000227</v>
      </c>
      <c r="G128" s="75">
        <f t="shared" si="10"/>
        <v>2.1944847605224935</v>
      </c>
      <c r="H128" s="75">
        <f>VLOOKUP($A128,'Data Vlaue (Cr)'!$C:$FB,99)</f>
        <v>1538</v>
      </c>
      <c r="I128" s="75">
        <f>VLOOKUP($A128,'Data Vlaue (Cr)'!$C:$FB,100)</f>
        <v>2261</v>
      </c>
      <c r="J128" s="75">
        <f t="shared" si="11"/>
        <v>-723</v>
      </c>
      <c r="K128" s="75">
        <f t="shared" si="17"/>
        <v>-47.009102730819244</v>
      </c>
      <c r="L128" s="75">
        <f>VLOOKUP($A128,'Data Vlaue (Cr)'!$C:$FB,67)</f>
        <v>2447</v>
      </c>
      <c r="M128" s="75">
        <f>VLOOKUP($A128,'Data Vlaue (Cr)'!$C:$FB,68)</f>
        <v>5349</v>
      </c>
      <c r="N128" s="75">
        <f t="shared" si="15"/>
        <v>-2902</v>
      </c>
      <c r="O128" s="75">
        <f t="shared" si="16"/>
        <v>-118.59419697588885</v>
      </c>
      <c r="P128" s="75">
        <f>VLOOKUP($A128,'Data Vlaue (Cr)'!$C:$FB,119)</f>
        <v>0.69</v>
      </c>
      <c r="Q128" s="75">
        <f>VLOOKUP($A128,'Data Vlaue (Cr)'!$C:$FB,122)*100</f>
        <v>23.21</v>
      </c>
      <c r="R128" s="75">
        <f>VLOOKUP($A128,'Data Vlaue (Cr)'!$C:$FB,125)</f>
        <v>0.34</v>
      </c>
      <c r="S128" s="75">
        <f>VLOOKUP($A128,'Data Vlaue (Cr)'!$C:$FB,128)*100</f>
        <v>0</v>
      </c>
    </row>
    <row r="129" spans="1:19" x14ac:dyDescent="0.25">
      <c r="A129" s="96" t="str">
        <f>'Data Vlaue (Cr)'!C120</f>
        <v>LODHA</v>
      </c>
      <c r="B129" s="75">
        <f>VLOOKUP($A129,'Data Vlaue (Cr)'!$C:$FB,2)</f>
        <v>450</v>
      </c>
      <c r="C129" s="75">
        <f>VLOOKUP($A129,'Data Vlaue (Cr)'!$C:$FB,8)</f>
        <v>903.7</v>
      </c>
      <c r="D129" s="75">
        <f>VLOOKUP($A129,'Data Vlaue (Cr)'!$C:$FB,4)</f>
        <v>908.85</v>
      </c>
      <c r="E129" s="75">
        <f>VLOOKUP($A129,'Data Vlaue (Cr)'!$C:$FB,5)</f>
        <v>911.4</v>
      </c>
      <c r="F129" s="75">
        <f t="shared" si="9"/>
        <v>5.1499999999999773</v>
      </c>
      <c r="G129" s="75">
        <f t="shared" si="10"/>
        <v>-0.28057435220332888</v>
      </c>
      <c r="H129" s="75">
        <f>VLOOKUP($A129,'Data Vlaue (Cr)'!$C:$FB,99)</f>
        <v>1256</v>
      </c>
      <c r="I129" s="75">
        <f>VLOOKUP($A129,'Data Vlaue (Cr)'!$C:$FB,100)</f>
        <v>1748</v>
      </c>
      <c r="J129" s="75">
        <f t="shared" si="11"/>
        <v>-492</v>
      </c>
      <c r="K129" s="75">
        <f t="shared" si="17"/>
        <v>-39.171974522292999</v>
      </c>
      <c r="L129" s="75">
        <f>VLOOKUP($A129,'Data Vlaue (Cr)'!$C:$FB,67)</f>
        <v>638</v>
      </c>
      <c r="M129" s="75">
        <f>VLOOKUP($A129,'Data Vlaue (Cr)'!$C:$FB,68)</f>
        <v>1581</v>
      </c>
      <c r="N129" s="75">
        <f t="shared" si="15"/>
        <v>-943</v>
      </c>
      <c r="O129" s="75">
        <f t="shared" si="16"/>
        <v>-147.80564263322884</v>
      </c>
      <c r="P129" s="75">
        <f>VLOOKUP($A129,'Data Vlaue (Cr)'!$C:$FB,119)</f>
        <v>0.92</v>
      </c>
      <c r="Q129" s="75">
        <f>VLOOKUP($A129,'Data Vlaue (Cr)'!$C:$FB,122)*100</f>
        <v>1.0999999999999999</v>
      </c>
      <c r="R129" s="75">
        <f>VLOOKUP($A129,'Data Vlaue (Cr)'!$C:$FB,125)</f>
        <v>0.38</v>
      </c>
      <c r="S129" s="75">
        <f>VLOOKUP($A129,'Data Vlaue (Cr)'!$C:$FB,128)*100</f>
        <v>-26.919999999999998</v>
      </c>
    </row>
    <row r="130" spans="1:19" x14ac:dyDescent="0.25">
      <c r="A130" s="96" t="str">
        <f>'Data Vlaue (Cr)'!C121</f>
        <v>LT</v>
      </c>
      <c r="B130" s="75">
        <f>VLOOKUP($A130,'Data Vlaue (Cr)'!$C:$FB,2)</f>
        <v>175</v>
      </c>
      <c r="C130" s="75">
        <f>VLOOKUP($A130,'Data Vlaue (Cr)'!$C:$FB,8)</f>
        <v>4037.8</v>
      </c>
      <c r="D130" s="75">
        <f>VLOOKUP($A130,'Data Vlaue (Cr)'!$C:$FB,4)</f>
        <v>4057.7</v>
      </c>
      <c r="E130" s="75">
        <f>VLOOKUP($A130,'Data Vlaue (Cr)'!$C:$FB,5)</f>
        <v>4057.4</v>
      </c>
      <c r="F130" s="75">
        <f t="shared" si="9"/>
        <v>19.899999999999636</v>
      </c>
      <c r="G130" s="75">
        <f t="shared" si="10"/>
        <v>7.3933509130721144E-3</v>
      </c>
      <c r="H130" s="75">
        <f>VLOOKUP($A130,'Data Vlaue (Cr)'!$C:$FB,99)</f>
        <v>8325</v>
      </c>
      <c r="I130" s="75">
        <f>VLOOKUP($A130,'Data Vlaue (Cr)'!$C:$FB,100)</f>
        <v>11988</v>
      </c>
      <c r="J130" s="75">
        <f t="shared" si="11"/>
        <v>-3663</v>
      </c>
      <c r="K130" s="75">
        <f t="shared" si="17"/>
        <v>-44</v>
      </c>
      <c r="L130" s="75">
        <f>VLOOKUP($A130,'Data Vlaue (Cr)'!$C:$FB,67)</f>
        <v>7743</v>
      </c>
      <c r="M130" s="75">
        <f>VLOOKUP($A130,'Data Vlaue (Cr)'!$C:$FB,68)</f>
        <v>16010</v>
      </c>
      <c r="N130" s="75">
        <f t="shared" si="15"/>
        <v>-8267</v>
      </c>
      <c r="O130" s="75">
        <f t="shared" si="16"/>
        <v>-106.76740281544622</v>
      </c>
      <c r="P130" s="75">
        <f>VLOOKUP($A130,'Data Vlaue (Cr)'!$C:$FB,119)</f>
        <v>1.33</v>
      </c>
      <c r="Q130" s="75">
        <f>VLOOKUP($A130,'Data Vlaue (Cr)'!$C:$FB,122)*100</f>
        <v>70.509999999999991</v>
      </c>
      <c r="R130" s="75">
        <f>VLOOKUP($A130,'Data Vlaue (Cr)'!$C:$FB,125)</f>
        <v>0.53</v>
      </c>
      <c r="S130" s="75">
        <f>VLOOKUP($A130,'Data Vlaue (Cr)'!$C:$FB,128)*100</f>
        <v>1.92</v>
      </c>
    </row>
    <row r="131" spans="1:19" x14ac:dyDescent="0.25">
      <c r="A131" s="96" t="str">
        <f>'Data Vlaue (Cr)'!C122</f>
        <v>LTF</v>
      </c>
      <c r="B131" s="75">
        <f>VLOOKUP($A131,'Data Vlaue (Cr)'!$C:$FB,2)</f>
        <v>2250</v>
      </c>
      <c r="C131" s="75">
        <f>VLOOKUP($A131,'Data Vlaue (Cr)'!$C:$FB,8)</f>
        <v>282.7</v>
      </c>
      <c r="D131" s="75">
        <f>VLOOKUP($A131,'Data Vlaue (Cr)'!$C:$FB,4)</f>
        <v>283.64999999999998</v>
      </c>
      <c r="E131" s="75">
        <f>VLOOKUP($A131,'Data Vlaue (Cr)'!$C:$FB,5)</f>
        <v>280.05</v>
      </c>
      <c r="F131" s="75">
        <f t="shared" si="9"/>
        <v>0.94999999999998863</v>
      </c>
      <c r="G131" s="75">
        <f t="shared" si="10"/>
        <v>1.269169751454245</v>
      </c>
      <c r="H131" s="75">
        <f>VLOOKUP($A131,'Data Vlaue (Cr)'!$C:$FB,99)</f>
        <v>1619</v>
      </c>
      <c r="I131" s="75">
        <f>VLOOKUP($A131,'Data Vlaue (Cr)'!$C:$FB,100)</f>
        <v>2325</v>
      </c>
      <c r="J131" s="75">
        <f t="shared" si="11"/>
        <v>-706</v>
      </c>
      <c r="K131" s="75">
        <f t="shared" si="17"/>
        <v>-43.60716491661519</v>
      </c>
      <c r="L131" s="75">
        <f>VLOOKUP($A131,'Data Vlaue (Cr)'!$C:$FB,67)</f>
        <v>1307</v>
      </c>
      <c r="M131" s="75">
        <f>VLOOKUP($A131,'Data Vlaue (Cr)'!$C:$FB,68)</f>
        <v>2404</v>
      </c>
      <c r="N131" s="75">
        <f t="shared" si="15"/>
        <v>-1097</v>
      </c>
      <c r="O131" s="75">
        <f t="shared" si="16"/>
        <v>-83.932670237184396</v>
      </c>
      <c r="P131" s="75">
        <f>VLOOKUP($A131,'Data Vlaue (Cr)'!$C:$FB,119)</f>
        <v>0.92</v>
      </c>
      <c r="Q131" s="75">
        <f>VLOOKUP($A131,'Data Vlaue (Cr)'!$C:$FB,122)*100</f>
        <v>33.33</v>
      </c>
      <c r="R131" s="75">
        <f>VLOOKUP($A131,'Data Vlaue (Cr)'!$C:$FB,125)</f>
        <v>0.33</v>
      </c>
      <c r="S131" s="75">
        <f>VLOOKUP($A131,'Data Vlaue (Cr)'!$C:$FB,128)*100</f>
        <v>-46.77</v>
      </c>
    </row>
    <row r="132" spans="1:19" x14ac:dyDescent="0.25">
      <c r="A132" s="96" t="str">
        <f>'Data Vlaue (Cr)'!C123</f>
        <v>LTM</v>
      </c>
      <c r="B132" s="75">
        <f>VLOOKUP($A132,'Data Vlaue (Cr)'!$C:$FB,2)</f>
        <v>150</v>
      </c>
      <c r="C132" s="75">
        <f>VLOOKUP($A132,'Data Vlaue (Cr)'!$C:$FB,8)</f>
        <v>3970.4</v>
      </c>
      <c r="D132" s="75">
        <f>VLOOKUP($A132,'Data Vlaue (Cr)'!$C:$FB,4)</f>
        <v>3972.6</v>
      </c>
      <c r="E132" s="75">
        <f>VLOOKUP($A132,'Data Vlaue (Cr)'!$C:$FB,5)</f>
        <v>3934.4</v>
      </c>
      <c r="F132" s="75">
        <f t="shared" si="9"/>
        <v>2.1999999999998181</v>
      </c>
      <c r="G132" s="75">
        <f t="shared" si="10"/>
        <v>0.96158687005990573</v>
      </c>
      <c r="H132" s="75">
        <f>VLOOKUP($A132,'Data Vlaue (Cr)'!$C:$FB,99)</f>
        <v>1939</v>
      </c>
      <c r="I132" s="75">
        <f>VLOOKUP($A132,'Data Vlaue (Cr)'!$C:$FB,100)</f>
        <v>2869</v>
      </c>
      <c r="J132" s="75">
        <f t="shared" si="11"/>
        <v>-930</v>
      </c>
      <c r="K132" s="75">
        <f t="shared" si="17"/>
        <v>-47.962867457452298</v>
      </c>
      <c r="L132" s="75">
        <f>VLOOKUP($A132,'Data Vlaue (Cr)'!$C:$FB,67)</f>
        <v>1711</v>
      </c>
      <c r="M132" s="75">
        <f>VLOOKUP($A132,'Data Vlaue (Cr)'!$C:$FB,68)</f>
        <v>3508</v>
      </c>
      <c r="N132" s="75">
        <f t="shared" si="15"/>
        <v>-1797</v>
      </c>
      <c r="O132" s="75">
        <f t="shared" si="16"/>
        <v>-105.02630040911747</v>
      </c>
      <c r="P132" s="75">
        <f>VLOOKUP($A132,'Data Vlaue (Cr)'!$C:$FB,119)</f>
        <v>0.72</v>
      </c>
      <c r="Q132" s="75">
        <f>VLOOKUP($A132,'Data Vlaue (Cr)'!$C:$FB,122)*100</f>
        <v>33.33</v>
      </c>
      <c r="R132" s="75">
        <f>VLOOKUP($A132,'Data Vlaue (Cr)'!$C:$FB,125)</f>
        <v>0.31</v>
      </c>
      <c r="S132" s="75">
        <f>VLOOKUP($A132,'Data Vlaue (Cr)'!$C:$FB,128)*100</f>
        <v>-27.91</v>
      </c>
    </row>
    <row r="133" spans="1:19" x14ac:dyDescent="0.25">
      <c r="A133" s="96" t="str">
        <f>'Data Vlaue (Cr)'!C124</f>
        <v>LUPIN</v>
      </c>
      <c r="B133" s="75">
        <f>VLOOKUP($A133,'Data Vlaue (Cr)'!$C:$FB,2)</f>
        <v>425</v>
      </c>
      <c r="C133" s="75">
        <f>VLOOKUP($A133,'Data Vlaue (Cr)'!$C:$FB,8)</f>
        <v>2266</v>
      </c>
      <c r="D133" s="75">
        <f>VLOOKUP($A133,'Data Vlaue (Cr)'!$C:$FB,4)</f>
        <v>2279.3000000000002</v>
      </c>
      <c r="E133" s="75">
        <f>VLOOKUP($A133,'Data Vlaue (Cr)'!$C:$FB,5)</f>
        <v>2289.4</v>
      </c>
      <c r="F133" s="75">
        <f t="shared" si="9"/>
        <v>13.300000000000182</v>
      </c>
      <c r="G133" s="75">
        <f t="shared" si="10"/>
        <v>-0.44311850129425295</v>
      </c>
      <c r="H133" s="75">
        <f>VLOOKUP($A133,'Data Vlaue (Cr)'!$C:$FB,99)</f>
        <v>2058</v>
      </c>
      <c r="I133" s="75">
        <f>VLOOKUP($A133,'Data Vlaue (Cr)'!$C:$FB,100)</f>
        <v>4342</v>
      </c>
      <c r="J133" s="75">
        <f t="shared" si="11"/>
        <v>-2284</v>
      </c>
      <c r="K133" s="75">
        <f t="shared" si="17"/>
        <v>-110.98153547133138</v>
      </c>
      <c r="L133" s="75">
        <f>VLOOKUP($A133,'Data Vlaue (Cr)'!$C:$FB,67)</f>
        <v>2245</v>
      </c>
      <c r="M133" s="75">
        <f>VLOOKUP($A133,'Data Vlaue (Cr)'!$C:$FB,68)</f>
        <v>3249</v>
      </c>
      <c r="N133" s="75">
        <f t="shared" si="15"/>
        <v>-1004</v>
      </c>
      <c r="O133" s="75">
        <f t="shared" si="16"/>
        <v>-44.721603563474389</v>
      </c>
      <c r="P133" s="75">
        <f>VLOOKUP($A133,'Data Vlaue (Cr)'!$C:$FB,119)</f>
        <v>0.81</v>
      </c>
      <c r="Q133" s="75">
        <f>VLOOKUP($A133,'Data Vlaue (Cr)'!$C:$FB,122)*100</f>
        <v>62</v>
      </c>
      <c r="R133" s="75">
        <f>VLOOKUP($A133,'Data Vlaue (Cr)'!$C:$FB,125)</f>
        <v>0.4</v>
      </c>
      <c r="S133" s="75">
        <f>VLOOKUP($A133,'Data Vlaue (Cr)'!$C:$FB,128)*100</f>
        <v>11.110000000000001</v>
      </c>
    </row>
    <row r="134" spans="1:19" x14ac:dyDescent="0.25">
      <c r="A134" s="96" t="str">
        <f>'Data Vlaue (Cr)'!C125</f>
        <v>M&amp;M</v>
      </c>
      <c r="B134" s="75">
        <f>VLOOKUP($A134,'Data Vlaue (Cr)'!$C:$FB,2)</f>
        <v>200</v>
      </c>
      <c r="C134" s="75">
        <f>VLOOKUP($A134,'Data Vlaue (Cr)'!$C:$FB,8)</f>
        <v>3107.3</v>
      </c>
      <c r="D134" s="75">
        <f>VLOOKUP($A134,'Data Vlaue (Cr)'!$C:$FB,4)</f>
        <v>3127.8</v>
      </c>
      <c r="E134" s="75">
        <f>VLOOKUP($A134,'Data Vlaue (Cr)'!$C:$FB,5)</f>
        <v>3163.9</v>
      </c>
      <c r="F134" s="75">
        <f t="shared" si="9"/>
        <v>20.5</v>
      </c>
      <c r="G134" s="75">
        <f t="shared" si="10"/>
        <v>-1.1541658673828221</v>
      </c>
      <c r="H134" s="75">
        <f>VLOOKUP($A134,'Data Vlaue (Cr)'!$C:$FB,99)</f>
        <v>7376</v>
      </c>
      <c r="I134" s="75">
        <f>VLOOKUP($A134,'Data Vlaue (Cr)'!$C:$FB,100)</f>
        <v>9336</v>
      </c>
      <c r="J134" s="75">
        <f t="shared" si="11"/>
        <v>-1960</v>
      </c>
      <c r="K134" s="75">
        <f t="shared" si="17"/>
        <v>-26.572668112798265</v>
      </c>
      <c r="L134" s="75">
        <f>VLOOKUP($A134,'Data Vlaue (Cr)'!$C:$FB,67)</f>
        <v>4390</v>
      </c>
      <c r="M134" s="75">
        <f>VLOOKUP($A134,'Data Vlaue (Cr)'!$C:$FB,68)</f>
        <v>8713</v>
      </c>
      <c r="N134" s="75">
        <f t="shared" si="15"/>
        <v>-4323</v>
      </c>
      <c r="O134" s="75">
        <f t="shared" si="16"/>
        <v>-98.473804100227795</v>
      </c>
      <c r="P134" s="75">
        <f>VLOOKUP($A134,'Data Vlaue (Cr)'!$C:$FB,119)</f>
        <v>0.84</v>
      </c>
      <c r="Q134" s="75">
        <f>VLOOKUP($A134,'Data Vlaue (Cr)'!$C:$FB,122)*100</f>
        <v>-4.55</v>
      </c>
      <c r="R134" s="75">
        <f>VLOOKUP($A134,'Data Vlaue (Cr)'!$C:$FB,125)</f>
        <v>0.54</v>
      </c>
      <c r="S134" s="75">
        <f>VLOOKUP($A134,'Data Vlaue (Cr)'!$C:$FB,128)*100</f>
        <v>10.199999999999999</v>
      </c>
    </row>
    <row r="135" spans="1:19" x14ac:dyDescent="0.25">
      <c r="A135" s="96" t="str">
        <f>'Data Vlaue (Cr)'!C126</f>
        <v>MANAPPURAM</v>
      </c>
      <c r="B135" s="75">
        <f>VLOOKUP($A135,'Data Vlaue (Cr)'!$C:$FB,2)</f>
        <v>3000</v>
      </c>
      <c r="C135" s="75">
        <f>VLOOKUP($A135,'Data Vlaue (Cr)'!$C:$FB,8)</f>
        <v>330.25</v>
      </c>
      <c r="D135" s="75">
        <f>VLOOKUP($A135,'Data Vlaue (Cr)'!$C:$FB,4)</f>
        <v>332.65</v>
      </c>
      <c r="E135" s="75">
        <f>VLOOKUP($A135,'Data Vlaue (Cr)'!$C:$FB,5)</f>
        <v>328.2</v>
      </c>
      <c r="F135" s="75">
        <f t="shared" si="9"/>
        <v>2.3999999999999773</v>
      </c>
      <c r="G135" s="75">
        <f t="shared" si="10"/>
        <v>1.3377423718623145</v>
      </c>
      <c r="H135" s="75">
        <f>VLOOKUP($A135,'Data Vlaue (Cr)'!$C:$FB,99)</f>
        <v>1947</v>
      </c>
      <c r="I135" s="75">
        <f>VLOOKUP($A135,'Data Vlaue (Cr)'!$C:$FB,100)</f>
        <v>2510</v>
      </c>
      <c r="J135" s="75">
        <f t="shared" si="11"/>
        <v>-563</v>
      </c>
      <c r="K135" s="75">
        <f t="shared" si="17"/>
        <v>-28.916281458654343</v>
      </c>
      <c r="L135" s="75">
        <f>VLOOKUP($A135,'Data Vlaue (Cr)'!$C:$FB,67)</f>
        <v>1354</v>
      </c>
      <c r="M135" s="75">
        <f>VLOOKUP($A135,'Data Vlaue (Cr)'!$C:$FB,68)</f>
        <v>1899</v>
      </c>
      <c r="N135" s="75">
        <f t="shared" si="15"/>
        <v>-545</v>
      </c>
      <c r="O135" s="75">
        <f t="shared" si="16"/>
        <v>-40.251107828655833</v>
      </c>
      <c r="P135" s="75">
        <f>VLOOKUP($A135,'Data Vlaue (Cr)'!$C:$FB,119)</f>
        <v>0.47</v>
      </c>
      <c r="Q135" s="75">
        <f>VLOOKUP($A135,'Data Vlaue (Cr)'!$C:$FB,122)*100</f>
        <v>-47.19</v>
      </c>
      <c r="R135" s="75">
        <f>VLOOKUP($A135,'Data Vlaue (Cr)'!$C:$FB,125)</f>
        <v>0.45</v>
      </c>
      <c r="S135" s="75">
        <f>VLOOKUP($A135,'Data Vlaue (Cr)'!$C:$FB,128)*100</f>
        <v>0</v>
      </c>
    </row>
    <row r="136" spans="1:19" x14ac:dyDescent="0.25">
      <c r="A136" s="96" t="str">
        <f>'Data Vlaue (Cr)'!C127</f>
        <v>MANKIND</v>
      </c>
      <c r="B136" s="75">
        <f>VLOOKUP($A136,'Data Vlaue (Cr)'!$C:$FB,2)</f>
        <v>225</v>
      </c>
      <c r="C136" s="75">
        <f>VLOOKUP($A136,'Data Vlaue (Cr)'!$C:$FB,8)</f>
        <v>2423.6</v>
      </c>
      <c r="D136" s="75">
        <f>VLOOKUP($A136,'Data Vlaue (Cr)'!$C:$FB,4)</f>
        <v>2440.6</v>
      </c>
      <c r="E136" s="75">
        <f>VLOOKUP($A136,'Data Vlaue (Cr)'!$C:$FB,5)</f>
        <v>2473.5</v>
      </c>
      <c r="F136" s="75">
        <f t="shared" si="9"/>
        <v>17</v>
      </c>
      <c r="G136" s="75">
        <f t="shared" si="10"/>
        <v>-1.3480291731541461</v>
      </c>
      <c r="H136" s="75">
        <f>VLOOKUP($A136,'Data Vlaue (Cr)'!$C:$FB,99)</f>
        <v>1016</v>
      </c>
      <c r="I136" s="75">
        <f>VLOOKUP($A136,'Data Vlaue (Cr)'!$C:$FB,100)</f>
        <v>1470</v>
      </c>
      <c r="J136" s="75">
        <f t="shared" si="11"/>
        <v>-454</v>
      </c>
      <c r="K136" s="75">
        <f t="shared" si="17"/>
        <v>-44.685039370078741</v>
      </c>
      <c r="L136" s="75">
        <f>VLOOKUP($A136,'Data Vlaue (Cr)'!$C:$FB,67)</f>
        <v>722</v>
      </c>
      <c r="M136" s="75">
        <f>VLOOKUP($A136,'Data Vlaue (Cr)'!$C:$FB,68)</f>
        <v>1312</v>
      </c>
      <c r="N136" s="75">
        <f t="shared" si="15"/>
        <v>-590</v>
      </c>
      <c r="O136" s="75">
        <f t="shared" si="16"/>
        <v>-81.717451523545705</v>
      </c>
      <c r="P136" s="75">
        <f>VLOOKUP($A136,'Data Vlaue (Cr)'!$C:$FB,119)</f>
        <v>0.65</v>
      </c>
      <c r="Q136" s="75">
        <f>VLOOKUP($A136,'Data Vlaue (Cr)'!$C:$FB,122)*100</f>
        <v>12.07</v>
      </c>
      <c r="R136" s="75">
        <f>VLOOKUP($A136,'Data Vlaue (Cr)'!$C:$FB,125)</f>
        <v>0.98</v>
      </c>
      <c r="S136" s="75">
        <f>VLOOKUP($A136,'Data Vlaue (Cr)'!$C:$FB,128)*100</f>
        <v>32.43</v>
      </c>
    </row>
    <row r="137" spans="1:19" x14ac:dyDescent="0.25">
      <c r="A137" s="96" t="str">
        <f>'Data Vlaue (Cr)'!C128</f>
        <v>MARICO</v>
      </c>
      <c r="B137" s="75">
        <f>VLOOKUP($A137,'Data Vlaue (Cr)'!$C:$FB,2)</f>
        <v>1200</v>
      </c>
      <c r="C137" s="75">
        <f>VLOOKUP($A137,'Data Vlaue (Cr)'!$C:$FB,8)</f>
        <v>830</v>
      </c>
      <c r="D137" s="75">
        <f>VLOOKUP($A137,'Data Vlaue (Cr)'!$C:$FB,4)</f>
        <v>834.35</v>
      </c>
      <c r="E137" s="75">
        <f>VLOOKUP($A137,'Data Vlaue (Cr)'!$C:$FB,5)</f>
        <v>827.8</v>
      </c>
      <c r="F137" s="75">
        <f t="shared" si="9"/>
        <v>4.3500000000000227</v>
      </c>
      <c r="G137" s="75">
        <f t="shared" si="10"/>
        <v>0.78504224845689063</v>
      </c>
      <c r="H137" s="75">
        <f>VLOOKUP($A137,'Data Vlaue (Cr)'!$C:$FB,99)</f>
        <v>1591</v>
      </c>
      <c r="I137" s="75">
        <f>VLOOKUP($A137,'Data Vlaue (Cr)'!$C:$FB,100)</f>
        <v>2302</v>
      </c>
      <c r="J137" s="75">
        <f t="shared" si="11"/>
        <v>-711</v>
      </c>
      <c r="K137" s="75">
        <f t="shared" si="17"/>
        <v>-44.688874921433062</v>
      </c>
      <c r="L137" s="75">
        <f>VLOOKUP($A137,'Data Vlaue (Cr)'!$C:$FB,67)</f>
        <v>854</v>
      </c>
      <c r="M137" s="75">
        <f>VLOOKUP($A137,'Data Vlaue (Cr)'!$C:$FB,68)</f>
        <v>1430</v>
      </c>
      <c r="N137" s="75">
        <f t="shared" si="15"/>
        <v>-576</v>
      </c>
      <c r="O137" s="75">
        <f t="shared" si="16"/>
        <v>-67.44730679156909</v>
      </c>
      <c r="P137" s="75">
        <f>VLOOKUP($A137,'Data Vlaue (Cr)'!$C:$FB,119)</f>
        <v>0.89</v>
      </c>
      <c r="Q137" s="75">
        <f>VLOOKUP($A137,'Data Vlaue (Cr)'!$C:$FB,122)*100</f>
        <v>28.99</v>
      </c>
      <c r="R137" s="75">
        <f>VLOOKUP($A137,'Data Vlaue (Cr)'!$C:$FB,125)</f>
        <v>0.74</v>
      </c>
      <c r="S137" s="75">
        <f>VLOOKUP($A137,'Data Vlaue (Cr)'!$C:$FB,128)*100</f>
        <v>-14.940000000000001</v>
      </c>
    </row>
    <row r="138" spans="1:19" x14ac:dyDescent="0.25">
      <c r="A138" s="96" t="str">
        <f>'Data Vlaue (Cr)'!C129</f>
        <v>MARUTI</v>
      </c>
      <c r="B138" s="75">
        <f>VLOOKUP($A138,'Data Vlaue (Cr)'!$C:$FB,2)</f>
        <v>50</v>
      </c>
      <c r="C138" s="75">
        <f>VLOOKUP($A138,'Data Vlaue (Cr)'!$C:$FB,8)</f>
        <v>13208</v>
      </c>
      <c r="D138" s="75">
        <f>VLOOKUP($A138,'Data Vlaue (Cr)'!$C:$FB,4)</f>
        <v>13279</v>
      </c>
      <c r="E138" s="75">
        <f>VLOOKUP($A138,'Data Vlaue (Cr)'!$C:$FB,5)</f>
        <v>13270</v>
      </c>
      <c r="F138" s="75">
        <f t="shared" si="9"/>
        <v>71</v>
      </c>
      <c r="G138" s="75">
        <f t="shared" si="10"/>
        <v>6.7776187965961285E-2</v>
      </c>
      <c r="H138" s="75">
        <f>VLOOKUP($A138,'Data Vlaue (Cr)'!$C:$FB,99)</f>
        <v>5364</v>
      </c>
      <c r="I138" s="75">
        <f>VLOOKUP($A138,'Data Vlaue (Cr)'!$C:$FB,100)</f>
        <v>9031</v>
      </c>
      <c r="J138" s="75">
        <f t="shared" si="11"/>
        <v>-3667</v>
      </c>
      <c r="K138" s="75">
        <f t="shared" si="17"/>
        <v>-68.363161819537652</v>
      </c>
      <c r="L138" s="75">
        <f>VLOOKUP($A138,'Data Vlaue (Cr)'!$C:$FB,67)</f>
        <v>6548</v>
      </c>
      <c r="M138" s="75">
        <f>VLOOKUP($A138,'Data Vlaue (Cr)'!$C:$FB,68)</f>
        <v>11109</v>
      </c>
      <c r="N138" s="75">
        <f t="shared" si="15"/>
        <v>-4561</v>
      </c>
      <c r="O138" s="75">
        <f t="shared" si="16"/>
        <v>-69.654856444715946</v>
      </c>
      <c r="P138" s="75">
        <f>VLOOKUP($A138,'Data Vlaue (Cr)'!$C:$FB,119)</f>
        <v>0.72</v>
      </c>
      <c r="Q138" s="75">
        <f>VLOOKUP($A138,'Data Vlaue (Cr)'!$C:$FB,122)*100</f>
        <v>67.44</v>
      </c>
      <c r="R138" s="75">
        <f>VLOOKUP($A138,'Data Vlaue (Cr)'!$C:$FB,125)</f>
        <v>0.45</v>
      </c>
      <c r="S138" s="75">
        <f>VLOOKUP($A138,'Data Vlaue (Cr)'!$C:$FB,128)*100</f>
        <v>-6.25</v>
      </c>
    </row>
    <row r="139" spans="1:19" x14ac:dyDescent="0.25">
      <c r="A139" s="96" t="str">
        <f>'Data Vlaue (Cr)'!C130</f>
        <v>MAXHEALTH</v>
      </c>
      <c r="B139" s="75">
        <f>VLOOKUP($A139,'Data Vlaue (Cr)'!$C:$FB,2)</f>
        <v>525</v>
      </c>
      <c r="C139" s="75">
        <f>VLOOKUP($A139,'Data Vlaue (Cr)'!$C:$FB,8)</f>
        <v>993.95</v>
      </c>
      <c r="D139" s="75">
        <f>VLOOKUP($A139,'Data Vlaue (Cr)'!$C:$FB,4)</f>
        <v>1000</v>
      </c>
      <c r="E139" s="75">
        <f>VLOOKUP($A139,'Data Vlaue (Cr)'!$C:$FB,5)</f>
        <v>1008.25</v>
      </c>
      <c r="F139" s="75">
        <f t="shared" ref="F139:F202" si="18">D139-C139</f>
        <v>6.0499999999999545</v>
      </c>
      <c r="G139" s="75">
        <f t="shared" ref="G139:G202" si="19">(D139-E139)/D139*100</f>
        <v>-0.82500000000000007</v>
      </c>
      <c r="H139" s="75">
        <f>VLOOKUP($A139,'Data Vlaue (Cr)'!$C:$FB,99)</f>
        <v>2021</v>
      </c>
      <c r="I139" s="75">
        <f>VLOOKUP($A139,'Data Vlaue (Cr)'!$C:$FB,100)</f>
        <v>2630</v>
      </c>
      <c r="J139" s="75">
        <f t="shared" ref="J139:J202" si="20">H139-I139</f>
        <v>-609</v>
      </c>
      <c r="K139" s="75">
        <f t="shared" ref="K139:K142" si="21">J139/H139*100</f>
        <v>-30.133597229094505</v>
      </c>
      <c r="L139" s="75">
        <f>VLOOKUP($A139,'Data Vlaue (Cr)'!$C:$FB,67)</f>
        <v>1480</v>
      </c>
      <c r="M139" s="75">
        <f>VLOOKUP($A139,'Data Vlaue (Cr)'!$C:$FB,68)</f>
        <v>3966</v>
      </c>
      <c r="N139" s="75">
        <f t="shared" si="15"/>
        <v>-2486</v>
      </c>
      <c r="O139" s="75">
        <f t="shared" si="16"/>
        <v>-167.97297297297297</v>
      </c>
      <c r="P139" s="75">
        <f>VLOOKUP($A139,'Data Vlaue (Cr)'!$C:$FB,119)</f>
        <v>0.42</v>
      </c>
      <c r="Q139" s="75">
        <f>VLOOKUP($A139,'Data Vlaue (Cr)'!$C:$FB,122)*100</f>
        <v>-8.6999999999999993</v>
      </c>
      <c r="R139" s="75">
        <f>VLOOKUP($A139,'Data Vlaue (Cr)'!$C:$FB,125)</f>
        <v>0.55000000000000004</v>
      </c>
      <c r="S139" s="75">
        <f>VLOOKUP($A139,'Data Vlaue (Cr)'!$C:$FB,128)*100</f>
        <v>-11.29</v>
      </c>
    </row>
    <row r="140" spans="1:19" x14ac:dyDescent="0.25">
      <c r="A140" s="96" t="str">
        <f>'Data Vlaue (Cr)'!C131</f>
        <v>MAZDOCK</v>
      </c>
      <c r="B140" s="75">
        <f>VLOOKUP($A140,'Data Vlaue (Cr)'!$C:$FB,2)</f>
        <v>200</v>
      </c>
      <c r="C140" s="75">
        <f>VLOOKUP($A140,'Data Vlaue (Cr)'!$C:$FB,8)</f>
        <v>2460.1</v>
      </c>
      <c r="D140" s="75">
        <f>VLOOKUP($A140,'Data Vlaue (Cr)'!$C:$FB,4)</f>
        <v>2473.5</v>
      </c>
      <c r="E140" s="75">
        <f>VLOOKUP($A140,'Data Vlaue (Cr)'!$C:$FB,5)</f>
        <v>2452</v>
      </c>
      <c r="F140" s="75">
        <f t="shared" si="18"/>
        <v>13.400000000000091</v>
      </c>
      <c r="G140" s="75">
        <f t="shared" si="19"/>
        <v>0.86921366484738227</v>
      </c>
      <c r="H140" s="75">
        <f>VLOOKUP($A140,'Data Vlaue (Cr)'!$C:$FB,99)</f>
        <v>1425</v>
      </c>
      <c r="I140" s="75">
        <f>VLOOKUP($A140,'Data Vlaue (Cr)'!$C:$FB,100)</f>
        <v>2914</v>
      </c>
      <c r="J140" s="75">
        <f t="shared" si="20"/>
        <v>-1489</v>
      </c>
      <c r="K140" s="75">
        <f t="shared" si="21"/>
        <v>-104.49122807017544</v>
      </c>
      <c r="L140" s="75">
        <f>VLOOKUP($A140,'Data Vlaue (Cr)'!$C:$FB,67)</f>
        <v>1889</v>
      </c>
      <c r="M140" s="75">
        <f>VLOOKUP($A140,'Data Vlaue (Cr)'!$C:$FB,68)</f>
        <v>2193</v>
      </c>
      <c r="N140" s="75">
        <f t="shared" ref="N140:N176" si="22">L140-M140</f>
        <v>-304</v>
      </c>
      <c r="O140" s="75">
        <f t="shared" ref="O140:O176" si="23">N140/L140*100</f>
        <v>-16.093170989941768</v>
      </c>
      <c r="P140" s="75">
        <f>VLOOKUP($A140,'Data Vlaue (Cr)'!$C:$FB,119)</f>
        <v>0.76</v>
      </c>
      <c r="Q140" s="75">
        <f>VLOOKUP($A140,'Data Vlaue (Cr)'!$C:$FB,122)*100</f>
        <v>65.22</v>
      </c>
      <c r="R140" s="75">
        <f>VLOOKUP($A140,'Data Vlaue (Cr)'!$C:$FB,125)</f>
        <v>0.5</v>
      </c>
      <c r="S140" s="75">
        <f>VLOOKUP($A140,'Data Vlaue (Cr)'!$C:$FB,128)*100</f>
        <v>51.519999999999996</v>
      </c>
    </row>
    <row r="141" spans="1:19" x14ac:dyDescent="0.25">
      <c r="A141" s="96" t="str">
        <f>'Data Vlaue (Cr)'!C132</f>
        <v>MCX</v>
      </c>
      <c r="B141" s="75">
        <f>VLOOKUP($A141,'Data Vlaue (Cr)'!$C:$FB,2)</f>
        <v>625</v>
      </c>
      <c r="C141" s="75">
        <f>VLOOKUP($A141,'Data Vlaue (Cr)'!$C:$FB,8)</f>
        <v>3307.3</v>
      </c>
      <c r="D141" s="75">
        <f>VLOOKUP($A141,'Data Vlaue (Cr)'!$C:$FB,4)</f>
        <v>3321.6</v>
      </c>
      <c r="E141" s="75">
        <f>VLOOKUP($A141,'Data Vlaue (Cr)'!$C:$FB,5)</f>
        <v>3331.8</v>
      </c>
      <c r="F141" s="75">
        <f t="shared" si="18"/>
        <v>14.299999999999727</v>
      </c>
      <c r="G141" s="75">
        <f t="shared" si="19"/>
        <v>-0.30708092485549954</v>
      </c>
      <c r="H141" s="75">
        <f>VLOOKUP($A141,'Data Vlaue (Cr)'!$C:$FB,99)</f>
        <v>5717</v>
      </c>
      <c r="I141" s="75">
        <f>VLOOKUP($A141,'Data Vlaue (Cr)'!$C:$FB,100)</f>
        <v>8359</v>
      </c>
      <c r="J141" s="75">
        <f t="shared" si="20"/>
        <v>-2642</v>
      </c>
      <c r="K141" s="75">
        <f t="shared" si="21"/>
        <v>-46.213048801819134</v>
      </c>
      <c r="L141" s="75">
        <f>VLOOKUP($A141,'Data Vlaue (Cr)'!$C:$FB,67)</f>
        <v>8119</v>
      </c>
      <c r="M141" s="75">
        <f>VLOOKUP($A141,'Data Vlaue (Cr)'!$C:$FB,68)</f>
        <v>16028</v>
      </c>
      <c r="N141" s="75">
        <f t="shared" si="22"/>
        <v>-7909</v>
      </c>
      <c r="O141" s="75">
        <f t="shared" si="23"/>
        <v>-97.413474565833241</v>
      </c>
      <c r="P141" s="75">
        <f>VLOOKUP($A141,'Data Vlaue (Cr)'!$C:$FB,119)</f>
        <v>0.67</v>
      </c>
      <c r="Q141" s="75">
        <f>VLOOKUP($A141,'Data Vlaue (Cr)'!$C:$FB,122)*100</f>
        <v>-9.4600000000000009</v>
      </c>
      <c r="R141" s="75">
        <f>VLOOKUP($A141,'Data Vlaue (Cr)'!$C:$FB,125)</f>
        <v>0.51</v>
      </c>
      <c r="S141" s="75">
        <f>VLOOKUP($A141,'Data Vlaue (Cr)'!$C:$FB,128)*100</f>
        <v>13.33</v>
      </c>
    </row>
    <row r="142" spans="1:19" x14ac:dyDescent="0.25">
      <c r="A142" s="96" t="str">
        <f>'Data Vlaue (Cr)'!C133</f>
        <v>MFSL</v>
      </c>
      <c r="B142" s="75">
        <f>VLOOKUP($A142,'Data Vlaue (Cr)'!$C:$FB,2)</f>
        <v>400</v>
      </c>
      <c r="C142" s="75">
        <f>VLOOKUP($A142,'Data Vlaue (Cr)'!$C:$FB,8)</f>
        <v>1725.6</v>
      </c>
      <c r="D142" s="75">
        <f>VLOOKUP($A142,'Data Vlaue (Cr)'!$C:$FB,4)</f>
        <v>1739</v>
      </c>
      <c r="E142" s="75">
        <f>VLOOKUP($A142,'Data Vlaue (Cr)'!$C:$FB,5)</f>
        <v>1737.4</v>
      </c>
      <c r="F142" s="75">
        <f t="shared" si="18"/>
        <v>13.400000000000091</v>
      </c>
      <c r="G142" s="75">
        <f t="shared" si="19"/>
        <v>9.2006900517533588E-2</v>
      </c>
      <c r="H142" s="75">
        <f>VLOOKUP($A142,'Data Vlaue (Cr)'!$C:$FB,99)</f>
        <v>1817</v>
      </c>
      <c r="I142" s="75">
        <f>VLOOKUP($A142,'Data Vlaue (Cr)'!$C:$FB,100)</f>
        <v>2072</v>
      </c>
      <c r="J142" s="75">
        <f t="shared" si="20"/>
        <v>-255</v>
      </c>
      <c r="K142" s="75">
        <f t="shared" si="21"/>
        <v>-14.034122179416622</v>
      </c>
      <c r="L142" s="75">
        <f>VLOOKUP($A142,'Data Vlaue (Cr)'!$C:$FB,67)</f>
        <v>1173</v>
      </c>
      <c r="M142" s="75">
        <f>VLOOKUP($A142,'Data Vlaue (Cr)'!$C:$FB,68)</f>
        <v>2165</v>
      </c>
      <c r="N142" s="75">
        <f t="shared" si="22"/>
        <v>-992</v>
      </c>
      <c r="O142" s="75">
        <f t="shared" si="23"/>
        <v>-84.569479965899404</v>
      </c>
      <c r="P142" s="75">
        <f>VLOOKUP($A142,'Data Vlaue (Cr)'!$C:$FB,119)</f>
        <v>0.74</v>
      </c>
      <c r="Q142" s="75">
        <f>VLOOKUP($A142,'Data Vlaue (Cr)'!$C:$FB,122)*100</f>
        <v>13.850000000000001</v>
      </c>
      <c r="R142" s="75">
        <f>VLOOKUP($A142,'Data Vlaue (Cr)'!$C:$FB,125)</f>
        <v>0.33</v>
      </c>
      <c r="S142" s="75">
        <f>VLOOKUP($A142,'Data Vlaue (Cr)'!$C:$FB,128)*100</f>
        <v>6.45</v>
      </c>
    </row>
    <row r="143" spans="1:19" x14ac:dyDescent="0.25">
      <c r="A143" s="96" t="str">
        <f>'Data Vlaue (Cr)'!C134</f>
        <v>MIDCPNIFTY</v>
      </c>
      <c r="B143" s="75">
        <f>VLOOKUP($A143,'Data Vlaue (Cr)'!$C:$FB,2)</f>
        <v>120</v>
      </c>
      <c r="C143" s="75">
        <f>VLOOKUP($A143,'Data Vlaue (Cr)'!$C:$FB,8)</f>
        <v>14675.6</v>
      </c>
      <c r="D143" s="75">
        <f>VLOOKUP($A143,'Data Vlaue (Cr)'!$C:$FB,4)</f>
        <v>14777.15</v>
      </c>
      <c r="E143" s="75">
        <f>VLOOKUP($A143,'Data Vlaue (Cr)'!$C:$FB,5)</f>
        <v>14661.75</v>
      </c>
      <c r="F143" s="75">
        <f t="shared" si="18"/>
        <v>101.54999999999927</v>
      </c>
      <c r="G143" s="75">
        <f t="shared" si="19"/>
        <v>0.78093543071566329</v>
      </c>
      <c r="H143" s="75">
        <f>VLOOKUP($A143,'Data Vlaue (Cr)'!$C:$FB,99)</f>
        <v>8044</v>
      </c>
      <c r="I143" s="75">
        <f>VLOOKUP($A143,'Data Vlaue (Cr)'!$C:$FB,100)</f>
        <v>29474</v>
      </c>
      <c r="J143" s="75">
        <f t="shared" si="20"/>
        <v>-21430</v>
      </c>
      <c r="K143" s="75"/>
      <c r="L143" s="75">
        <f>VLOOKUP($A143,'Data Vlaue (Cr)'!$C:$FB,67)</f>
        <v>1058040</v>
      </c>
      <c r="M143" s="75">
        <f>VLOOKUP($A143,'Data Vlaue (Cr)'!$C:$FB,68)</f>
        <v>163539</v>
      </c>
      <c r="N143" s="75">
        <f t="shared" si="22"/>
        <v>894501</v>
      </c>
      <c r="O143" s="75">
        <f t="shared" si="23"/>
        <v>84.543211976862878</v>
      </c>
      <c r="P143" s="75">
        <f>VLOOKUP($A143,'Data Vlaue (Cr)'!$C:$FB,119)</f>
        <v>1.1200000000000001</v>
      </c>
      <c r="Q143" s="75">
        <f>VLOOKUP($A143,'Data Vlaue (Cr)'!$C:$FB,122)*100</f>
        <v>-9.68</v>
      </c>
      <c r="R143" s="75">
        <f>VLOOKUP($A143,'Data Vlaue (Cr)'!$C:$FB,125)</f>
        <v>0.86</v>
      </c>
      <c r="S143" s="75">
        <f>VLOOKUP($A143,'Data Vlaue (Cr)'!$C:$FB,128)*100</f>
        <v>-19.63</v>
      </c>
    </row>
    <row r="144" spans="1:19" x14ac:dyDescent="0.25">
      <c r="A144" s="96" t="str">
        <f>'Data Vlaue (Cr)'!C135</f>
        <v>MOTHERSON</v>
      </c>
      <c r="B144" s="75">
        <f>VLOOKUP($A144,'Data Vlaue (Cr)'!$C:$FB,2)</f>
        <v>6150</v>
      </c>
      <c r="C144" s="75">
        <f>VLOOKUP($A144,'Data Vlaue (Cr)'!$C:$FB,8)</f>
        <v>135.82</v>
      </c>
      <c r="D144" s="75">
        <f>VLOOKUP($A144,'Data Vlaue (Cr)'!$C:$FB,4)</f>
        <v>136.74</v>
      </c>
      <c r="E144" s="75">
        <f>VLOOKUP($A144,'Data Vlaue (Cr)'!$C:$FB,5)</f>
        <v>136.69</v>
      </c>
      <c r="F144" s="75">
        <f t="shared" si="18"/>
        <v>0.92000000000001592</v>
      </c>
      <c r="G144" s="75">
        <f t="shared" si="19"/>
        <v>3.6565745209895688E-2</v>
      </c>
      <c r="H144" s="75">
        <f>VLOOKUP($A144,'Data Vlaue (Cr)'!$C:$FB,99)</f>
        <v>2630</v>
      </c>
      <c r="I144" s="75">
        <f>VLOOKUP($A144,'Data Vlaue (Cr)'!$C:$FB,100)</f>
        <v>3592</v>
      </c>
      <c r="J144" s="75">
        <f t="shared" si="20"/>
        <v>-962</v>
      </c>
      <c r="K144" s="75">
        <f t="shared" ref="K144:K175" si="24">J144/H144*100</f>
        <v>-36.577946768060841</v>
      </c>
      <c r="L144" s="75">
        <f>VLOOKUP($A144,'Data Vlaue (Cr)'!$C:$FB,67)</f>
        <v>1936</v>
      </c>
      <c r="M144" s="75">
        <f>VLOOKUP($A144,'Data Vlaue (Cr)'!$C:$FB,68)</f>
        <v>2979</v>
      </c>
      <c r="N144" s="75">
        <f t="shared" si="22"/>
        <v>-1043</v>
      </c>
      <c r="O144" s="75">
        <f t="shared" si="23"/>
        <v>-53.873966942148769</v>
      </c>
      <c r="P144" s="75">
        <f>VLOOKUP($A144,'Data Vlaue (Cr)'!$C:$FB,119)</f>
        <v>0.68</v>
      </c>
      <c r="Q144" s="75">
        <f>VLOOKUP($A144,'Data Vlaue (Cr)'!$C:$FB,122)*100</f>
        <v>-18.07</v>
      </c>
      <c r="R144" s="75">
        <f>VLOOKUP($A144,'Data Vlaue (Cr)'!$C:$FB,125)</f>
        <v>0.54</v>
      </c>
      <c r="S144" s="75">
        <f>VLOOKUP($A144,'Data Vlaue (Cr)'!$C:$FB,128)*100</f>
        <v>-3.5700000000000003</v>
      </c>
    </row>
    <row r="145" spans="1:19" x14ac:dyDescent="0.25">
      <c r="A145" s="96" t="str">
        <f>'Data Vlaue (Cr)'!C136</f>
        <v>MOTILALOFS</v>
      </c>
      <c r="B145" s="75">
        <f>VLOOKUP($A145,'Data Vlaue (Cr)'!$C:$FB,2)</f>
        <v>775</v>
      </c>
      <c r="C145" s="75">
        <f>VLOOKUP($A145,'Data Vlaue (Cr)'!$C:$FB,8)</f>
        <v>870.55</v>
      </c>
      <c r="D145" s="75">
        <f>VLOOKUP($A145,'Data Vlaue (Cr)'!$C:$FB,4)</f>
        <v>874.6</v>
      </c>
      <c r="E145" s="75">
        <f>VLOOKUP($A145,'Data Vlaue (Cr)'!$C:$FB,5)</f>
        <v>875.95</v>
      </c>
      <c r="F145" s="75">
        <f t="shared" si="18"/>
        <v>4.0500000000000682</v>
      </c>
      <c r="G145" s="75">
        <f t="shared" si="19"/>
        <v>-0.15435627715527359</v>
      </c>
      <c r="H145" s="75">
        <f>VLOOKUP($A145,'Data Vlaue (Cr)'!$C:$FB,99)</f>
        <v>464</v>
      </c>
      <c r="I145" s="75">
        <f>VLOOKUP($A145,'Data Vlaue (Cr)'!$C:$FB,100)</f>
        <v>705</v>
      </c>
      <c r="J145" s="75">
        <f t="shared" si="20"/>
        <v>-241</v>
      </c>
      <c r="K145" s="75">
        <f t="shared" si="24"/>
        <v>-51.939655172413794</v>
      </c>
      <c r="L145" s="75">
        <f>VLOOKUP($A145,'Data Vlaue (Cr)'!$C:$FB,67)</f>
        <v>736</v>
      </c>
      <c r="M145" s="75">
        <f>VLOOKUP($A145,'Data Vlaue (Cr)'!$C:$FB,68)</f>
        <v>901</v>
      </c>
      <c r="N145" s="75">
        <f t="shared" si="22"/>
        <v>-165</v>
      </c>
      <c r="O145" s="75">
        <f t="shared" si="23"/>
        <v>-22.418478260869566</v>
      </c>
      <c r="P145" s="75">
        <f>VLOOKUP($A145,'Data Vlaue (Cr)'!$C:$FB,119)</f>
        <v>0.49</v>
      </c>
      <c r="Q145" s="75">
        <f>VLOOKUP($A145,'Data Vlaue (Cr)'!$C:$FB,122)*100</f>
        <v>-25.759999999999998</v>
      </c>
      <c r="R145" s="75">
        <f>VLOOKUP($A145,'Data Vlaue (Cr)'!$C:$FB,125)</f>
        <v>0.21</v>
      </c>
      <c r="S145" s="75">
        <f>VLOOKUP($A145,'Data Vlaue (Cr)'!$C:$FB,128)*100</f>
        <v>23.53</v>
      </c>
    </row>
    <row r="146" spans="1:19" x14ac:dyDescent="0.25">
      <c r="A146" s="96" t="str">
        <f>'Data Vlaue (Cr)'!C137</f>
        <v>MPHASIS</v>
      </c>
      <c r="B146" s="75">
        <f>VLOOKUP($A146,'Data Vlaue (Cr)'!$C:$FB,2)</f>
        <v>275</v>
      </c>
      <c r="C146" s="75">
        <f>VLOOKUP($A146,'Data Vlaue (Cr)'!$C:$FB,8)</f>
        <v>2265.3000000000002</v>
      </c>
      <c r="D146" s="75">
        <f>VLOOKUP($A146,'Data Vlaue (Cr)'!$C:$FB,4)</f>
        <v>2287.4</v>
      </c>
      <c r="E146" s="75">
        <f>VLOOKUP($A146,'Data Vlaue (Cr)'!$C:$FB,5)</f>
        <v>2259.3000000000002</v>
      </c>
      <c r="F146" s="75">
        <f t="shared" si="18"/>
        <v>22.099999999999909</v>
      </c>
      <c r="G146" s="75">
        <f t="shared" si="19"/>
        <v>1.2284690041094652</v>
      </c>
      <c r="H146" s="75">
        <f>VLOOKUP($A146,'Data Vlaue (Cr)'!$C:$FB,99)</f>
        <v>1163</v>
      </c>
      <c r="I146" s="75">
        <f>VLOOKUP($A146,'Data Vlaue (Cr)'!$C:$FB,100)</f>
        <v>1810</v>
      </c>
      <c r="J146" s="75">
        <f t="shared" si="20"/>
        <v>-647</v>
      </c>
      <c r="K146" s="75">
        <f t="shared" si="24"/>
        <v>-55.631986242476351</v>
      </c>
      <c r="L146" s="75">
        <f>VLOOKUP($A146,'Data Vlaue (Cr)'!$C:$FB,67)</f>
        <v>954</v>
      </c>
      <c r="M146" s="75">
        <f>VLOOKUP($A146,'Data Vlaue (Cr)'!$C:$FB,68)</f>
        <v>1098</v>
      </c>
      <c r="N146" s="75">
        <f t="shared" si="22"/>
        <v>-144</v>
      </c>
      <c r="O146" s="75">
        <f t="shared" si="23"/>
        <v>-15.09433962264151</v>
      </c>
      <c r="P146" s="75">
        <f>VLOOKUP($A146,'Data Vlaue (Cr)'!$C:$FB,119)</f>
        <v>0.85</v>
      </c>
      <c r="Q146" s="75">
        <f>VLOOKUP($A146,'Data Vlaue (Cr)'!$C:$FB,122)*100</f>
        <v>1.1900000000000002</v>
      </c>
      <c r="R146" s="75">
        <f>VLOOKUP($A146,'Data Vlaue (Cr)'!$C:$FB,125)</f>
        <v>0.63</v>
      </c>
      <c r="S146" s="75">
        <f>VLOOKUP($A146,'Data Vlaue (Cr)'!$C:$FB,128)*100</f>
        <v>-18.18</v>
      </c>
    </row>
    <row r="147" spans="1:19" x14ac:dyDescent="0.25">
      <c r="A147" s="96" t="str">
        <f>'Data Vlaue (Cr)'!C138</f>
        <v>MUTHOOTFIN</v>
      </c>
      <c r="B147" s="75">
        <f>VLOOKUP($A147,'Data Vlaue (Cr)'!$C:$FB,2)</f>
        <v>275</v>
      </c>
      <c r="C147" s="75">
        <f>VLOOKUP($A147,'Data Vlaue (Cr)'!$C:$FB,8)</f>
        <v>3331.5</v>
      </c>
      <c r="D147" s="75">
        <f>VLOOKUP($A147,'Data Vlaue (Cr)'!$C:$FB,4)</f>
        <v>3336.8</v>
      </c>
      <c r="E147" s="75">
        <f>VLOOKUP($A147,'Data Vlaue (Cr)'!$C:$FB,5)</f>
        <v>3359.6</v>
      </c>
      <c r="F147" s="75">
        <f t="shared" si="18"/>
        <v>5.3000000000001819</v>
      </c>
      <c r="G147" s="75">
        <f t="shared" si="19"/>
        <v>-0.68328937904578424</v>
      </c>
      <c r="H147" s="75">
        <f>VLOOKUP($A147,'Data Vlaue (Cr)'!$C:$FB,99)</f>
        <v>1789</v>
      </c>
      <c r="I147" s="75">
        <f>VLOOKUP($A147,'Data Vlaue (Cr)'!$C:$FB,100)</f>
        <v>3127</v>
      </c>
      <c r="J147" s="75">
        <f t="shared" si="20"/>
        <v>-1338</v>
      </c>
      <c r="K147" s="75">
        <f t="shared" si="24"/>
        <v>-74.790385690329799</v>
      </c>
      <c r="L147" s="75">
        <f>VLOOKUP($A147,'Data Vlaue (Cr)'!$C:$FB,67)</f>
        <v>1408</v>
      </c>
      <c r="M147" s="75">
        <f>VLOOKUP($A147,'Data Vlaue (Cr)'!$C:$FB,68)</f>
        <v>3574</v>
      </c>
      <c r="N147" s="75">
        <f t="shared" si="22"/>
        <v>-2166</v>
      </c>
      <c r="O147" s="75">
        <f t="shared" si="23"/>
        <v>-153.83522727272728</v>
      </c>
      <c r="P147" s="75">
        <f>VLOOKUP($A147,'Data Vlaue (Cr)'!$C:$FB,119)</f>
        <v>0.65</v>
      </c>
      <c r="Q147" s="75">
        <f>VLOOKUP($A147,'Data Vlaue (Cr)'!$C:$FB,122)*100</f>
        <v>-1.52</v>
      </c>
      <c r="R147" s="75">
        <f>VLOOKUP($A147,'Data Vlaue (Cr)'!$C:$FB,125)</f>
        <v>0.67</v>
      </c>
      <c r="S147" s="75">
        <f>VLOOKUP($A147,'Data Vlaue (Cr)'!$C:$FB,128)*100</f>
        <v>34</v>
      </c>
    </row>
    <row r="148" spans="1:19" x14ac:dyDescent="0.25">
      <c r="A148" s="96" t="str">
        <f>'Data Vlaue (Cr)'!C139</f>
        <v>NAM-INDIA</v>
      </c>
      <c r="B148" s="75">
        <f>VLOOKUP($A148,'Data Vlaue (Cr)'!$C:$FB,2)</f>
        <v>625</v>
      </c>
      <c r="C148" s="75">
        <f>VLOOKUP($A148,'Data Vlaue (Cr)'!$C:$FB,8)</f>
        <v>1095.7</v>
      </c>
      <c r="D148" s="75">
        <f>VLOOKUP($A148,'Data Vlaue (Cr)'!$C:$FB,4)</f>
        <v>1091.2</v>
      </c>
      <c r="E148" s="75">
        <f>VLOOKUP($A148,'Data Vlaue (Cr)'!$C:$FB,5)</f>
        <v>1096.2</v>
      </c>
      <c r="F148" s="75">
        <f t="shared" si="18"/>
        <v>-4.5</v>
      </c>
      <c r="G148" s="75">
        <f t="shared" si="19"/>
        <v>-0.45821114369501459</v>
      </c>
      <c r="H148" s="75">
        <f>VLOOKUP($A148,'Data Vlaue (Cr)'!$C:$FB,99)</f>
        <v>407</v>
      </c>
      <c r="I148" s="75">
        <f>VLOOKUP($A148,'Data Vlaue (Cr)'!$C:$FB,100)</f>
        <v>712</v>
      </c>
      <c r="J148" s="75">
        <f t="shared" si="20"/>
        <v>-305</v>
      </c>
      <c r="K148" s="75">
        <f t="shared" si="24"/>
        <v>-74.938574938574945</v>
      </c>
      <c r="L148" s="75">
        <f>VLOOKUP($A148,'Data Vlaue (Cr)'!$C:$FB,67)</f>
        <v>422</v>
      </c>
      <c r="M148" s="75">
        <f>VLOOKUP($A148,'Data Vlaue (Cr)'!$C:$FB,68)</f>
        <v>654</v>
      </c>
      <c r="N148" s="75">
        <f t="shared" si="22"/>
        <v>-232</v>
      </c>
      <c r="O148" s="75">
        <f t="shared" si="23"/>
        <v>-54.976303317535546</v>
      </c>
      <c r="P148" s="75">
        <f>VLOOKUP($A148,'Data Vlaue (Cr)'!$C:$FB,119)</f>
        <v>0.81</v>
      </c>
      <c r="Q148" s="75">
        <f>VLOOKUP($A148,'Data Vlaue (Cr)'!$C:$FB,122)*100</f>
        <v>5.19</v>
      </c>
      <c r="R148" s="75">
        <f>VLOOKUP($A148,'Data Vlaue (Cr)'!$C:$FB,125)</f>
        <v>0.76</v>
      </c>
      <c r="S148" s="75">
        <f>VLOOKUP($A148,'Data Vlaue (Cr)'!$C:$FB,128)*100</f>
        <v>162.07</v>
      </c>
    </row>
    <row r="149" spans="1:19" x14ac:dyDescent="0.25">
      <c r="A149" s="96" t="str">
        <f>'Data Vlaue (Cr)'!C140</f>
        <v>NATIONALUM</v>
      </c>
      <c r="B149" s="75">
        <f>VLOOKUP($A149,'Data Vlaue (Cr)'!$C:$FB,2)</f>
        <v>1875</v>
      </c>
      <c r="C149" s="75">
        <f>VLOOKUP($A149,'Data Vlaue (Cr)'!$C:$FB,8)</f>
        <v>416.2</v>
      </c>
      <c r="D149" s="75">
        <f>VLOOKUP($A149,'Data Vlaue (Cr)'!$C:$FB,4)</f>
        <v>418.45</v>
      </c>
      <c r="E149" s="75">
        <f>VLOOKUP($A149,'Data Vlaue (Cr)'!$C:$FB,5)</f>
        <v>404.9</v>
      </c>
      <c r="F149" s="75">
        <f t="shared" si="18"/>
        <v>2.25</v>
      </c>
      <c r="G149" s="75">
        <f t="shared" si="19"/>
        <v>3.2381407575576562</v>
      </c>
      <c r="H149" s="75">
        <f>VLOOKUP($A149,'Data Vlaue (Cr)'!$C:$FB,99)</f>
        <v>2463</v>
      </c>
      <c r="I149" s="75">
        <f>VLOOKUP($A149,'Data Vlaue (Cr)'!$C:$FB,100)</f>
        <v>3705</v>
      </c>
      <c r="J149" s="75">
        <f t="shared" si="20"/>
        <v>-1242</v>
      </c>
      <c r="K149" s="75">
        <f t="shared" si="24"/>
        <v>-50.42630937880633</v>
      </c>
      <c r="L149" s="75">
        <f>VLOOKUP($A149,'Data Vlaue (Cr)'!$C:$FB,67)</f>
        <v>3879</v>
      </c>
      <c r="M149" s="75">
        <f>VLOOKUP($A149,'Data Vlaue (Cr)'!$C:$FB,68)</f>
        <v>2736</v>
      </c>
      <c r="N149" s="75">
        <f t="shared" si="22"/>
        <v>1143</v>
      </c>
      <c r="O149" s="75">
        <f t="shared" si="23"/>
        <v>29.466357308584683</v>
      </c>
      <c r="P149" s="75">
        <f>VLOOKUP($A149,'Data Vlaue (Cr)'!$C:$FB,119)</f>
        <v>0.7</v>
      </c>
      <c r="Q149" s="75">
        <f>VLOOKUP($A149,'Data Vlaue (Cr)'!$C:$FB,122)*100</f>
        <v>22.81</v>
      </c>
      <c r="R149" s="75">
        <f>VLOOKUP($A149,'Data Vlaue (Cr)'!$C:$FB,125)</f>
        <v>0.46</v>
      </c>
      <c r="S149" s="75">
        <f>VLOOKUP($A149,'Data Vlaue (Cr)'!$C:$FB,128)*100</f>
        <v>-6.12</v>
      </c>
    </row>
    <row r="150" spans="1:19" x14ac:dyDescent="0.25">
      <c r="A150" s="96" t="str">
        <f>'Data Vlaue (Cr)'!C141</f>
        <v>NAUKRI</v>
      </c>
      <c r="B150" s="75">
        <f>VLOOKUP($A150,'Data Vlaue (Cr)'!$C:$FB,2)</f>
        <v>375</v>
      </c>
      <c r="C150" s="75">
        <f>VLOOKUP($A150,'Data Vlaue (Cr)'!$C:$FB,8)</f>
        <v>980.7</v>
      </c>
      <c r="D150" s="75">
        <f>VLOOKUP($A150,'Data Vlaue (Cr)'!$C:$FB,4)</f>
        <v>988.75</v>
      </c>
      <c r="E150" s="75">
        <f>VLOOKUP($A150,'Data Vlaue (Cr)'!$C:$FB,5)</f>
        <v>944.7</v>
      </c>
      <c r="F150" s="75">
        <f t="shared" si="18"/>
        <v>8.0499999999999545</v>
      </c>
      <c r="G150" s="75">
        <f t="shared" si="19"/>
        <v>4.4551201011377959</v>
      </c>
      <c r="H150" s="75">
        <f>VLOOKUP($A150,'Data Vlaue (Cr)'!$C:$FB,99)</f>
        <v>1961</v>
      </c>
      <c r="I150" s="75">
        <f>VLOOKUP($A150,'Data Vlaue (Cr)'!$C:$FB,100)</f>
        <v>2442</v>
      </c>
      <c r="J150" s="75">
        <f t="shared" si="20"/>
        <v>-481</v>
      </c>
      <c r="K150" s="75">
        <f t="shared" si="24"/>
        <v>-24.528301886792452</v>
      </c>
      <c r="L150" s="75">
        <f>VLOOKUP($A150,'Data Vlaue (Cr)'!$C:$FB,67)</f>
        <v>3613</v>
      </c>
      <c r="M150" s="75">
        <f>VLOOKUP($A150,'Data Vlaue (Cr)'!$C:$FB,68)</f>
        <v>6616</v>
      </c>
      <c r="N150" s="75">
        <f t="shared" si="22"/>
        <v>-3003</v>
      </c>
      <c r="O150" s="75">
        <f t="shared" si="23"/>
        <v>-83.116523664544701</v>
      </c>
      <c r="P150" s="75">
        <f>VLOOKUP($A150,'Data Vlaue (Cr)'!$C:$FB,119)</f>
        <v>0.76</v>
      </c>
      <c r="Q150" s="75">
        <f>VLOOKUP($A150,'Data Vlaue (Cr)'!$C:$FB,122)*100</f>
        <v>24.59</v>
      </c>
      <c r="R150" s="75">
        <f>VLOOKUP($A150,'Data Vlaue (Cr)'!$C:$FB,125)</f>
        <v>0.34</v>
      </c>
      <c r="S150" s="75">
        <f>VLOOKUP($A150,'Data Vlaue (Cr)'!$C:$FB,128)*100</f>
        <v>-42.370000000000005</v>
      </c>
    </row>
    <row r="151" spans="1:19" x14ac:dyDescent="0.25">
      <c r="A151" s="96" t="str">
        <f>'Data Vlaue (Cr)'!C142</f>
        <v>NBCC</v>
      </c>
      <c r="B151" s="75">
        <f>VLOOKUP($A151,'Data Vlaue (Cr)'!$C:$FB,2)</f>
        <v>6500</v>
      </c>
      <c r="C151" s="75">
        <f>VLOOKUP($A151,'Data Vlaue (Cr)'!$C:$FB,8)</f>
        <v>95.55</v>
      </c>
      <c r="D151" s="75">
        <f>VLOOKUP($A151,'Data Vlaue (Cr)'!$C:$FB,4)</f>
        <v>96.5</v>
      </c>
      <c r="E151" s="75">
        <f>VLOOKUP($A151,'Data Vlaue (Cr)'!$C:$FB,5)</f>
        <v>97.49</v>
      </c>
      <c r="F151" s="75">
        <f t="shared" si="18"/>
        <v>0.95000000000000284</v>
      </c>
      <c r="G151" s="75">
        <f t="shared" si="19"/>
        <v>-1.0259067357512899</v>
      </c>
      <c r="H151" s="75">
        <f>VLOOKUP($A151,'Data Vlaue (Cr)'!$C:$FB,99)</f>
        <v>1205</v>
      </c>
      <c r="I151" s="75">
        <f>VLOOKUP($A151,'Data Vlaue (Cr)'!$C:$FB,100)</f>
        <v>1343</v>
      </c>
      <c r="J151" s="75">
        <f t="shared" si="20"/>
        <v>-138</v>
      </c>
      <c r="K151" s="75">
        <f t="shared" si="24"/>
        <v>-11.452282157676349</v>
      </c>
      <c r="L151" s="75">
        <f>VLOOKUP($A151,'Data Vlaue (Cr)'!$C:$FB,67)</f>
        <v>1557</v>
      </c>
      <c r="M151" s="75">
        <f>VLOOKUP($A151,'Data Vlaue (Cr)'!$C:$FB,68)</f>
        <v>2258</v>
      </c>
      <c r="N151" s="75">
        <f t="shared" si="22"/>
        <v>-701</v>
      </c>
      <c r="O151" s="75">
        <f t="shared" si="23"/>
        <v>-45.022479126525369</v>
      </c>
      <c r="P151" s="75">
        <f>VLOOKUP($A151,'Data Vlaue (Cr)'!$C:$FB,119)</f>
        <v>0.61</v>
      </c>
      <c r="Q151" s="75">
        <f>VLOOKUP($A151,'Data Vlaue (Cr)'!$C:$FB,122)*100</f>
        <v>-11.59</v>
      </c>
      <c r="R151" s="75">
        <f>VLOOKUP($A151,'Data Vlaue (Cr)'!$C:$FB,125)</f>
        <v>0.48</v>
      </c>
      <c r="S151" s="75">
        <f>VLOOKUP($A151,'Data Vlaue (Cr)'!$C:$FB,128)*100</f>
        <v>0</v>
      </c>
    </row>
    <row r="152" spans="1:19" x14ac:dyDescent="0.25">
      <c r="A152" s="96" t="str">
        <f>'Data Vlaue (Cr)'!C143</f>
        <v>NESTLEIND</v>
      </c>
      <c r="B152" s="75">
        <f>VLOOKUP($A152,'Data Vlaue (Cr)'!$C:$FB,2)</f>
        <v>500</v>
      </c>
      <c r="C152" s="75">
        <f>VLOOKUP($A152,'Data Vlaue (Cr)'!$C:$FB,8)</f>
        <v>1428.6</v>
      </c>
      <c r="D152" s="75">
        <f>VLOOKUP($A152,'Data Vlaue (Cr)'!$C:$FB,4)</f>
        <v>1437</v>
      </c>
      <c r="E152" s="75">
        <f>VLOOKUP($A152,'Data Vlaue (Cr)'!$C:$FB,5)</f>
        <v>1424.3</v>
      </c>
      <c r="F152" s="75">
        <f t="shared" si="18"/>
        <v>8.4000000000000909</v>
      </c>
      <c r="G152" s="75">
        <f t="shared" si="19"/>
        <v>0.88378566457898711</v>
      </c>
      <c r="H152" s="75">
        <f>VLOOKUP($A152,'Data Vlaue (Cr)'!$C:$FB,99)</f>
        <v>2161</v>
      </c>
      <c r="I152" s="75">
        <f>VLOOKUP($A152,'Data Vlaue (Cr)'!$C:$FB,100)</f>
        <v>3204</v>
      </c>
      <c r="J152" s="75">
        <f t="shared" si="20"/>
        <v>-1043</v>
      </c>
      <c r="K152" s="75">
        <f t="shared" si="24"/>
        <v>-48.264692272096248</v>
      </c>
      <c r="L152" s="75">
        <f>VLOOKUP($A152,'Data Vlaue (Cr)'!$C:$FB,67)</f>
        <v>1008</v>
      </c>
      <c r="M152" s="75">
        <f>VLOOKUP($A152,'Data Vlaue (Cr)'!$C:$FB,68)</f>
        <v>1650</v>
      </c>
      <c r="N152" s="75">
        <f t="shared" si="22"/>
        <v>-642</v>
      </c>
      <c r="O152" s="75">
        <f t="shared" si="23"/>
        <v>-63.69047619047619</v>
      </c>
      <c r="P152" s="75">
        <f>VLOOKUP($A152,'Data Vlaue (Cr)'!$C:$FB,119)</f>
        <v>0.9</v>
      </c>
      <c r="Q152" s="75">
        <f>VLOOKUP($A152,'Data Vlaue (Cr)'!$C:$FB,122)*100</f>
        <v>25</v>
      </c>
      <c r="R152" s="75">
        <f>VLOOKUP($A152,'Data Vlaue (Cr)'!$C:$FB,125)</f>
        <v>0.64</v>
      </c>
      <c r="S152" s="75">
        <f>VLOOKUP($A152,'Data Vlaue (Cr)'!$C:$FB,128)*100</f>
        <v>18.52</v>
      </c>
    </row>
    <row r="153" spans="1:19" x14ac:dyDescent="0.25">
      <c r="A153" s="96" t="str">
        <f>'Data Vlaue (Cr)'!C144</f>
        <v>NHPC</v>
      </c>
      <c r="B153" s="75">
        <f>VLOOKUP($A153,'Data Vlaue (Cr)'!$C:$FB,2)</f>
        <v>6400</v>
      </c>
      <c r="C153" s="75">
        <f>VLOOKUP($A153,'Data Vlaue (Cr)'!$C:$FB,8)</f>
        <v>78.44</v>
      </c>
      <c r="D153" s="75">
        <f>VLOOKUP($A153,'Data Vlaue (Cr)'!$C:$FB,4)</f>
        <v>78.319999999999993</v>
      </c>
      <c r="E153" s="75">
        <f>VLOOKUP($A153,'Data Vlaue (Cr)'!$C:$FB,5)</f>
        <v>78.34</v>
      </c>
      <c r="F153" s="75">
        <f t="shared" si="18"/>
        <v>-0.12000000000000455</v>
      </c>
      <c r="G153" s="75">
        <f t="shared" si="19"/>
        <v>-2.5536261491330738E-2</v>
      </c>
      <c r="H153" s="75">
        <f>VLOOKUP($A153,'Data Vlaue (Cr)'!$C:$FB,99)</f>
        <v>1199</v>
      </c>
      <c r="I153" s="75">
        <f>VLOOKUP($A153,'Data Vlaue (Cr)'!$C:$FB,100)</f>
        <v>1687</v>
      </c>
      <c r="J153" s="75">
        <f t="shared" si="20"/>
        <v>-488</v>
      </c>
      <c r="K153" s="75">
        <f t="shared" si="24"/>
        <v>-40.700583819849875</v>
      </c>
      <c r="L153" s="75">
        <f>VLOOKUP($A153,'Data Vlaue (Cr)'!$C:$FB,67)</f>
        <v>676</v>
      </c>
      <c r="M153" s="75">
        <f>VLOOKUP($A153,'Data Vlaue (Cr)'!$C:$FB,68)</f>
        <v>1082</v>
      </c>
      <c r="N153" s="75">
        <f t="shared" si="22"/>
        <v>-406</v>
      </c>
      <c r="O153" s="75">
        <f t="shared" si="23"/>
        <v>-60.059171597633132</v>
      </c>
      <c r="P153" s="75">
        <f>VLOOKUP($A153,'Data Vlaue (Cr)'!$C:$FB,119)</f>
        <v>0.68</v>
      </c>
      <c r="Q153" s="75">
        <f>VLOOKUP($A153,'Data Vlaue (Cr)'!$C:$FB,122)*100</f>
        <v>33.33</v>
      </c>
      <c r="R153" s="75">
        <f>VLOOKUP($A153,'Data Vlaue (Cr)'!$C:$FB,125)</f>
        <v>0.55000000000000004</v>
      </c>
      <c r="S153" s="75">
        <f>VLOOKUP($A153,'Data Vlaue (Cr)'!$C:$FB,128)*100</f>
        <v>71.88</v>
      </c>
    </row>
    <row r="154" spans="1:19" x14ac:dyDescent="0.25">
      <c r="A154" s="96" t="str">
        <f>'Data Vlaue (Cr)'!C145</f>
        <v>NIFTY</v>
      </c>
      <c r="B154" s="75">
        <f>VLOOKUP($A154,'Data Vlaue (Cr)'!$C:$FB,2)</f>
        <v>65</v>
      </c>
      <c r="C154" s="75">
        <f>VLOOKUP($A154,'Data Vlaue (Cr)'!$C:$FB,8)</f>
        <v>23913.7</v>
      </c>
      <c r="D154" s="75">
        <f>VLOOKUP($A154,'Data Vlaue (Cr)'!$C:$FB,4)</f>
        <v>23978.9</v>
      </c>
      <c r="E154" s="75">
        <f>VLOOKUP($A154,'Data Vlaue (Cr)'!$C:$FB,5)</f>
        <v>24106.400000000001</v>
      </c>
      <c r="F154" s="75">
        <f t="shared" si="18"/>
        <v>65.200000000000728</v>
      </c>
      <c r="G154" s="75">
        <f t="shared" si="19"/>
        <v>-0.53171746827419097</v>
      </c>
      <c r="H154" s="75">
        <f>VLOOKUP($A154,'Data Vlaue (Cr)'!$C:$FB,99)</f>
        <v>741644</v>
      </c>
      <c r="I154" s="75">
        <f>VLOOKUP($A154,'Data Vlaue (Cr)'!$C:$FB,100)</f>
        <v>1377531</v>
      </c>
      <c r="J154" s="75">
        <f t="shared" si="20"/>
        <v>-635887</v>
      </c>
      <c r="K154" s="75">
        <f t="shared" si="24"/>
        <v>-85.740193408158092</v>
      </c>
      <c r="L154" s="75">
        <f>VLOOKUP($A154,'Data Vlaue (Cr)'!$C:$FB,67)</f>
        <v>48966618</v>
      </c>
      <c r="M154" s="75">
        <f>VLOOKUP($A154,'Data Vlaue (Cr)'!$C:$FB,68)</f>
        <v>16430718</v>
      </c>
      <c r="N154" s="75">
        <f t="shared" si="22"/>
        <v>32535900</v>
      </c>
      <c r="O154" s="75">
        <f t="shared" si="23"/>
        <v>66.445062634303227</v>
      </c>
      <c r="P154" s="75">
        <f>VLOOKUP($A154,'Data Vlaue (Cr)'!$C:$FB,119)</f>
        <v>1.07</v>
      </c>
      <c r="Q154" s="75">
        <f>VLOOKUP($A154,'Data Vlaue (Cr)'!$C:$FB,122)*100</f>
        <v>-15.079999999999998</v>
      </c>
      <c r="R154" s="75">
        <f>VLOOKUP($A154,'Data Vlaue (Cr)'!$C:$FB,125)</f>
        <v>1.1200000000000001</v>
      </c>
      <c r="S154" s="75">
        <f>VLOOKUP($A154,'Data Vlaue (Cr)'!$C:$FB,128)*100</f>
        <v>12</v>
      </c>
    </row>
    <row r="155" spans="1:19" x14ac:dyDescent="0.25">
      <c r="A155" s="96" t="str">
        <f>'Data Vlaue (Cr)'!C146</f>
        <v>NIFTYNXT50</v>
      </c>
      <c r="B155" s="75">
        <f>VLOOKUP($A155,'Data Vlaue (Cr)'!$C:$FB,2)</f>
        <v>25</v>
      </c>
      <c r="C155" s="75">
        <f>VLOOKUP($A155,'Data Vlaue (Cr)'!$C:$FB,8)</f>
        <v>70945.100000000006</v>
      </c>
      <c r="D155" s="75">
        <f>VLOOKUP($A155,'Data Vlaue (Cr)'!$C:$FB,4)</f>
        <v>71323.600000000006</v>
      </c>
      <c r="E155" s="75">
        <f>VLOOKUP($A155,'Data Vlaue (Cr)'!$C:$FB,5)</f>
        <v>71189</v>
      </c>
      <c r="F155" s="75">
        <f t="shared" si="18"/>
        <v>378.5</v>
      </c>
      <c r="G155" s="75">
        <f t="shared" si="19"/>
        <v>0.18871733900140461</v>
      </c>
      <c r="H155" s="75">
        <f>VLOOKUP($A155,'Data Vlaue (Cr)'!$C:$FB,99)</f>
        <v>117</v>
      </c>
      <c r="I155" s="75">
        <f>VLOOKUP($A155,'Data Vlaue (Cr)'!$C:$FB,100)</f>
        <v>397</v>
      </c>
      <c r="J155" s="75">
        <f t="shared" si="20"/>
        <v>-280</v>
      </c>
      <c r="K155" s="75">
        <f t="shared" si="24"/>
        <v>-239.31623931623932</v>
      </c>
      <c r="L155" s="75">
        <f>VLOOKUP($A155,'Data Vlaue (Cr)'!$C:$FB,67)</f>
        <v>3153</v>
      </c>
      <c r="M155" s="75">
        <f>VLOOKUP($A155,'Data Vlaue (Cr)'!$C:$FB,68)</f>
        <v>693</v>
      </c>
      <c r="N155" s="75">
        <f t="shared" si="22"/>
        <v>2460</v>
      </c>
      <c r="O155" s="75">
        <f t="shared" si="23"/>
        <v>78.0209324452902</v>
      </c>
      <c r="P155" s="75">
        <f>VLOOKUP($A155,'Data Vlaue (Cr)'!$C:$FB,119)</f>
        <v>1</v>
      </c>
      <c r="Q155" s="75">
        <f>VLOOKUP($A155,'Data Vlaue (Cr)'!$C:$FB,122)*100</f>
        <v>14.940000000000001</v>
      </c>
      <c r="R155" s="75">
        <f>VLOOKUP($A155,'Data Vlaue (Cr)'!$C:$FB,125)</f>
        <v>0.74</v>
      </c>
      <c r="S155" s="75">
        <f>VLOOKUP($A155,'Data Vlaue (Cr)'!$C:$FB,128)*100</f>
        <v>89.74</v>
      </c>
    </row>
    <row r="156" spans="1:19" x14ac:dyDescent="0.25">
      <c r="A156" s="96" t="str">
        <f>'Data Vlaue (Cr)'!C147</f>
        <v>NMDC</v>
      </c>
      <c r="B156" s="75">
        <f>VLOOKUP($A156,'Data Vlaue (Cr)'!$C:$FB,2)</f>
        <v>6750</v>
      </c>
      <c r="C156" s="75">
        <f>VLOOKUP($A156,'Data Vlaue (Cr)'!$C:$FB,8)</f>
        <v>90.67</v>
      </c>
      <c r="D156" s="75">
        <f>VLOOKUP($A156,'Data Vlaue (Cr)'!$C:$FB,4)</f>
        <v>91.36</v>
      </c>
      <c r="E156" s="75">
        <f>VLOOKUP($A156,'Data Vlaue (Cr)'!$C:$FB,5)</f>
        <v>91.01</v>
      </c>
      <c r="F156" s="75">
        <f t="shared" si="18"/>
        <v>0.68999999999999773</v>
      </c>
      <c r="G156" s="75">
        <f t="shared" si="19"/>
        <v>0.3830998248686453</v>
      </c>
      <c r="H156" s="75">
        <f>VLOOKUP($A156,'Data Vlaue (Cr)'!$C:$FB,99)</f>
        <v>3957</v>
      </c>
      <c r="I156" s="75">
        <f>VLOOKUP($A156,'Data Vlaue (Cr)'!$C:$FB,100)</f>
        <v>4393</v>
      </c>
      <c r="J156" s="75">
        <f t="shared" si="20"/>
        <v>-436</v>
      </c>
      <c r="K156" s="75">
        <f t="shared" si="24"/>
        <v>-11.018448319433913</v>
      </c>
      <c r="L156" s="75">
        <f>VLOOKUP($A156,'Data Vlaue (Cr)'!$C:$FB,67)</f>
        <v>2626</v>
      </c>
      <c r="M156" s="75">
        <f>VLOOKUP($A156,'Data Vlaue (Cr)'!$C:$FB,68)</f>
        <v>2307</v>
      </c>
      <c r="N156" s="75">
        <f t="shared" si="22"/>
        <v>319</v>
      </c>
      <c r="O156" s="75">
        <f t="shared" si="23"/>
        <v>12.147753236862147</v>
      </c>
      <c r="P156" s="75">
        <f>VLOOKUP($A156,'Data Vlaue (Cr)'!$C:$FB,119)</f>
        <v>0.52</v>
      </c>
      <c r="Q156" s="75">
        <f>VLOOKUP($A156,'Data Vlaue (Cr)'!$C:$FB,122)*100</f>
        <v>-1.8900000000000001</v>
      </c>
      <c r="R156" s="75">
        <f>VLOOKUP($A156,'Data Vlaue (Cr)'!$C:$FB,125)</f>
        <v>0.48</v>
      </c>
      <c r="S156" s="75">
        <f>VLOOKUP($A156,'Data Vlaue (Cr)'!$C:$FB,128)*100</f>
        <v>41.18</v>
      </c>
    </row>
    <row r="157" spans="1:19" x14ac:dyDescent="0.25">
      <c r="A157" s="96" t="str">
        <f>'Data Vlaue (Cr)'!C148</f>
        <v>NTPC</v>
      </c>
      <c r="B157" s="75">
        <f>VLOOKUP($A157,'Data Vlaue (Cr)'!$C:$FB,2)</f>
        <v>1500</v>
      </c>
      <c r="C157" s="75">
        <f>VLOOKUP($A157,'Data Vlaue (Cr)'!$C:$FB,8)</f>
        <v>389.7</v>
      </c>
      <c r="D157" s="75">
        <f>VLOOKUP($A157,'Data Vlaue (Cr)'!$C:$FB,4)</f>
        <v>392.65</v>
      </c>
      <c r="E157" s="75">
        <f>VLOOKUP($A157,'Data Vlaue (Cr)'!$C:$FB,5)</f>
        <v>393.2</v>
      </c>
      <c r="F157" s="75">
        <f t="shared" si="18"/>
        <v>2.9499999999999886</v>
      </c>
      <c r="G157" s="75">
        <f t="shared" si="19"/>
        <v>-0.14007385712466863</v>
      </c>
      <c r="H157" s="75">
        <f>VLOOKUP($A157,'Data Vlaue (Cr)'!$C:$FB,99)</f>
        <v>5800</v>
      </c>
      <c r="I157" s="75">
        <f>VLOOKUP($A157,'Data Vlaue (Cr)'!$C:$FB,100)</f>
        <v>9514</v>
      </c>
      <c r="J157" s="75">
        <f t="shared" si="20"/>
        <v>-3714</v>
      </c>
      <c r="K157" s="75">
        <f t="shared" si="24"/>
        <v>-64.034482758620697</v>
      </c>
      <c r="L157" s="75">
        <f>VLOOKUP($A157,'Data Vlaue (Cr)'!$C:$FB,67)</f>
        <v>3246</v>
      </c>
      <c r="M157" s="75">
        <f>VLOOKUP($A157,'Data Vlaue (Cr)'!$C:$FB,68)</f>
        <v>7716</v>
      </c>
      <c r="N157" s="75">
        <f t="shared" si="22"/>
        <v>-4470</v>
      </c>
      <c r="O157" s="75">
        <f t="shared" si="23"/>
        <v>-137.7079482439926</v>
      </c>
      <c r="P157" s="75">
        <f>VLOOKUP($A157,'Data Vlaue (Cr)'!$C:$FB,119)</f>
        <v>0.75</v>
      </c>
      <c r="Q157" s="75">
        <f>VLOOKUP($A157,'Data Vlaue (Cr)'!$C:$FB,122)*100</f>
        <v>177.78</v>
      </c>
      <c r="R157" s="75">
        <f>VLOOKUP($A157,'Data Vlaue (Cr)'!$C:$FB,125)</f>
        <v>0.63</v>
      </c>
      <c r="S157" s="75">
        <f>VLOOKUP($A157,'Data Vlaue (Cr)'!$C:$FB,128)*100</f>
        <v>12.5</v>
      </c>
    </row>
    <row r="158" spans="1:19" x14ac:dyDescent="0.25">
      <c r="A158" s="96" t="str">
        <f>'Data Vlaue (Cr)'!C149</f>
        <v>NUVAMA</v>
      </c>
      <c r="B158" s="75">
        <f>VLOOKUP($A158,'Data Vlaue (Cr)'!$C:$FB,2)</f>
        <v>500</v>
      </c>
      <c r="C158" s="75">
        <f>VLOOKUP($A158,'Data Vlaue (Cr)'!$C:$FB,8)</f>
        <v>1513.4</v>
      </c>
      <c r="D158" s="75">
        <f>VLOOKUP($A158,'Data Vlaue (Cr)'!$C:$FB,4)</f>
        <v>1523.8</v>
      </c>
      <c r="E158" s="75">
        <f>VLOOKUP($A158,'Data Vlaue (Cr)'!$C:$FB,5)</f>
        <v>1514.7</v>
      </c>
      <c r="F158" s="75">
        <f t="shared" si="18"/>
        <v>10.399999999999864</v>
      </c>
      <c r="G158" s="75">
        <f t="shared" si="19"/>
        <v>0.59719123244519678</v>
      </c>
      <c r="H158" s="75">
        <f>VLOOKUP($A158,'Data Vlaue (Cr)'!$C:$FB,99)</f>
        <v>307</v>
      </c>
      <c r="I158" s="75">
        <f>VLOOKUP($A158,'Data Vlaue (Cr)'!$C:$FB,100)</f>
        <v>690</v>
      </c>
      <c r="J158" s="75">
        <f t="shared" si="20"/>
        <v>-383</v>
      </c>
      <c r="K158" s="75">
        <f t="shared" si="24"/>
        <v>-124.7557003257329</v>
      </c>
      <c r="L158" s="75">
        <f>VLOOKUP($A158,'Data Vlaue (Cr)'!$C:$FB,67)</f>
        <v>591</v>
      </c>
      <c r="M158" s="75">
        <f>VLOOKUP($A158,'Data Vlaue (Cr)'!$C:$FB,68)</f>
        <v>685</v>
      </c>
      <c r="N158" s="75">
        <f t="shared" si="22"/>
        <v>-94</v>
      </c>
      <c r="O158" s="75">
        <f t="shared" si="23"/>
        <v>-15.905245346869712</v>
      </c>
      <c r="P158" s="75">
        <f>VLOOKUP($A158,'Data Vlaue (Cr)'!$C:$FB,119)</f>
        <v>0.55000000000000004</v>
      </c>
      <c r="Q158" s="75">
        <f>VLOOKUP($A158,'Data Vlaue (Cr)'!$C:$FB,122)*100</f>
        <v>-11.29</v>
      </c>
      <c r="R158" s="75">
        <f>VLOOKUP($A158,'Data Vlaue (Cr)'!$C:$FB,125)</f>
        <v>0.48</v>
      </c>
      <c r="S158" s="75">
        <f>VLOOKUP($A158,'Data Vlaue (Cr)'!$C:$FB,128)*100</f>
        <v>-2.04</v>
      </c>
    </row>
    <row r="159" spans="1:19" x14ac:dyDescent="0.25">
      <c r="A159" s="96" t="str">
        <f>'Data Vlaue (Cr)'!C150</f>
        <v>NYKAA</v>
      </c>
      <c r="B159" s="75">
        <f>VLOOKUP($A159,'Data Vlaue (Cr)'!$C:$FB,2)</f>
        <v>3125</v>
      </c>
      <c r="C159" s="75">
        <f>VLOOKUP($A159,'Data Vlaue (Cr)'!$C:$FB,8)</f>
        <v>266.35000000000002</v>
      </c>
      <c r="D159" s="75">
        <f>VLOOKUP($A159,'Data Vlaue (Cr)'!$C:$FB,4)</f>
        <v>268.14999999999998</v>
      </c>
      <c r="E159" s="75">
        <f>VLOOKUP($A159,'Data Vlaue (Cr)'!$C:$FB,5)</f>
        <v>271.75</v>
      </c>
      <c r="F159" s="75">
        <f t="shared" si="18"/>
        <v>1.7999999999999545</v>
      </c>
      <c r="G159" s="75">
        <f t="shared" si="19"/>
        <v>-1.3425321648331243</v>
      </c>
      <c r="H159" s="75">
        <f>VLOOKUP($A159,'Data Vlaue (Cr)'!$C:$FB,99)</f>
        <v>2157</v>
      </c>
      <c r="I159" s="75">
        <f>VLOOKUP($A159,'Data Vlaue (Cr)'!$C:$FB,100)</f>
        <v>2646</v>
      </c>
      <c r="J159" s="75">
        <f t="shared" si="20"/>
        <v>-489</v>
      </c>
      <c r="K159" s="75">
        <f t="shared" si="24"/>
        <v>-22.67037552155772</v>
      </c>
      <c r="L159" s="75">
        <f>VLOOKUP($A159,'Data Vlaue (Cr)'!$C:$FB,67)</f>
        <v>1664</v>
      </c>
      <c r="M159" s="75">
        <f>VLOOKUP($A159,'Data Vlaue (Cr)'!$C:$FB,68)</f>
        <v>3693</v>
      </c>
      <c r="N159" s="75">
        <f t="shared" si="22"/>
        <v>-2029</v>
      </c>
      <c r="O159" s="75">
        <f t="shared" si="23"/>
        <v>-121.93509615384615</v>
      </c>
      <c r="P159" s="75">
        <f>VLOOKUP($A159,'Data Vlaue (Cr)'!$C:$FB,119)</f>
        <v>0.33</v>
      </c>
      <c r="Q159" s="75">
        <f>VLOOKUP($A159,'Data Vlaue (Cr)'!$C:$FB,122)*100</f>
        <v>-2.94</v>
      </c>
      <c r="R159" s="75">
        <f>VLOOKUP($A159,'Data Vlaue (Cr)'!$C:$FB,125)</f>
        <v>0.33</v>
      </c>
      <c r="S159" s="75">
        <f>VLOOKUP($A159,'Data Vlaue (Cr)'!$C:$FB,128)*100</f>
        <v>3.1300000000000003</v>
      </c>
    </row>
    <row r="160" spans="1:19" x14ac:dyDescent="0.25">
      <c r="A160" s="96" t="str">
        <f>'Data Vlaue (Cr)'!C151</f>
        <v>OBEROIRLTY</v>
      </c>
      <c r="B160" s="75">
        <f>VLOOKUP($A160,'Data Vlaue (Cr)'!$C:$FB,2)</f>
        <v>350</v>
      </c>
      <c r="C160" s="75">
        <f>VLOOKUP($A160,'Data Vlaue (Cr)'!$C:$FB,8)</f>
        <v>1693.7</v>
      </c>
      <c r="D160" s="75">
        <f>VLOOKUP($A160,'Data Vlaue (Cr)'!$C:$FB,4)</f>
        <v>1685.7</v>
      </c>
      <c r="E160" s="75">
        <f>VLOOKUP($A160,'Data Vlaue (Cr)'!$C:$FB,5)</f>
        <v>1699.1</v>
      </c>
      <c r="F160" s="75">
        <f t="shared" si="18"/>
        <v>-8</v>
      </c>
      <c r="G160" s="75">
        <f t="shared" si="19"/>
        <v>-0.79492199086432136</v>
      </c>
      <c r="H160" s="75">
        <f>VLOOKUP($A160,'Data Vlaue (Cr)'!$C:$FB,99)</f>
        <v>1142</v>
      </c>
      <c r="I160" s="75">
        <f>VLOOKUP($A160,'Data Vlaue (Cr)'!$C:$FB,100)</f>
        <v>1677</v>
      </c>
      <c r="J160" s="75">
        <f t="shared" si="20"/>
        <v>-535</v>
      </c>
      <c r="K160" s="75">
        <f t="shared" si="24"/>
        <v>-46.847635726795097</v>
      </c>
      <c r="L160" s="75">
        <f>VLOOKUP($A160,'Data Vlaue (Cr)'!$C:$FB,67)</f>
        <v>664</v>
      </c>
      <c r="M160" s="75">
        <f>VLOOKUP($A160,'Data Vlaue (Cr)'!$C:$FB,68)</f>
        <v>1692</v>
      </c>
      <c r="N160" s="75">
        <f t="shared" si="22"/>
        <v>-1028</v>
      </c>
      <c r="O160" s="75">
        <f t="shared" si="23"/>
        <v>-154.81927710843374</v>
      </c>
      <c r="P160" s="75">
        <f>VLOOKUP($A160,'Data Vlaue (Cr)'!$C:$FB,119)</f>
        <v>0.78</v>
      </c>
      <c r="Q160" s="75">
        <f>VLOOKUP($A160,'Data Vlaue (Cr)'!$C:$FB,122)*100</f>
        <v>25.81</v>
      </c>
      <c r="R160" s="75">
        <f>VLOOKUP($A160,'Data Vlaue (Cr)'!$C:$FB,125)</f>
        <v>0.63</v>
      </c>
      <c r="S160" s="75">
        <f>VLOOKUP($A160,'Data Vlaue (Cr)'!$C:$FB,128)*100</f>
        <v>43.18</v>
      </c>
    </row>
    <row r="161" spans="1:19" x14ac:dyDescent="0.25">
      <c r="A161" s="96" t="str">
        <f>'Data Vlaue (Cr)'!C152</f>
        <v>OFSS</v>
      </c>
      <c r="B161" s="75">
        <f>VLOOKUP($A161,'Data Vlaue (Cr)'!$C:$FB,2)</f>
        <v>75</v>
      </c>
      <c r="C161" s="75">
        <f>VLOOKUP($A161,'Data Vlaue (Cr)'!$C:$FB,8)</f>
        <v>9882</v>
      </c>
      <c r="D161" s="75">
        <f>VLOOKUP($A161,'Data Vlaue (Cr)'!$C:$FB,4)</f>
        <v>9783</v>
      </c>
      <c r="E161" s="75">
        <f>VLOOKUP($A161,'Data Vlaue (Cr)'!$C:$FB,5)</f>
        <v>9624.5</v>
      </c>
      <c r="F161" s="75">
        <f t="shared" si="18"/>
        <v>-99</v>
      </c>
      <c r="G161" s="75">
        <f t="shared" si="19"/>
        <v>1.6201574159255852</v>
      </c>
      <c r="H161" s="75">
        <f>VLOOKUP($A161,'Data Vlaue (Cr)'!$C:$FB,99)</f>
        <v>1473</v>
      </c>
      <c r="I161" s="75">
        <f>VLOOKUP($A161,'Data Vlaue (Cr)'!$C:$FB,100)</f>
        <v>2505</v>
      </c>
      <c r="J161" s="75">
        <f t="shared" si="20"/>
        <v>-1032</v>
      </c>
      <c r="K161" s="75">
        <f t="shared" si="24"/>
        <v>-70.06109979633402</v>
      </c>
      <c r="L161" s="75">
        <f>VLOOKUP($A161,'Data Vlaue (Cr)'!$C:$FB,67)</f>
        <v>2736</v>
      </c>
      <c r="M161" s="75">
        <f>VLOOKUP($A161,'Data Vlaue (Cr)'!$C:$FB,68)</f>
        <v>3716</v>
      </c>
      <c r="N161" s="75">
        <f t="shared" si="22"/>
        <v>-980</v>
      </c>
      <c r="O161" s="75">
        <f t="shared" si="23"/>
        <v>-35.8187134502924</v>
      </c>
      <c r="P161" s="75">
        <f>VLOOKUP($A161,'Data Vlaue (Cr)'!$C:$FB,119)</f>
        <v>0.73</v>
      </c>
      <c r="Q161" s="75">
        <f>VLOOKUP($A161,'Data Vlaue (Cr)'!$C:$FB,122)*100</f>
        <v>-15.120000000000001</v>
      </c>
      <c r="R161" s="75">
        <f>VLOOKUP($A161,'Data Vlaue (Cr)'!$C:$FB,125)</f>
        <v>0.6</v>
      </c>
      <c r="S161" s="75">
        <f>VLOOKUP($A161,'Data Vlaue (Cr)'!$C:$FB,128)*100</f>
        <v>-14.29</v>
      </c>
    </row>
    <row r="162" spans="1:19" x14ac:dyDescent="0.25">
      <c r="A162" s="96" t="str">
        <f>'Data Vlaue (Cr)'!C153</f>
        <v>OIL</v>
      </c>
      <c r="B162" s="75">
        <f>VLOOKUP($A162,'Data Vlaue (Cr)'!$C:$FB,2)</f>
        <v>1400</v>
      </c>
      <c r="C162" s="75">
        <f>VLOOKUP($A162,'Data Vlaue (Cr)'!$C:$FB,8)</f>
        <v>492.1</v>
      </c>
      <c r="D162" s="75">
        <f>VLOOKUP($A162,'Data Vlaue (Cr)'!$C:$FB,4)</f>
        <v>496.35</v>
      </c>
      <c r="E162" s="75">
        <f>VLOOKUP($A162,'Data Vlaue (Cr)'!$C:$FB,5)</f>
        <v>486.8</v>
      </c>
      <c r="F162" s="75">
        <f t="shared" si="18"/>
        <v>4.25</v>
      </c>
      <c r="G162" s="75">
        <f t="shared" si="19"/>
        <v>1.924045532386423</v>
      </c>
      <c r="H162" s="75">
        <f>VLOOKUP($A162,'Data Vlaue (Cr)'!$C:$FB,99)</f>
        <v>940</v>
      </c>
      <c r="I162" s="75">
        <f>VLOOKUP($A162,'Data Vlaue (Cr)'!$C:$FB,100)</f>
        <v>1631</v>
      </c>
      <c r="J162" s="75">
        <f t="shared" si="20"/>
        <v>-691</v>
      </c>
      <c r="K162" s="75">
        <f t="shared" si="24"/>
        <v>-73.510638297872347</v>
      </c>
      <c r="L162" s="75">
        <f>VLOOKUP($A162,'Data Vlaue (Cr)'!$C:$FB,67)</f>
        <v>1155</v>
      </c>
      <c r="M162" s="75">
        <f>VLOOKUP($A162,'Data Vlaue (Cr)'!$C:$FB,68)</f>
        <v>1637</v>
      </c>
      <c r="N162" s="75">
        <f t="shared" si="22"/>
        <v>-482</v>
      </c>
      <c r="O162" s="75">
        <f t="shared" si="23"/>
        <v>-41.731601731601728</v>
      </c>
      <c r="P162" s="75">
        <f>VLOOKUP($A162,'Data Vlaue (Cr)'!$C:$FB,119)</f>
        <v>0.68</v>
      </c>
      <c r="Q162" s="75">
        <f>VLOOKUP($A162,'Data Vlaue (Cr)'!$C:$FB,122)*100</f>
        <v>0</v>
      </c>
      <c r="R162" s="75">
        <f>VLOOKUP($A162,'Data Vlaue (Cr)'!$C:$FB,125)</f>
        <v>0.51</v>
      </c>
      <c r="S162" s="75">
        <f>VLOOKUP($A162,'Data Vlaue (Cr)'!$C:$FB,128)*100</f>
        <v>-47.96</v>
      </c>
    </row>
    <row r="163" spans="1:19" x14ac:dyDescent="0.25">
      <c r="A163" s="96" t="str">
        <f>'Data Vlaue (Cr)'!C154</f>
        <v>ONGC</v>
      </c>
      <c r="B163" s="75">
        <f>VLOOKUP($A163,'Data Vlaue (Cr)'!$C:$FB,2)</f>
        <v>2250</v>
      </c>
      <c r="C163" s="75">
        <f>VLOOKUP($A163,'Data Vlaue (Cr)'!$C:$FB,8)</f>
        <v>287.5</v>
      </c>
      <c r="D163" s="75">
        <f>VLOOKUP($A163,'Data Vlaue (Cr)'!$C:$FB,4)</f>
        <v>289.85000000000002</v>
      </c>
      <c r="E163" s="75">
        <f>VLOOKUP($A163,'Data Vlaue (Cr)'!$C:$FB,5)</f>
        <v>287.2</v>
      </c>
      <c r="F163" s="75">
        <f t="shared" si="18"/>
        <v>2.3500000000000227</v>
      </c>
      <c r="G163" s="75">
        <f t="shared" si="19"/>
        <v>0.91426599965500566</v>
      </c>
      <c r="H163" s="75">
        <f>VLOOKUP($A163,'Data Vlaue (Cr)'!$C:$FB,99)</f>
        <v>3725</v>
      </c>
      <c r="I163" s="75">
        <f>VLOOKUP($A163,'Data Vlaue (Cr)'!$C:$FB,100)</f>
        <v>5932</v>
      </c>
      <c r="J163" s="75">
        <f t="shared" si="20"/>
        <v>-2207</v>
      </c>
      <c r="K163" s="75">
        <f t="shared" si="24"/>
        <v>-59.24832214765101</v>
      </c>
      <c r="L163" s="75">
        <f>VLOOKUP($A163,'Data Vlaue (Cr)'!$C:$FB,67)</f>
        <v>3648</v>
      </c>
      <c r="M163" s="75">
        <f>VLOOKUP($A163,'Data Vlaue (Cr)'!$C:$FB,68)</f>
        <v>4798</v>
      </c>
      <c r="N163" s="75">
        <f t="shared" si="22"/>
        <v>-1150</v>
      </c>
      <c r="O163" s="75">
        <f t="shared" si="23"/>
        <v>-31.524122807017545</v>
      </c>
      <c r="P163" s="75">
        <f>VLOOKUP($A163,'Data Vlaue (Cr)'!$C:$FB,119)</f>
        <v>0.62</v>
      </c>
      <c r="Q163" s="75">
        <f>VLOOKUP($A163,'Data Vlaue (Cr)'!$C:$FB,122)*100</f>
        <v>93.75</v>
      </c>
      <c r="R163" s="75">
        <f>VLOOKUP($A163,'Data Vlaue (Cr)'!$C:$FB,125)</f>
        <v>0.52</v>
      </c>
      <c r="S163" s="75">
        <f>VLOOKUP($A163,'Data Vlaue (Cr)'!$C:$FB,128)*100</f>
        <v>-27.779999999999998</v>
      </c>
    </row>
    <row r="164" spans="1:19" x14ac:dyDescent="0.25">
      <c r="A164" s="96" t="str">
        <f>'Data Vlaue (Cr)'!C155</f>
        <v>PAGEIND</v>
      </c>
      <c r="B164" s="75">
        <f>VLOOKUP($A164,'Data Vlaue (Cr)'!$C:$FB,2)</f>
        <v>15</v>
      </c>
      <c r="C164" s="75">
        <f>VLOOKUP($A164,'Data Vlaue (Cr)'!$C:$FB,8)</f>
        <v>38305</v>
      </c>
      <c r="D164" s="75">
        <f>VLOOKUP($A164,'Data Vlaue (Cr)'!$C:$FB,4)</f>
        <v>38375</v>
      </c>
      <c r="E164" s="75">
        <f>VLOOKUP($A164,'Data Vlaue (Cr)'!$C:$FB,5)</f>
        <v>38560</v>
      </c>
      <c r="F164" s="75">
        <f t="shared" si="18"/>
        <v>70</v>
      </c>
      <c r="G164" s="75">
        <f t="shared" si="19"/>
        <v>-0.48208469055374592</v>
      </c>
      <c r="H164" s="75">
        <f>VLOOKUP($A164,'Data Vlaue (Cr)'!$C:$FB,99)</f>
        <v>1309</v>
      </c>
      <c r="I164" s="75">
        <f>VLOOKUP($A164,'Data Vlaue (Cr)'!$C:$FB,100)</f>
        <v>1983</v>
      </c>
      <c r="J164" s="75">
        <f t="shared" si="20"/>
        <v>-674</v>
      </c>
      <c r="K164" s="75">
        <f t="shared" si="24"/>
        <v>-51.48968678380443</v>
      </c>
      <c r="L164" s="75">
        <f>VLOOKUP($A164,'Data Vlaue (Cr)'!$C:$FB,67)</f>
        <v>1220</v>
      </c>
      <c r="M164" s="75">
        <f>VLOOKUP($A164,'Data Vlaue (Cr)'!$C:$FB,68)</f>
        <v>4912</v>
      </c>
      <c r="N164" s="75">
        <f t="shared" si="22"/>
        <v>-3692</v>
      </c>
      <c r="O164" s="75">
        <f t="shared" si="23"/>
        <v>-302.62295081967216</v>
      </c>
      <c r="P164" s="75">
        <f>VLOOKUP($A164,'Data Vlaue (Cr)'!$C:$FB,119)</f>
        <v>0.38</v>
      </c>
      <c r="Q164" s="75">
        <f>VLOOKUP($A164,'Data Vlaue (Cr)'!$C:$FB,122)*100</f>
        <v>-9.5200000000000014</v>
      </c>
      <c r="R164" s="75">
        <f>VLOOKUP($A164,'Data Vlaue (Cr)'!$C:$FB,125)</f>
        <v>0.47</v>
      </c>
      <c r="S164" s="75">
        <f>VLOOKUP($A164,'Data Vlaue (Cr)'!$C:$FB,128)*100</f>
        <v>-40.510000000000005</v>
      </c>
    </row>
    <row r="165" spans="1:19" x14ac:dyDescent="0.25">
      <c r="A165" s="96" t="str">
        <f>'Data Vlaue (Cr)'!C156</f>
        <v>PATANJALI</v>
      </c>
      <c r="B165" s="75">
        <f>VLOOKUP($A165,'Data Vlaue (Cr)'!$C:$FB,2)</f>
        <v>900</v>
      </c>
      <c r="C165" s="75">
        <f>VLOOKUP($A165,'Data Vlaue (Cr)'!$C:$FB,8)</f>
        <v>465.75</v>
      </c>
      <c r="D165" s="75">
        <f>VLOOKUP($A165,'Data Vlaue (Cr)'!$C:$FB,4)</f>
        <v>467.35</v>
      </c>
      <c r="E165" s="75">
        <f>VLOOKUP($A165,'Data Vlaue (Cr)'!$C:$FB,5)</f>
        <v>471.15</v>
      </c>
      <c r="F165" s="75">
        <f t="shared" si="18"/>
        <v>1.6000000000000227</v>
      </c>
      <c r="G165" s="75">
        <f t="shared" si="19"/>
        <v>-0.81309511073070595</v>
      </c>
      <c r="H165" s="75">
        <f>VLOOKUP($A165,'Data Vlaue (Cr)'!$C:$FB,99)</f>
        <v>1710</v>
      </c>
      <c r="I165" s="75">
        <f>VLOOKUP($A165,'Data Vlaue (Cr)'!$C:$FB,100)</f>
        <v>2003</v>
      </c>
      <c r="J165" s="75">
        <f t="shared" si="20"/>
        <v>-293</v>
      </c>
      <c r="K165" s="75">
        <f t="shared" si="24"/>
        <v>-17.134502923976608</v>
      </c>
      <c r="L165" s="75">
        <f>VLOOKUP($A165,'Data Vlaue (Cr)'!$C:$FB,67)</f>
        <v>839</v>
      </c>
      <c r="M165" s="75">
        <f>VLOOKUP($A165,'Data Vlaue (Cr)'!$C:$FB,68)</f>
        <v>1577</v>
      </c>
      <c r="N165" s="75">
        <f t="shared" si="22"/>
        <v>-738</v>
      </c>
      <c r="O165" s="75">
        <f t="shared" si="23"/>
        <v>-87.961859356376635</v>
      </c>
      <c r="P165" s="75">
        <f>VLOOKUP($A165,'Data Vlaue (Cr)'!$C:$FB,119)</f>
        <v>0.94</v>
      </c>
      <c r="Q165" s="75">
        <f>VLOOKUP($A165,'Data Vlaue (Cr)'!$C:$FB,122)*100</f>
        <v>17.5</v>
      </c>
      <c r="R165" s="75">
        <f>VLOOKUP($A165,'Data Vlaue (Cr)'!$C:$FB,125)</f>
        <v>0.6</v>
      </c>
      <c r="S165" s="75">
        <f>VLOOKUP($A165,'Data Vlaue (Cr)'!$C:$FB,128)*100</f>
        <v>-13.04</v>
      </c>
    </row>
    <row r="166" spans="1:19" x14ac:dyDescent="0.25">
      <c r="A166" s="96" t="str">
        <f>'Data Vlaue (Cr)'!C157</f>
        <v>PAYTM</v>
      </c>
      <c r="B166" s="75">
        <f>VLOOKUP($A166,'Data Vlaue (Cr)'!$C:$FB,2)</f>
        <v>725</v>
      </c>
      <c r="C166" s="75">
        <f>VLOOKUP($A166,'Data Vlaue (Cr)'!$C:$FB,8)</f>
        <v>1131.5999999999999</v>
      </c>
      <c r="D166" s="75">
        <f>VLOOKUP($A166,'Data Vlaue (Cr)'!$C:$FB,4)</f>
        <v>1141.3</v>
      </c>
      <c r="E166" s="75">
        <f>VLOOKUP($A166,'Data Vlaue (Cr)'!$C:$FB,5)</f>
        <v>1106.5</v>
      </c>
      <c r="F166" s="75">
        <f t="shared" si="18"/>
        <v>9.7000000000000455</v>
      </c>
      <c r="G166" s="75">
        <f t="shared" si="19"/>
        <v>3.0491544729694167</v>
      </c>
      <c r="H166" s="75">
        <f>VLOOKUP($A166,'Data Vlaue (Cr)'!$C:$FB,99)</f>
        <v>2526</v>
      </c>
      <c r="I166" s="75">
        <f>VLOOKUP($A166,'Data Vlaue (Cr)'!$C:$FB,100)</f>
        <v>3683</v>
      </c>
      <c r="J166" s="75">
        <f t="shared" si="20"/>
        <v>-1157</v>
      </c>
      <c r="K166" s="75">
        <f t="shared" si="24"/>
        <v>-45.803642121931908</v>
      </c>
      <c r="L166" s="75">
        <f>VLOOKUP($A166,'Data Vlaue (Cr)'!$C:$FB,67)</f>
        <v>4083</v>
      </c>
      <c r="M166" s="75">
        <f>VLOOKUP($A166,'Data Vlaue (Cr)'!$C:$FB,68)</f>
        <v>4004</v>
      </c>
      <c r="N166" s="75">
        <f t="shared" si="22"/>
        <v>79</v>
      </c>
      <c r="O166" s="75">
        <f t="shared" si="23"/>
        <v>1.9348518246387461</v>
      </c>
      <c r="P166" s="75">
        <f>VLOOKUP($A166,'Data Vlaue (Cr)'!$C:$FB,119)</f>
        <v>0.65</v>
      </c>
      <c r="Q166" s="75">
        <f>VLOOKUP($A166,'Data Vlaue (Cr)'!$C:$FB,122)*100</f>
        <v>-10.96</v>
      </c>
      <c r="R166" s="75">
        <f>VLOOKUP($A166,'Data Vlaue (Cr)'!$C:$FB,125)</f>
        <v>0.5</v>
      </c>
      <c r="S166" s="75">
        <f>VLOOKUP($A166,'Data Vlaue (Cr)'!$C:$FB,128)*100</f>
        <v>-39.019999999999996</v>
      </c>
    </row>
    <row r="167" spans="1:19" x14ac:dyDescent="0.25">
      <c r="A167" s="96" t="str">
        <f>'Data Vlaue (Cr)'!C158</f>
        <v>PERSISTENT</v>
      </c>
      <c r="B167" s="75">
        <f>VLOOKUP($A167,'Data Vlaue (Cr)'!$C:$FB,2)</f>
        <v>100</v>
      </c>
      <c r="C167" s="75">
        <f>VLOOKUP($A167,'Data Vlaue (Cr)'!$C:$FB,8)</f>
        <v>5105.8</v>
      </c>
      <c r="D167" s="75">
        <f>VLOOKUP($A167,'Data Vlaue (Cr)'!$C:$FB,4)</f>
        <v>5111.8</v>
      </c>
      <c r="E167" s="75">
        <f>VLOOKUP($A167,'Data Vlaue (Cr)'!$C:$FB,5)</f>
        <v>5009.1000000000004</v>
      </c>
      <c r="F167" s="75">
        <f t="shared" si="18"/>
        <v>6</v>
      </c>
      <c r="G167" s="75">
        <f t="shared" si="19"/>
        <v>2.0090770374427755</v>
      </c>
      <c r="H167" s="75">
        <f>VLOOKUP($A167,'Data Vlaue (Cr)'!$C:$FB,99)</f>
        <v>2103</v>
      </c>
      <c r="I167" s="75">
        <f>VLOOKUP($A167,'Data Vlaue (Cr)'!$C:$FB,100)</f>
        <v>3411</v>
      </c>
      <c r="J167" s="75">
        <f t="shared" si="20"/>
        <v>-1308</v>
      </c>
      <c r="K167" s="75">
        <f t="shared" si="24"/>
        <v>-62.196861626248214</v>
      </c>
      <c r="L167" s="75">
        <f>VLOOKUP($A167,'Data Vlaue (Cr)'!$C:$FB,67)</f>
        <v>2086</v>
      </c>
      <c r="M167" s="75">
        <f>VLOOKUP($A167,'Data Vlaue (Cr)'!$C:$FB,68)</f>
        <v>2739</v>
      </c>
      <c r="N167" s="75">
        <f t="shared" si="22"/>
        <v>-653</v>
      </c>
      <c r="O167" s="75">
        <f t="shared" si="23"/>
        <v>-31.3039309683605</v>
      </c>
      <c r="P167" s="75">
        <f>VLOOKUP($A167,'Data Vlaue (Cr)'!$C:$FB,119)</f>
        <v>0.76</v>
      </c>
      <c r="Q167" s="75">
        <f>VLOOKUP($A167,'Data Vlaue (Cr)'!$C:$FB,122)*100</f>
        <v>-8.43</v>
      </c>
      <c r="R167" s="75">
        <f>VLOOKUP($A167,'Data Vlaue (Cr)'!$C:$FB,125)</f>
        <v>0.56999999999999995</v>
      </c>
      <c r="S167" s="75">
        <f>VLOOKUP($A167,'Data Vlaue (Cr)'!$C:$FB,128)*100</f>
        <v>0</v>
      </c>
    </row>
    <row r="168" spans="1:19" x14ac:dyDescent="0.25">
      <c r="A168" s="96" t="str">
        <f>'Data Vlaue (Cr)'!C159</f>
        <v>PETRONET</v>
      </c>
      <c r="B168" s="75">
        <f>VLOOKUP($A168,'Data Vlaue (Cr)'!$C:$FB,2)</f>
        <v>1900</v>
      </c>
      <c r="C168" s="75">
        <f>VLOOKUP($A168,'Data Vlaue (Cr)'!$C:$FB,8)</f>
        <v>280.2</v>
      </c>
      <c r="D168" s="75">
        <f>VLOOKUP($A168,'Data Vlaue (Cr)'!$C:$FB,4)</f>
        <v>281.85000000000002</v>
      </c>
      <c r="E168" s="75">
        <f>VLOOKUP($A168,'Data Vlaue (Cr)'!$C:$FB,5)</f>
        <v>283.45</v>
      </c>
      <c r="F168" s="75">
        <f t="shared" si="18"/>
        <v>1.6500000000000341</v>
      </c>
      <c r="G168" s="75">
        <f t="shared" si="19"/>
        <v>-0.5676778428241851</v>
      </c>
      <c r="H168" s="75">
        <f>VLOOKUP($A168,'Data Vlaue (Cr)'!$C:$FB,99)</f>
        <v>1152</v>
      </c>
      <c r="I168" s="75">
        <f>VLOOKUP($A168,'Data Vlaue (Cr)'!$C:$FB,100)</f>
        <v>1523</v>
      </c>
      <c r="J168" s="75">
        <f t="shared" si="20"/>
        <v>-371</v>
      </c>
      <c r="K168" s="75">
        <f t="shared" si="24"/>
        <v>-32.204861111111107</v>
      </c>
      <c r="L168" s="75">
        <f>VLOOKUP($A168,'Data Vlaue (Cr)'!$C:$FB,67)</f>
        <v>860</v>
      </c>
      <c r="M168" s="75">
        <f>VLOOKUP($A168,'Data Vlaue (Cr)'!$C:$FB,68)</f>
        <v>1327</v>
      </c>
      <c r="N168" s="75">
        <f t="shared" si="22"/>
        <v>-467</v>
      </c>
      <c r="O168" s="75">
        <f t="shared" si="23"/>
        <v>-54.302325581395351</v>
      </c>
      <c r="P168" s="75">
        <f>VLOOKUP($A168,'Data Vlaue (Cr)'!$C:$FB,119)</f>
        <v>1.1000000000000001</v>
      </c>
      <c r="Q168" s="75">
        <f>VLOOKUP($A168,'Data Vlaue (Cr)'!$C:$FB,122)*100</f>
        <v>7.84</v>
      </c>
      <c r="R168" s="75">
        <f>VLOOKUP($A168,'Data Vlaue (Cr)'!$C:$FB,125)</f>
        <v>0.76</v>
      </c>
      <c r="S168" s="75">
        <f>VLOOKUP($A168,'Data Vlaue (Cr)'!$C:$FB,128)*100</f>
        <v>35.709999999999994</v>
      </c>
    </row>
    <row r="169" spans="1:19" x14ac:dyDescent="0.25">
      <c r="A169" s="96" t="str">
        <f>'Data Vlaue (Cr)'!C160</f>
        <v>PFC</v>
      </c>
      <c r="B169" s="75">
        <f>VLOOKUP($A169,'Data Vlaue (Cr)'!$C:$FB,2)</f>
        <v>1300</v>
      </c>
      <c r="C169" s="75">
        <f>VLOOKUP($A169,'Data Vlaue (Cr)'!$C:$FB,8)</f>
        <v>433.7</v>
      </c>
      <c r="D169" s="75">
        <f>VLOOKUP($A169,'Data Vlaue (Cr)'!$C:$FB,4)</f>
        <v>434.5</v>
      </c>
      <c r="E169" s="75">
        <f>VLOOKUP($A169,'Data Vlaue (Cr)'!$C:$FB,5)</f>
        <v>438.9</v>
      </c>
      <c r="F169" s="75">
        <f t="shared" si="18"/>
        <v>0.80000000000001137</v>
      </c>
      <c r="G169" s="75">
        <f t="shared" si="19"/>
        <v>-1.012658227848096</v>
      </c>
      <c r="H169" s="75">
        <f>VLOOKUP($A169,'Data Vlaue (Cr)'!$C:$FB,99)</f>
        <v>3193</v>
      </c>
      <c r="I169" s="75">
        <f>VLOOKUP($A169,'Data Vlaue (Cr)'!$C:$FB,100)</f>
        <v>4255</v>
      </c>
      <c r="J169" s="75">
        <f t="shared" si="20"/>
        <v>-1062</v>
      </c>
      <c r="K169" s="75">
        <f t="shared" si="24"/>
        <v>-33.260256811775754</v>
      </c>
      <c r="L169" s="75">
        <f>VLOOKUP($A169,'Data Vlaue (Cr)'!$C:$FB,67)</f>
        <v>2018</v>
      </c>
      <c r="M169" s="75">
        <f>VLOOKUP($A169,'Data Vlaue (Cr)'!$C:$FB,68)</f>
        <v>3028</v>
      </c>
      <c r="N169" s="75">
        <f t="shared" si="22"/>
        <v>-1010</v>
      </c>
      <c r="O169" s="75">
        <f t="shared" si="23"/>
        <v>-50.049554013875117</v>
      </c>
      <c r="P169" s="75">
        <f>VLOOKUP($A169,'Data Vlaue (Cr)'!$C:$FB,119)</f>
        <v>0.87</v>
      </c>
      <c r="Q169" s="75">
        <f>VLOOKUP($A169,'Data Vlaue (Cr)'!$C:$FB,122)*100</f>
        <v>40.32</v>
      </c>
      <c r="R169" s="75">
        <f>VLOOKUP($A169,'Data Vlaue (Cr)'!$C:$FB,125)</f>
        <v>0.5</v>
      </c>
      <c r="S169" s="75">
        <f>VLOOKUP($A169,'Data Vlaue (Cr)'!$C:$FB,128)*100</f>
        <v>4.17</v>
      </c>
    </row>
    <row r="170" spans="1:19" x14ac:dyDescent="0.25">
      <c r="A170" s="96" t="str">
        <f>'Data Vlaue (Cr)'!C161</f>
        <v>PGEL</v>
      </c>
      <c r="B170" s="75">
        <f>VLOOKUP($A170,'Data Vlaue (Cr)'!$C:$FB,2)</f>
        <v>950</v>
      </c>
      <c r="C170" s="75">
        <f>VLOOKUP($A170,'Data Vlaue (Cr)'!$C:$FB,8)</f>
        <v>466.95</v>
      </c>
      <c r="D170" s="75">
        <f>VLOOKUP($A170,'Data Vlaue (Cr)'!$C:$FB,4)</f>
        <v>468.3</v>
      </c>
      <c r="E170" s="75">
        <f>VLOOKUP($A170,'Data Vlaue (Cr)'!$C:$FB,5)</f>
        <v>468.45</v>
      </c>
      <c r="F170" s="75">
        <f t="shared" si="18"/>
        <v>1.3500000000000227</v>
      </c>
      <c r="G170" s="75">
        <f t="shared" si="19"/>
        <v>-3.2030749519533906E-2</v>
      </c>
      <c r="H170" s="75">
        <f>VLOOKUP($A170,'Data Vlaue (Cr)'!$C:$FB,99)</f>
        <v>1038</v>
      </c>
      <c r="I170" s="75">
        <f>VLOOKUP($A170,'Data Vlaue (Cr)'!$C:$FB,100)</f>
        <v>1460</v>
      </c>
      <c r="J170" s="75">
        <f t="shared" si="20"/>
        <v>-422</v>
      </c>
      <c r="K170" s="75">
        <f t="shared" si="24"/>
        <v>-40.655105973025044</v>
      </c>
      <c r="L170" s="75">
        <f>VLOOKUP($A170,'Data Vlaue (Cr)'!$C:$FB,67)</f>
        <v>1305</v>
      </c>
      <c r="M170" s="75">
        <f>VLOOKUP($A170,'Data Vlaue (Cr)'!$C:$FB,68)</f>
        <v>1363</v>
      </c>
      <c r="N170" s="75">
        <f t="shared" si="22"/>
        <v>-58</v>
      </c>
      <c r="O170" s="75">
        <f t="shared" si="23"/>
        <v>-4.4444444444444446</v>
      </c>
      <c r="P170" s="75">
        <f>VLOOKUP($A170,'Data Vlaue (Cr)'!$C:$FB,119)</f>
        <v>0.85</v>
      </c>
      <c r="Q170" s="75">
        <f>VLOOKUP($A170,'Data Vlaue (Cr)'!$C:$FB,122)*100</f>
        <v>37.1</v>
      </c>
      <c r="R170" s="75">
        <f>VLOOKUP($A170,'Data Vlaue (Cr)'!$C:$FB,125)</f>
        <v>0.6</v>
      </c>
      <c r="S170" s="75">
        <f>VLOOKUP($A170,'Data Vlaue (Cr)'!$C:$FB,128)*100</f>
        <v>46.339999999999996</v>
      </c>
    </row>
    <row r="171" spans="1:19" x14ac:dyDescent="0.25">
      <c r="A171" s="96" t="str">
        <f>'Data Vlaue (Cr)'!C162</f>
        <v>PHOENIXLTD</v>
      </c>
      <c r="B171" s="75">
        <f>VLOOKUP($A171,'Data Vlaue (Cr)'!$C:$FB,2)</f>
        <v>350</v>
      </c>
      <c r="C171" s="75">
        <f>VLOOKUP($A171,'Data Vlaue (Cr)'!$C:$FB,8)</f>
        <v>1785.4</v>
      </c>
      <c r="D171" s="75">
        <f>VLOOKUP($A171,'Data Vlaue (Cr)'!$C:$FB,4)</f>
        <v>1796.1</v>
      </c>
      <c r="E171" s="75">
        <f>VLOOKUP($A171,'Data Vlaue (Cr)'!$C:$FB,5)</f>
        <v>1824.6</v>
      </c>
      <c r="F171" s="75">
        <f t="shared" si="18"/>
        <v>10.699999999999818</v>
      </c>
      <c r="G171" s="75">
        <f t="shared" si="19"/>
        <v>-1.5867713378987809</v>
      </c>
      <c r="H171" s="75">
        <f>VLOOKUP($A171,'Data Vlaue (Cr)'!$C:$FB,99)</f>
        <v>679</v>
      </c>
      <c r="I171" s="75">
        <f>VLOOKUP($A171,'Data Vlaue (Cr)'!$C:$FB,100)</f>
        <v>1034</v>
      </c>
      <c r="J171" s="75">
        <f t="shared" si="20"/>
        <v>-355</v>
      </c>
      <c r="K171" s="75">
        <f t="shared" si="24"/>
        <v>-52.282768777614145</v>
      </c>
      <c r="L171" s="75">
        <f>VLOOKUP($A171,'Data Vlaue (Cr)'!$C:$FB,67)</f>
        <v>294</v>
      </c>
      <c r="M171" s="75">
        <f>VLOOKUP($A171,'Data Vlaue (Cr)'!$C:$FB,68)</f>
        <v>674</v>
      </c>
      <c r="N171" s="75">
        <f t="shared" si="22"/>
        <v>-380</v>
      </c>
      <c r="O171" s="75">
        <f t="shared" si="23"/>
        <v>-129.25170068027211</v>
      </c>
      <c r="P171" s="75">
        <f>VLOOKUP($A171,'Data Vlaue (Cr)'!$C:$FB,119)</f>
        <v>0.41</v>
      </c>
      <c r="Q171" s="75">
        <f>VLOOKUP($A171,'Data Vlaue (Cr)'!$C:$FB,122)*100</f>
        <v>-36.919999999999995</v>
      </c>
      <c r="R171" s="75">
        <f>VLOOKUP($A171,'Data Vlaue (Cr)'!$C:$FB,125)</f>
        <v>0.4</v>
      </c>
      <c r="S171" s="75">
        <f>VLOOKUP($A171,'Data Vlaue (Cr)'!$C:$FB,128)*100</f>
        <v>-40.300000000000004</v>
      </c>
    </row>
    <row r="172" spans="1:19" x14ac:dyDescent="0.25">
      <c r="A172" s="96" t="str">
        <f>'Data Vlaue (Cr)'!C163</f>
        <v>PIDILITIND</v>
      </c>
      <c r="B172" s="75">
        <f>VLOOKUP($A172,'Data Vlaue (Cr)'!$C:$FB,2)</f>
        <v>500</v>
      </c>
      <c r="C172" s="75">
        <f>VLOOKUP($A172,'Data Vlaue (Cr)'!$C:$FB,8)</f>
        <v>1478.5</v>
      </c>
      <c r="D172" s="75">
        <f>VLOOKUP($A172,'Data Vlaue (Cr)'!$C:$FB,4)</f>
        <v>1485.6</v>
      </c>
      <c r="E172" s="75">
        <f>VLOOKUP($A172,'Data Vlaue (Cr)'!$C:$FB,5)</f>
        <v>1488</v>
      </c>
      <c r="F172" s="75">
        <f t="shared" si="18"/>
        <v>7.0999999999999091</v>
      </c>
      <c r="G172" s="75">
        <f t="shared" si="19"/>
        <v>-0.16155088852989305</v>
      </c>
      <c r="H172" s="75">
        <f>VLOOKUP($A172,'Data Vlaue (Cr)'!$C:$FB,99)</f>
        <v>1132</v>
      </c>
      <c r="I172" s="75">
        <f>VLOOKUP($A172,'Data Vlaue (Cr)'!$C:$FB,100)</f>
        <v>1809</v>
      </c>
      <c r="J172" s="75">
        <f t="shared" si="20"/>
        <v>-677</v>
      </c>
      <c r="K172" s="75">
        <f t="shared" si="24"/>
        <v>-59.805653710247356</v>
      </c>
      <c r="L172" s="75">
        <f>VLOOKUP($A172,'Data Vlaue (Cr)'!$C:$FB,67)</f>
        <v>829</v>
      </c>
      <c r="M172" s="75">
        <f>VLOOKUP($A172,'Data Vlaue (Cr)'!$C:$FB,68)</f>
        <v>1447</v>
      </c>
      <c r="N172" s="75">
        <f t="shared" si="22"/>
        <v>-618</v>
      </c>
      <c r="O172" s="75">
        <f t="shared" si="23"/>
        <v>-74.547647768395649</v>
      </c>
      <c r="P172" s="75">
        <f>VLOOKUP($A172,'Data Vlaue (Cr)'!$C:$FB,119)</f>
        <v>0.6</v>
      </c>
      <c r="Q172" s="75">
        <f>VLOOKUP($A172,'Data Vlaue (Cr)'!$C:$FB,122)*100</f>
        <v>25</v>
      </c>
      <c r="R172" s="75">
        <f>VLOOKUP($A172,'Data Vlaue (Cr)'!$C:$FB,125)</f>
        <v>0.41</v>
      </c>
      <c r="S172" s="75">
        <f>VLOOKUP($A172,'Data Vlaue (Cr)'!$C:$FB,128)*100</f>
        <v>17.14</v>
      </c>
    </row>
    <row r="173" spans="1:19" x14ac:dyDescent="0.25">
      <c r="A173" s="96" t="str">
        <f>'Data Vlaue (Cr)'!C164</f>
        <v>PIIND</v>
      </c>
      <c r="B173" s="75">
        <f>VLOOKUP($A173,'Data Vlaue (Cr)'!$C:$FB,2)</f>
        <v>175</v>
      </c>
      <c r="C173" s="75">
        <f>VLOOKUP($A173,'Data Vlaue (Cr)'!$C:$FB,8)</f>
        <v>2837.9</v>
      </c>
      <c r="D173" s="75">
        <f>VLOOKUP($A173,'Data Vlaue (Cr)'!$C:$FB,4)</f>
        <v>2807.2</v>
      </c>
      <c r="E173" s="75">
        <f>VLOOKUP($A173,'Data Vlaue (Cr)'!$C:$FB,5)</f>
        <v>2818.1</v>
      </c>
      <c r="F173" s="75">
        <f t="shared" si="18"/>
        <v>-30.700000000000273</v>
      </c>
      <c r="G173" s="75">
        <f t="shared" si="19"/>
        <v>-0.38828726132801694</v>
      </c>
      <c r="H173" s="75">
        <f>VLOOKUP($A173,'Data Vlaue (Cr)'!$C:$FB,99)</f>
        <v>1503</v>
      </c>
      <c r="I173" s="75">
        <f>VLOOKUP($A173,'Data Vlaue (Cr)'!$C:$FB,100)</f>
        <v>2101</v>
      </c>
      <c r="J173" s="75">
        <f t="shared" si="20"/>
        <v>-598</v>
      </c>
      <c r="K173" s="75">
        <f t="shared" si="24"/>
        <v>-39.787092481703262</v>
      </c>
      <c r="L173" s="75">
        <f>VLOOKUP($A173,'Data Vlaue (Cr)'!$C:$FB,67)</f>
        <v>1113</v>
      </c>
      <c r="M173" s="75">
        <f>VLOOKUP($A173,'Data Vlaue (Cr)'!$C:$FB,68)</f>
        <v>2646</v>
      </c>
      <c r="N173" s="75">
        <f t="shared" si="22"/>
        <v>-1533</v>
      </c>
      <c r="O173" s="75">
        <f t="shared" si="23"/>
        <v>-137.73584905660377</v>
      </c>
      <c r="P173" s="75">
        <f>VLOOKUP($A173,'Data Vlaue (Cr)'!$C:$FB,119)</f>
        <v>0.48</v>
      </c>
      <c r="Q173" s="75">
        <f>VLOOKUP($A173,'Data Vlaue (Cr)'!$C:$FB,122)*100</f>
        <v>-15.790000000000001</v>
      </c>
      <c r="R173" s="75">
        <f>VLOOKUP($A173,'Data Vlaue (Cr)'!$C:$FB,125)</f>
        <v>0.68</v>
      </c>
      <c r="S173" s="75">
        <f>VLOOKUP($A173,'Data Vlaue (Cr)'!$C:$FB,128)*100</f>
        <v>106.06</v>
      </c>
    </row>
    <row r="174" spans="1:19" x14ac:dyDescent="0.25">
      <c r="A174" s="96" t="str">
        <f>'Data Vlaue (Cr)'!C165</f>
        <v>PNB</v>
      </c>
      <c r="B174" s="75">
        <f>VLOOKUP($A174,'Data Vlaue (Cr)'!$C:$FB,2)</f>
        <v>8000</v>
      </c>
      <c r="C174" s="75">
        <f>VLOOKUP($A174,'Data Vlaue (Cr)'!$C:$FB,8)</f>
        <v>105.91</v>
      </c>
      <c r="D174" s="75">
        <f>VLOOKUP($A174,'Data Vlaue (Cr)'!$C:$FB,4)</f>
        <v>106.79</v>
      </c>
      <c r="E174" s="75">
        <f>VLOOKUP($A174,'Data Vlaue (Cr)'!$C:$FB,5)</f>
        <v>107.1</v>
      </c>
      <c r="F174" s="75">
        <f t="shared" si="18"/>
        <v>0.88000000000000966</v>
      </c>
      <c r="G174" s="75">
        <f t="shared" si="19"/>
        <v>-0.29028935293565694</v>
      </c>
      <c r="H174" s="75">
        <f>VLOOKUP($A174,'Data Vlaue (Cr)'!$C:$FB,99)</f>
        <v>4345</v>
      </c>
      <c r="I174" s="75">
        <f>VLOOKUP($A174,'Data Vlaue (Cr)'!$C:$FB,100)</f>
        <v>5583</v>
      </c>
      <c r="J174" s="75">
        <f t="shared" si="20"/>
        <v>-1238</v>
      </c>
      <c r="K174" s="75">
        <f t="shared" si="24"/>
        <v>-28.492520138089759</v>
      </c>
      <c r="L174" s="75">
        <f>VLOOKUP($A174,'Data Vlaue (Cr)'!$C:$FB,67)</f>
        <v>3052</v>
      </c>
      <c r="M174" s="75">
        <f>VLOOKUP($A174,'Data Vlaue (Cr)'!$C:$FB,68)</f>
        <v>5151</v>
      </c>
      <c r="N174" s="75">
        <f t="shared" si="22"/>
        <v>-2099</v>
      </c>
      <c r="O174" s="75">
        <f t="shared" si="23"/>
        <v>-68.774574049803405</v>
      </c>
      <c r="P174" s="75">
        <f>VLOOKUP($A174,'Data Vlaue (Cr)'!$C:$FB,119)</f>
        <v>0.96</v>
      </c>
      <c r="Q174" s="75">
        <f>VLOOKUP($A174,'Data Vlaue (Cr)'!$C:$FB,122)*100</f>
        <v>28.000000000000004</v>
      </c>
      <c r="R174" s="75">
        <f>VLOOKUP($A174,'Data Vlaue (Cr)'!$C:$FB,125)</f>
        <v>0.66</v>
      </c>
      <c r="S174" s="75">
        <f>VLOOKUP($A174,'Data Vlaue (Cr)'!$C:$FB,128)*100</f>
        <v>20</v>
      </c>
    </row>
    <row r="175" spans="1:19" x14ac:dyDescent="0.25">
      <c r="A175" s="96" t="str">
        <f>'Data Vlaue (Cr)'!C166</f>
        <v>PNBHOUSING</v>
      </c>
      <c r="B175" s="75">
        <f>VLOOKUP($A175,'Data Vlaue (Cr)'!$C:$FB,2)</f>
        <v>650</v>
      </c>
      <c r="C175" s="75">
        <f>VLOOKUP($A175,'Data Vlaue (Cr)'!$C:$FB,8)</f>
        <v>1092.5999999999999</v>
      </c>
      <c r="D175" s="75">
        <f>VLOOKUP($A175,'Data Vlaue (Cr)'!$C:$FB,4)</f>
        <v>1100.7</v>
      </c>
      <c r="E175" s="75">
        <f>VLOOKUP($A175,'Data Vlaue (Cr)'!$C:$FB,5)</f>
        <v>1093.7</v>
      </c>
      <c r="F175" s="75">
        <f t="shared" si="18"/>
        <v>8.1000000000001364</v>
      </c>
      <c r="G175" s="75">
        <f t="shared" si="19"/>
        <v>0.63595893522303981</v>
      </c>
      <c r="H175" s="75">
        <f>VLOOKUP($A175,'Data Vlaue (Cr)'!$C:$FB,99)</f>
        <v>1417</v>
      </c>
      <c r="I175" s="75">
        <f>VLOOKUP($A175,'Data Vlaue (Cr)'!$C:$FB,100)</f>
        <v>1860</v>
      </c>
      <c r="J175" s="75">
        <f t="shared" si="20"/>
        <v>-443</v>
      </c>
      <c r="K175" s="75">
        <f t="shared" si="24"/>
        <v>-31.263232180663376</v>
      </c>
      <c r="L175" s="75">
        <f>VLOOKUP($A175,'Data Vlaue (Cr)'!$C:$FB,67)</f>
        <v>616</v>
      </c>
      <c r="M175" s="75">
        <f>VLOOKUP($A175,'Data Vlaue (Cr)'!$C:$FB,68)</f>
        <v>1602</v>
      </c>
      <c r="N175" s="75">
        <f t="shared" si="22"/>
        <v>-986</v>
      </c>
      <c r="O175" s="75">
        <f t="shared" si="23"/>
        <v>-160.06493506493507</v>
      </c>
      <c r="P175" s="75">
        <f>VLOOKUP($A175,'Data Vlaue (Cr)'!$C:$FB,119)</f>
        <v>0.49</v>
      </c>
      <c r="Q175" s="75">
        <f>VLOOKUP($A175,'Data Vlaue (Cr)'!$C:$FB,122)*100</f>
        <v>-19.670000000000002</v>
      </c>
      <c r="R175" s="75">
        <f>VLOOKUP($A175,'Data Vlaue (Cr)'!$C:$FB,125)</f>
        <v>0.93</v>
      </c>
      <c r="S175" s="75">
        <f>VLOOKUP($A175,'Data Vlaue (Cr)'!$C:$FB,128)*100</f>
        <v>210</v>
      </c>
    </row>
    <row r="176" spans="1:19" x14ac:dyDescent="0.25">
      <c r="A176" s="96" t="str">
        <f>'Data Vlaue (Cr)'!C167</f>
        <v>POLICYBZR</v>
      </c>
      <c r="B176" s="75">
        <f>VLOOKUP($A176,'Data Vlaue (Cr)'!$C:$FB,2)</f>
        <v>350</v>
      </c>
      <c r="C176" s="75">
        <f>VLOOKUP($A176,'Data Vlaue (Cr)'!$C:$FB,8)</f>
        <v>1789</v>
      </c>
      <c r="D176" s="75">
        <f>VLOOKUP($A176,'Data Vlaue (Cr)'!$C:$FB,4)</f>
        <v>1797.9</v>
      </c>
      <c r="E176" s="75">
        <f>VLOOKUP($A176,'Data Vlaue (Cr)'!$C:$FB,5)</f>
        <v>1805.7</v>
      </c>
      <c r="F176" s="75">
        <f t="shared" si="18"/>
        <v>8.9000000000000909</v>
      </c>
      <c r="G176" s="75">
        <f t="shared" si="19"/>
        <v>-0.43383947939262213</v>
      </c>
      <c r="H176" s="75">
        <f>VLOOKUP($A176,'Data Vlaue (Cr)'!$C:$FB,99)</f>
        <v>1528</v>
      </c>
      <c r="I176" s="75">
        <f>VLOOKUP($A176,'Data Vlaue (Cr)'!$C:$FB,100)</f>
        <v>2562</v>
      </c>
      <c r="J176" s="75">
        <f t="shared" si="20"/>
        <v>-1034</v>
      </c>
      <c r="K176" s="75">
        <f t="shared" ref="K176:K207" si="25">J176/H176*100</f>
        <v>-67.670157068062835</v>
      </c>
      <c r="L176" s="75">
        <f>VLOOKUP($A176,'Data Vlaue (Cr)'!$C:$FB,67)</f>
        <v>656</v>
      </c>
      <c r="M176" s="75">
        <f>VLOOKUP($A176,'Data Vlaue (Cr)'!$C:$FB,68)</f>
        <v>2184</v>
      </c>
      <c r="N176" s="75">
        <f t="shared" si="22"/>
        <v>-1528</v>
      </c>
      <c r="O176" s="75">
        <f t="shared" si="23"/>
        <v>-232.92682926829266</v>
      </c>
      <c r="P176" s="75">
        <f>VLOOKUP($A176,'Data Vlaue (Cr)'!$C:$FB,119)</f>
        <v>0.68</v>
      </c>
      <c r="Q176" s="75">
        <f>VLOOKUP($A176,'Data Vlaue (Cr)'!$C:$FB,122)*100</f>
        <v>1.49</v>
      </c>
      <c r="R176" s="75">
        <f>VLOOKUP($A176,'Data Vlaue (Cr)'!$C:$FB,125)</f>
        <v>0.66</v>
      </c>
      <c r="S176" s="75">
        <f>VLOOKUP($A176,'Data Vlaue (Cr)'!$C:$FB,128)*100</f>
        <v>-23.26</v>
      </c>
    </row>
    <row r="177" spans="1:19" x14ac:dyDescent="0.25">
      <c r="A177" s="96" t="str">
        <f>'Data Vlaue (Cr)'!C168</f>
        <v>POLYCAB</v>
      </c>
      <c r="B177" s="75">
        <f>VLOOKUP($A177,'Data Vlaue (Cr)'!$C:$FB,2)</f>
        <v>125</v>
      </c>
      <c r="C177" s="75">
        <f>VLOOKUP($A177,'Data Vlaue (Cr)'!$C:$FB,8)</f>
        <v>9613.5</v>
      </c>
      <c r="D177" s="75">
        <f>VLOOKUP($A177,'Data Vlaue (Cr)'!$C:$FB,4)</f>
        <v>9617.5</v>
      </c>
      <c r="E177" s="75">
        <f>VLOOKUP($A177,'Data Vlaue (Cr)'!$C:$FB,5)</f>
        <v>9449</v>
      </c>
      <c r="F177" s="75">
        <f t="shared" si="18"/>
        <v>4</v>
      </c>
      <c r="G177" s="75">
        <f t="shared" si="19"/>
        <v>1.7520145567975047</v>
      </c>
      <c r="H177" s="75">
        <f>VLOOKUP($A177,'Data Vlaue (Cr)'!$C:$FB,99)</f>
        <v>2739</v>
      </c>
      <c r="I177" s="75">
        <f>VLOOKUP($A177,'Data Vlaue (Cr)'!$C:$FB,100)</f>
        <v>5127</v>
      </c>
      <c r="J177" s="75">
        <f t="shared" si="20"/>
        <v>-2388</v>
      </c>
      <c r="K177" s="75">
        <f t="shared" si="25"/>
        <v>-87.185104052573934</v>
      </c>
      <c r="L177" s="75">
        <f>VLOOKUP($A177,'Data Vlaue (Cr)'!$C:$FB,67)</f>
        <v>7261</v>
      </c>
      <c r="M177" s="75">
        <f>VLOOKUP($A177,'Data Vlaue (Cr)'!$C:$FB,68)</f>
        <v>9480</v>
      </c>
      <c r="N177" s="75">
        <f t="shared" ref="N177:N185" si="26">L177-M177</f>
        <v>-2219</v>
      </c>
      <c r="O177" s="75">
        <f t="shared" ref="O177:O185" si="27">N177/L177*100</f>
        <v>-30.5605288527751</v>
      </c>
      <c r="P177" s="75">
        <f>VLOOKUP($A177,'Data Vlaue (Cr)'!$C:$FB,119)</f>
        <v>1.1200000000000001</v>
      </c>
      <c r="Q177" s="75">
        <f>VLOOKUP($A177,'Data Vlaue (Cr)'!$C:$FB,122)*100</f>
        <v>36.590000000000003</v>
      </c>
      <c r="R177" s="75">
        <f>VLOOKUP($A177,'Data Vlaue (Cr)'!$C:$FB,125)</f>
        <v>0.56999999999999995</v>
      </c>
      <c r="S177" s="75">
        <f>VLOOKUP($A177,'Data Vlaue (Cr)'!$C:$FB,128)*100</f>
        <v>-6.5600000000000005</v>
      </c>
    </row>
    <row r="178" spans="1:19" x14ac:dyDescent="0.25">
      <c r="A178" s="96" t="str">
        <f>'Data Vlaue (Cr)'!C169</f>
        <v>POWERGRID</v>
      </c>
      <c r="B178" s="75">
        <f>VLOOKUP($A178,'Data Vlaue (Cr)'!$C:$FB,2)</f>
        <v>1900</v>
      </c>
      <c r="C178" s="75">
        <f>VLOOKUP($A178,'Data Vlaue (Cr)'!$C:$FB,8)</f>
        <v>292.55</v>
      </c>
      <c r="D178" s="75">
        <f>VLOOKUP($A178,'Data Vlaue (Cr)'!$C:$FB,4)</f>
        <v>294.7</v>
      </c>
      <c r="E178" s="75">
        <f>VLOOKUP($A178,'Data Vlaue (Cr)'!$C:$FB,5)</f>
        <v>297.2</v>
      </c>
      <c r="F178" s="75">
        <f t="shared" si="18"/>
        <v>2.1499999999999773</v>
      </c>
      <c r="G178" s="75">
        <f t="shared" si="19"/>
        <v>-0.84832032575500504</v>
      </c>
      <c r="H178" s="75">
        <f>VLOOKUP($A178,'Data Vlaue (Cr)'!$C:$FB,99)</f>
        <v>3087</v>
      </c>
      <c r="I178" s="75">
        <f>VLOOKUP($A178,'Data Vlaue (Cr)'!$C:$FB,100)</f>
        <v>4153</v>
      </c>
      <c r="J178" s="75">
        <f t="shared" si="20"/>
        <v>-1066</v>
      </c>
      <c r="K178" s="75">
        <f t="shared" si="25"/>
        <v>-34.531908001295761</v>
      </c>
      <c r="L178" s="75">
        <f>VLOOKUP($A178,'Data Vlaue (Cr)'!$C:$FB,67)</f>
        <v>1274</v>
      </c>
      <c r="M178" s="75">
        <f>VLOOKUP($A178,'Data Vlaue (Cr)'!$C:$FB,68)</f>
        <v>1867</v>
      </c>
      <c r="N178" s="75">
        <f t="shared" si="26"/>
        <v>-593</v>
      </c>
      <c r="O178" s="75">
        <f t="shared" si="27"/>
        <v>-46.546310832025114</v>
      </c>
      <c r="P178" s="75">
        <f>VLOOKUP($A178,'Data Vlaue (Cr)'!$C:$FB,119)</f>
        <v>1.1599999999999999</v>
      </c>
      <c r="Q178" s="75">
        <f>VLOOKUP($A178,'Data Vlaue (Cr)'!$C:$FB,122)*100</f>
        <v>132</v>
      </c>
      <c r="R178" s="75">
        <f>VLOOKUP($A178,'Data Vlaue (Cr)'!$C:$FB,125)</f>
        <v>0.63</v>
      </c>
      <c r="S178" s="75">
        <f>VLOOKUP($A178,'Data Vlaue (Cr)'!$C:$FB,128)*100</f>
        <v>-7.35</v>
      </c>
    </row>
    <row r="179" spans="1:19" x14ac:dyDescent="0.25">
      <c r="A179" s="96" t="str">
        <f>'Data Vlaue (Cr)'!C170</f>
        <v>POWERINDIA</v>
      </c>
      <c r="B179" s="75">
        <f>VLOOKUP($A179,'Data Vlaue (Cr)'!$C:$FB,2)</f>
        <v>25</v>
      </c>
      <c r="C179" s="75">
        <f>VLOOKUP($A179,'Data Vlaue (Cr)'!$C:$FB,8)</f>
        <v>35995</v>
      </c>
      <c r="D179" s="75">
        <f>VLOOKUP($A179,'Data Vlaue (Cr)'!$C:$FB,4)</f>
        <v>36250</v>
      </c>
      <c r="E179" s="75">
        <f>VLOOKUP($A179,'Data Vlaue (Cr)'!$C:$FB,5)</f>
        <v>35930</v>
      </c>
      <c r="F179" s="75">
        <f t="shared" si="18"/>
        <v>255</v>
      </c>
      <c r="G179" s="75">
        <f t="shared" si="19"/>
        <v>0.88275862068965516</v>
      </c>
      <c r="H179" s="75">
        <f>VLOOKUP($A179,'Data Vlaue (Cr)'!$C:$FB,99)</f>
        <v>2983</v>
      </c>
      <c r="I179" s="75">
        <f>VLOOKUP($A179,'Data Vlaue (Cr)'!$C:$FB,100)</f>
        <v>4374</v>
      </c>
      <c r="J179" s="75">
        <f t="shared" si="20"/>
        <v>-1391</v>
      </c>
      <c r="K179" s="75">
        <f t="shared" si="25"/>
        <v>-46.63090848139457</v>
      </c>
      <c r="L179" s="75">
        <f>VLOOKUP($A179,'Data Vlaue (Cr)'!$C:$FB,67)</f>
        <v>27647</v>
      </c>
      <c r="M179" s="75">
        <f>VLOOKUP($A179,'Data Vlaue (Cr)'!$C:$FB,68)</f>
        <v>6500</v>
      </c>
      <c r="N179" s="75">
        <f t="shared" si="26"/>
        <v>21147</v>
      </c>
      <c r="O179" s="75">
        <f t="shared" si="27"/>
        <v>76.489311679386546</v>
      </c>
      <c r="P179" s="75">
        <f>VLOOKUP($A179,'Data Vlaue (Cr)'!$C:$FB,119)</f>
        <v>0.76</v>
      </c>
      <c r="Q179" s="75">
        <f>VLOOKUP($A179,'Data Vlaue (Cr)'!$C:$FB,122)*100</f>
        <v>-18.279999999999998</v>
      </c>
      <c r="R179" s="75">
        <f>VLOOKUP($A179,'Data Vlaue (Cr)'!$C:$FB,125)</f>
        <v>0.42</v>
      </c>
      <c r="S179" s="75">
        <f>VLOOKUP($A179,'Data Vlaue (Cr)'!$C:$FB,128)*100</f>
        <v>-34.380000000000003</v>
      </c>
    </row>
    <row r="180" spans="1:19" x14ac:dyDescent="0.25">
      <c r="A180" s="96" t="str">
        <f>'Data Vlaue (Cr)'!C171</f>
        <v>PREMIERENE</v>
      </c>
      <c r="B180" s="75">
        <f>VLOOKUP($A180,'Data Vlaue (Cr)'!$C:$FB,2)</f>
        <v>575</v>
      </c>
      <c r="C180" s="75">
        <f>VLOOKUP($A180,'Data Vlaue (Cr)'!$C:$FB,8)</f>
        <v>1016.8</v>
      </c>
      <c r="D180" s="75">
        <f>VLOOKUP($A180,'Data Vlaue (Cr)'!$C:$FB,4)</f>
        <v>1024.8</v>
      </c>
      <c r="E180" s="75">
        <f>VLOOKUP($A180,'Data Vlaue (Cr)'!$C:$FB,5)</f>
        <v>990.7</v>
      </c>
      <c r="F180" s="75">
        <f t="shared" si="18"/>
        <v>8</v>
      </c>
      <c r="G180" s="75">
        <f t="shared" si="19"/>
        <v>3.3274785323965563</v>
      </c>
      <c r="H180" s="75">
        <f>VLOOKUP($A180,'Data Vlaue (Cr)'!$C:$FB,99)</f>
        <v>1547</v>
      </c>
      <c r="I180" s="75">
        <f>VLOOKUP($A180,'Data Vlaue (Cr)'!$C:$FB,100)</f>
        <v>2129</v>
      </c>
      <c r="J180" s="75">
        <f t="shared" si="20"/>
        <v>-582</v>
      </c>
      <c r="K180" s="75">
        <f t="shared" si="25"/>
        <v>-37.621202327084681</v>
      </c>
      <c r="L180" s="75">
        <f>VLOOKUP($A180,'Data Vlaue (Cr)'!$C:$FB,67)</f>
        <v>3096</v>
      </c>
      <c r="M180" s="75">
        <f>VLOOKUP($A180,'Data Vlaue (Cr)'!$C:$FB,68)</f>
        <v>2795</v>
      </c>
      <c r="N180" s="75">
        <f t="shared" si="26"/>
        <v>301</v>
      </c>
      <c r="O180" s="75">
        <f t="shared" si="27"/>
        <v>9.7222222222222232</v>
      </c>
      <c r="P180" s="75">
        <f>VLOOKUP($A180,'Data Vlaue (Cr)'!$C:$FB,119)</f>
        <v>0.46</v>
      </c>
      <c r="Q180" s="75">
        <f>VLOOKUP($A180,'Data Vlaue (Cr)'!$C:$FB,122)*100</f>
        <v>0</v>
      </c>
      <c r="R180" s="75">
        <f>VLOOKUP($A180,'Data Vlaue (Cr)'!$C:$FB,125)</f>
        <v>0.32</v>
      </c>
      <c r="S180" s="75">
        <f>VLOOKUP($A180,'Data Vlaue (Cr)'!$C:$FB,128)*100</f>
        <v>-11.110000000000001</v>
      </c>
    </row>
    <row r="181" spans="1:19" x14ac:dyDescent="0.25">
      <c r="A181" s="96" t="str">
        <f>'Data Vlaue (Cr)'!C172</f>
        <v>PRESTIGE</v>
      </c>
      <c r="B181" s="75">
        <f>VLOOKUP($A181,'Data Vlaue (Cr)'!$C:$FB,2)</f>
        <v>450</v>
      </c>
      <c r="C181" s="75">
        <f>VLOOKUP($A181,'Data Vlaue (Cr)'!$C:$FB,8)</f>
        <v>1402.2</v>
      </c>
      <c r="D181" s="75">
        <f>VLOOKUP($A181,'Data Vlaue (Cr)'!$C:$FB,4)</f>
        <v>1414.2</v>
      </c>
      <c r="E181" s="75">
        <f>VLOOKUP($A181,'Data Vlaue (Cr)'!$C:$FB,5)</f>
        <v>1413.4</v>
      </c>
      <c r="F181" s="75">
        <f t="shared" si="18"/>
        <v>12</v>
      </c>
      <c r="G181" s="75">
        <f t="shared" si="19"/>
        <v>5.6569084995046988E-2</v>
      </c>
      <c r="H181" s="75">
        <f>VLOOKUP($A181,'Data Vlaue (Cr)'!$C:$FB,99)</f>
        <v>820</v>
      </c>
      <c r="I181" s="75">
        <f>VLOOKUP($A181,'Data Vlaue (Cr)'!$C:$FB,100)</f>
        <v>1199</v>
      </c>
      <c r="J181" s="75">
        <f t="shared" si="20"/>
        <v>-379</v>
      </c>
      <c r="K181" s="75">
        <f t="shared" si="25"/>
        <v>-46.219512195121951</v>
      </c>
      <c r="L181" s="75">
        <f>VLOOKUP($A181,'Data Vlaue (Cr)'!$C:$FB,67)</f>
        <v>515</v>
      </c>
      <c r="M181" s="75">
        <f>VLOOKUP($A181,'Data Vlaue (Cr)'!$C:$FB,68)</f>
        <v>1230</v>
      </c>
      <c r="N181" s="75">
        <f t="shared" si="26"/>
        <v>-715</v>
      </c>
      <c r="O181" s="75">
        <f t="shared" si="27"/>
        <v>-138.83495145631068</v>
      </c>
      <c r="P181" s="75">
        <f>VLOOKUP($A181,'Data Vlaue (Cr)'!$C:$FB,119)</f>
        <v>1.07</v>
      </c>
      <c r="Q181" s="75">
        <f>VLOOKUP($A181,'Data Vlaue (Cr)'!$C:$FB,122)*100</f>
        <v>62.12</v>
      </c>
      <c r="R181" s="75">
        <f>VLOOKUP($A181,'Data Vlaue (Cr)'!$C:$FB,125)</f>
        <v>1.1299999999999999</v>
      </c>
      <c r="S181" s="75">
        <f>VLOOKUP($A181,'Data Vlaue (Cr)'!$C:$FB,128)*100</f>
        <v>145.64999999999998</v>
      </c>
    </row>
    <row r="182" spans="1:19" x14ac:dyDescent="0.25">
      <c r="A182" s="96" t="str">
        <f>'Data Vlaue (Cr)'!C173</f>
        <v>RBLBANK</v>
      </c>
      <c r="B182" s="75">
        <f>VLOOKUP($A182,'Data Vlaue (Cr)'!$C:$FB,2)</f>
        <v>3175</v>
      </c>
      <c r="C182" s="75">
        <f>VLOOKUP($A182,'Data Vlaue (Cr)'!$C:$FB,8)</f>
        <v>344.25</v>
      </c>
      <c r="D182" s="75">
        <f>VLOOKUP($A182,'Data Vlaue (Cr)'!$C:$FB,4)</f>
        <v>347.15</v>
      </c>
      <c r="E182" s="75">
        <f>VLOOKUP($A182,'Data Vlaue (Cr)'!$C:$FB,5)</f>
        <v>346.3</v>
      </c>
      <c r="F182" s="75">
        <f t="shared" si="18"/>
        <v>2.8999999999999773</v>
      </c>
      <c r="G182" s="75">
        <f t="shared" si="19"/>
        <v>0.24485092899322078</v>
      </c>
      <c r="H182" s="75">
        <f>VLOOKUP($A182,'Data Vlaue (Cr)'!$C:$FB,99)</f>
        <v>2894</v>
      </c>
      <c r="I182" s="75">
        <f>VLOOKUP($A182,'Data Vlaue (Cr)'!$C:$FB,100)</f>
        <v>3953</v>
      </c>
      <c r="J182" s="75">
        <f t="shared" si="20"/>
        <v>-1059</v>
      </c>
      <c r="K182" s="75">
        <f t="shared" si="25"/>
        <v>-36.592950932964754</v>
      </c>
      <c r="L182" s="75">
        <f>VLOOKUP($A182,'Data Vlaue (Cr)'!$C:$FB,67)</f>
        <v>2327</v>
      </c>
      <c r="M182" s="75">
        <f>VLOOKUP($A182,'Data Vlaue (Cr)'!$C:$FB,68)</f>
        <v>4212</v>
      </c>
      <c r="N182" s="75">
        <f t="shared" si="26"/>
        <v>-1885</v>
      </c>
      <c r="O182" s="75">
        <f t="shared" si="27"/>
        <v>-81.005586592178773</v>
      </c>
      <c r="P182" s="75">
        <f>VLOOKUP($A182,'Data Vlaue (Cr)'!$C:$FB,119)</f>
        <v>0.63</v>
      </c>
      <c r="Q182" s="75">
        <f>VLOOKUP($A182,'Data Vlaue (Cr)'!$C:$FB,122)*100</f>
        <v>-5.9700000000000006</v>
      </c>
      <c r="R182" s="75">
        <f>VLOOKUP($A182,'Data Vlaue (Cr)'!$C:$FB,125)</f>
        <v>0.64</v>
      </c>
      <c r="S182" s="75">
        <f>VLOOKUP($A182,'Data Vlaue (Cr)'!$C:$FB,128)*100</f>
        <v>39.129999999999995</v>
      </c>
    </row>
    <row r="183" spans="1:19" x14ac:dyDescent="0.25">
      <c r="A183" s="96" t="str">
        <f>'Data Vlaue (Cr)'!C174</f>
        <v>RECLTD</v>
      </c>
      <c r="B183" s="75">
        <f>VLOOKUP($A183,'Data Vlaue (Cr)'!$C:$FB,2)</f>
        <v>1400</v>
      </c>
      <c r="C183" s="75">
        <f>VLOOKUP($A183,'Data Vlaue (Cr)'!$C:$FB,8)</f>
        <v>337.6</v>
      </c>
      <c r="D183" s="75">
        <f>VLOOKUP($A183,'Data Vlaue (Cr)'!$C:$FB,4)</f>
        <v>340.1</v>
      </c>
      <c r="E183" s="75">
        <f>VLOOKUP($A183,'Data Vlaue (Cr)'!$C:$FB,5)</f>
        <v>344.85</v>
      </c>
      <c r="F183" s="75">
        <f t="shared" si="18"/>
        <v>2.5</v>
      </c>
      <c r="G183" s="75">
        <f t="shared" si="19"/>
        <v>-1.3966480446927374</v>
      </c>
      <c r="H183" s="75">
        <f>VLOOKUP($A183,'Data Vlaue (Cr)'!$C:$FB,99)</f>
        <v>3060</v>
      </c>
      <c r="I183" s="75">
        <f>VLOOKUP($A183,'Data Vlaue (Cr)'!$C:$FB,100)</f>
        <v>3964</v>
      </c>
      <c r="J183" s="75">
        <f t="shared" si="20"/>
        <v>-904</v>
      </c>
      <c r="K183" s="75">
        <f t="shared" si="25"/>
        <v>-29.542483660130721</v>
      </c>
      <c r="L183" s="75">
        <f>VLOOKUP($A183,'Data Vlaue (Cr)'!$C:$FB,67)</f>
        <v>2189</v>
      </c>
      <c r="M183" s="75">
        <f>VLOOKUP($A183,'Data Vlaue (Cr)'!$C:$FB,68)</f>
        <v>2969</v>
      </c>
      <c r="N183" s="75">
        <f t="shared" si="26"/>
        <v>-780</v>
      </c>
      <c r="O183" s="75">
        <f t="shared" si="27"/>
        <v>-35.632708999543169</v>
      </c>
      <c r="P183" s="75">
        <f>VLOOKUP($A183,'Data Vlaue (Cr)'!$C:$FB,119)</f>
        <v>0.88</v>
      </c>
      <c r="Q183" s="75">
        <f>VLOOKUP($A183,'Data Vlaue (Cr)'!$C:$FB,122)*100</f>
        <v>35.380000000000003</v>
      </c>
      <c r="R183" s="75">
        <f>VLOOKUP($A183,'Data Vlaue (Cr)'!$C:$FB,125)</f>
        <v>0.61</v>
      </c>
      <c r="S183" s="75">
        <f>VLOOKUP($A183,'Data Vlaue (Cr)'!$C:$FB,128)*100</f>
        <v>8.93</v>
      </c>
    </row>
    <row r="184" spans="1:19" x14ac:dyDescent="0.25">
      <c r="A184" s="96" t="str">
        <f>'Data Vlaue (Cr)'!C175</f>
        <v>RELIANCE</v>
      </c>
      <c r="B184" s="75">
        <f>VLOOKUP($A184,'Data Vlaue (Cr)'!$C:$FB,2)</f>
        <v>500</v>
      </c>
      <c r="C184" s="75">
        <f>VLOOKUP($A184,'Data Vlaue (Cr)'!$C:$FB,8)</f>
        <v>1356.3</v>
      </c>
      <c r="D184" s="75">
        <f>VLOOKUP($A184,'Data Vlaue (Cr)'!$C:$FB,4)</f>
        <v>1363.9</v>
      </c>
      <c r="E184" s="75">
        <f>VLOOKUP($A184,'Data Vlaue (Cr)'!$C:$FB,5)</f>
        <v>1374.7</v>
      </c>
      <c r="F184" s="75">
        <f t="shared" si="18"/>
        <v>7.6000000000001364</v>
      </c>
      <c r="G184" s="75">
        <f t="shared" si="19"/>
        <v>-0.7918469095974745</v>
      </c>
      <c r="H184" s="75">
        <f>VLOOKUP($A184,'Data Vlaue (Cr)'!$C:$FB,99)</f>
        <v>23256</v>
      </c>
      <c r="I184" s="75">
        <f>VLOOKUP($A184,'Data Vlaue (Cr)'!$C:$FB,100)</f>
        <v>31617</v>
      </c>
      <c r="J184" s="75">
        <f t="shared" si="20"/>
        <v>-8361</v>
      </c>
      <c r="K184" s="75">
        <f t="shared" si="25"/>
        <v>-35.952012383900929</v>
      </c>
      <c r="L184" s="75">
        <f>VLOOKUP($A184,'Data Vlaue (Cr)'!$C:$FB,67)</f>
        <v>16682</v>
      </c>
      <c r="M184" s="75">
        <f>VLOOKUP($A184,'Data Vlaue (Cr)'!$C:$FB,68)</f>
        <v>25999</v>
      </c>
      <c r="N184" s="75">
        <f t="shared" si="26"/>
        <v>-9317</v>
      </c>
      <c r="O184" s="75">
        <f t="shared" si="27"/>
        <v>-55.85061743196259</v>
      </c>
      <c r="P184" s="75">
        <f>VLOOKUP($A184,'Data Vlaue (Cr)'!$C:$FB,119)</f>
        <v>0.86</v>
      </c>
      <c r="Q184" s="75">
        <f>VLOOKUP($A184,'Data Vlaue (Cr)'!$C:$FB,122)*100</f>
        <v>43.33</v>
      </c>
      <c r="R184" s="75">
        <f>VLOOKUP($A184,'Data Vlaue (Cr)'!$C:$FB,125)</f>
        <v>0.55000000000000004</v>
      </c>
      <c r="S184" s="75">
        <f>VLOOKUP($A184,'Data Vlaue (Cr)'!$C:$FB,128)*100</f>
        <v>-11.29</v>
      </c>
    </row>
    <row r="185" spans="1:19" x14ac:dyDescent="0.25">
      <c r="A185" s="96" t="str">
        <f>'Data Vlaue (Cr)'!C176</f>
        <v>RVNL</v>
      </c>
      <c r="B185" s="75">
        <f>VLOOKUP($A185,'Data Vlaue (Cr)'!$C:$FB,2)</f>
        <v>1525</v>
      </c>
      <c r="C185" s="75">
        <f>VLOOKUP($A185,'Data Vlaue (Cr)'!$C:$FB,8)</f>
        <v>259.75</v>
      </c>
      <c r="D185" s="75">
        <f>VLOOKUP($A185,'Data Vlaue (Cr)'!$C:$FB,4)</f>
        <v>256.60000000000002</v>
      </c>
      <c r="E185" s="75">
        <f>VLOOKUP($A185,'Data Vlaue (Cr)'!$C:$FB,5)</f>
        <v>265.25</v>
      </c>
      <c r="F185" s="75">
        <f t="shared" si="18"/>
        <v>-3.1499999999999773</v>
      </c>
      <c r="G185" s="75">
        <f t="shared" si="19"/>
        <v>-3.3710054559625786</v>
      </c>
      <c r="H185" s="75">
        <f>VLOOKUP($A185,'Data Vlaue (Cr)'!$C:$FB,99)</f>
        <v>1928</v>
      </c>
      <c r="I185" s="75">
        <f>VLOOKUP($A185,'Data Vlaue (Cr)'!$C:$FB,100)</f>
        <v>2390</v>
      </c>
      <c r="J185" s="75">
        <f t="shared" si="20"/>
        <v>-462</v>
      </c>
      <c r="K185" s="75">
        <f t="shared" si="25"/>
        <v>-23.962655601659751</v>
      </c>
      <c r="L185" s="75">
        <f>VLOOKUP($A185,'Data Vlaue (Cr)'!$C:$FB,67)</f>
        <v>2492</v>
      </c>
      <c r="M185" s="75">
        <f>VLOOKUP($A185,'Data Vlaue (Cr)'!$C:$FB,68)</f>
        <v>1832</v>
      </c>
      <c r="N185" s="75">
        <f t="shared" si="26"/>
        <v>660</v>
      </c>
      <c r="O185" s="75">
        <f t="shared" si="27"/>
        <v>26.484751203852326</v>
      </c>
      <c r="P185" s="75">
        <f>VLOOKUP($A185,'Data Vlaue (Cr)'!$C:$FB,119)</f>
        <v>0.77</v>
      </c>
      <c r="Q185" s="75">
        <f>VLOOKUP($A185,'Data Vlaue (Cr)'!$C:$FB,122)*100</f>
        <v>16.669999999999998</v>
      </c>
      <c r="R185" s="75">
        <f>VLOOKUP($A185,'Data Vlaue (Cr)'!$C:$FB,125)</f>
        <v>0.67</v>
      </c>
      <c r="S185" s="75">
        <f>VLOOKUP($A185,'Data Vlaue (Cr)'!$C:$FB,128)*100</f>
        <v>59.519999999999996</v>
      </c>
    </row>
    <row r="186" spans="1:19" x14ac:dyDescent="0.25">
      <c r="A186" s="96" t="str">
        <f>'Data Vlaue (Cr)'!C177</f>
        <v>SAIL</v>
      </c>
      <c r="B186" s="75">
        <f>VLOOKUP($A186,'Data Vlaue (Cr)'!$C:$FB,2)</f>
        <v>4700</v>
      </c>
      <c r="C186" s="75">
        <f>VLOOKUP($A186,'Data Vlaue (Cr)'!$C:$FB,8)</f>
        <v>203.84</v>
      </c>
      <c r="D186" s="75">
        <f>VLOOKUP($A186,'Data Vlaue (Cr)'!$C:$FB,4)</f>
        <v>205.65</v>
      </c>
      <c r="E186" s="75">
        <f>VLOOKUP($A186,'Data Vlaue (Cr)'!$C:$FB,5)</f>
        <v>200.09</v>
      </c>
      <c r="F186" s="75">
        <f t="shared" si="18"/>
        <v>1.8100000000000023</v>
      </c>
      <c r="G186" s="75">
        <f t="shared" si="19"/>
        <v>2.703622659858985</v>
      </c>
      <c r="H186" s="75">
        <f>VLOOKUP($A186,'Data Vlaue (Cr)'!$C:$FB,99)</f>
        <v>3524</v>
      </c>
      <c r="I186" s="75">
        <f>VLOOKUP($A186,'Data Vlaue (Cr)'!$C:$FB,100)</f>
        <v>3951</v>
      </c>
      <c r="J186" s="75">
        <f t="shared" si="20"/>
        <v>-427</v>
      </c>
      <c r="K186" s="75">
        <f t="shared" si="25"/>
        <v>-12.116912599318956</v>
      </c>
      <c r="L186" s="75">
        <f>VLOOKUP($A186,'Data Vlaue (Cr)'!$C:$FB,67)</f>
        <v>1067</v>
      </c>
      <c r="M186" s="75">
        <f>VLOOKUP($A186,'Data Vlaue (Cr)'!$C:$FB,68)</f>
        <v>1069</v>
      </c>
      <c r="N186" s="75">
        <f t="shared" ref="N186:N193" si="28">L186-M186</f>
        <v>-2</v>
      </c>
      <c r="O186" s="75">
        <f t="shared" ref="O186:O193" si="29">N186/L186*100</f>
        <v>-0.18744142455482662</v>
      </c>
      <c r="P186" s="75">
        <f>VLOOKUP($A186,'Data Vlaue (Cr)'!$C:$FB,119)</f>
        <v>0.17</v>
      </c>
      <c r="Q186" s="75">
        <f>VLOOKUP($A186,'Data Vlaue (Cr)'!$C:$FB,122)*100</f>
        <v>-73.02</v>
      </c>
      <c r="R186" s="75">
        <f>VLOOKUP($A186,'Data Vlaue (Cr)'!$C:$FB,125)</f>
        <v>0.84</v>
      </c>
      <c r="S186" s="75">
        <f>VLOOKUP($A186,'Data Vlaue (Cr)'!$C:$FB,128)*100</f>
        <v>-67.44</v>
      </c>
    </row>
    <row r="187" spans="1:19" x14ac:dyDescent="0.25">
      <c r="A187" s="96" t="str">
        <f>'Data Vlaue (Cr)'!C178</f>
        <v>SAMMAANCAP</v>
      </c>
      <c r="B187" s="75">
        <f>VLOOKUP($A187,'Data Vlaue (Cr)'!$C:$FB,2)</f>
        <v>4300</v>
      </c>
      <c r="C187" s="75">
        <f>VLOOKUP($A187,'Data Vlaue (Cr)'!$C:$FB,8)</f>
        <v>167.71</v>
      </c>
      <c r="D187" s="75">
        <f>VLOOKUP($A187,'Data Vlaue (Cr)'!$C:$FB,4)</f>
        <v>169.05</v>
      </c>
      <c r="E187" s="75">
        <f>VLOOKUP($A187,'Data Vlaue (Cr)'!$C:$FB,5)</f>
        <v>169.88</v>
      </c>
      <c r="F187" s="75">
        <f t="shared" si="18"/>
        <v>1.3400000000000034</v>
      </c>
      <c r="G187" s="75">
        <f t="shared" si="19"/>
        <v>-0.49097900029576103</v>
      </c>
      <c r="H187" s="75">
        <f>VLOOKUP($A187,'Data Vlaue (Cr)'!$C:$FB,99)</f>
        <v>1896</v>
      </c>
      <c r="I187" s="75">
        <f>VLOOKUP($A187,'Data Vlaue (Cr)'!$C:$FB,100)</f>
        <v>2604</v>
      </c>
      <c r="J187" s="75">
        <f t="shared" si="20"/>
        <v>-708</v>
      </c>
      <c r="K187" s="75">
        <f t="shared" si="25"/>
        <v>-37.341772151898731</v>
      </c>
      <c r="L187" s="75">
        <f>VLOOKUP($A187,'Data Vlaue (Cr)'!$C:$FB,67)</f>
        <v>1843</v>
      </c>
      <c r="M187" s="75">
        <f>VLOOKUP($A187,'Data Vlaue (Cr)'!$C:$FB,68)</f>
        <v>4183</v>
      </c>
      <c r="N187" s="75">
        <f t="shared" si="28"/>
        <v>-2340</v>
      </c>
      <c r="O187" s="75">
        <f t="shared" si="29"/>
        <v>-126.96690179055888</v>
      </c>
      <c r="P187" s="75">
        <f>VLOOKUP($A187,'Data Vlaue (Cr)'!$C:$FB,119)</f>
        <v>0.86</v>
      </c>
      <c r="Q187" s="75">
        <f>VLOOKUP($A187,'Data Vlaue (Cr)'!$C:$FB,122)*100</f>
        <v>-27.73</v>
      </c>
      <c r="R187" s="75">
        <f>VLOOKUP($A187,'Data Vlaue (Cr)'!$C:$FB,125)</f>
        <v>0.67</v>
      </c>
      <c r="S187" s="75">
        <f>VLOOKUP($A187,'Data Vlaue (Cr)'!$C:$FB,128)*100</f>
        <v>31.369999999999997</v>
      </c>
    </row>
    <row r="188" spans="1:19" x14ac:dyDescent="0.25">
      <c r="A188" s="96" t="str">
        <f>'Data Vlaue (Cr)'!C179</f>
        <v>SBICARD</v>
      </c>
      <c r="B188" s="75">
        <f>VLOOKUP($A188,'Data Vlaue (Cr)'!$C:$FB,2)</f>
        <v>800</v>
      </c>
      <c r="C188" s="75">
        <f>VLOOKUP($A188,'Data Vlaue (Cr)'!$C:$FB,8)</f>
        <v>628.70000000000005</v>
      </c>
      <c r="D188" s="75">
        <f>VLOOKUP($A188,'Data Vlaue (Cr)'!$C:$FB,4)</f>
        <v>620.4</v>
      </c>
      <c r="E188" s="75">
        <f>VLOOKUP($A188,'Data Vlaue (Cr)'!$C:$FB,5)</f>
        <v>619.95000000000005</v>
      </c>
      <c r="F188" s="75">
        <f t="shared" si="18"/>
        <v>-8.3000000000000682</v>
      </c>
      <c r="G188" s="75">
        <f t="shared" si="19"/>
        <v>7.2533849129582814E-2</v>
      </c>
      <c r="H188" s="75">
        <f>VLOOKUP($A188,'Data Vlaue (Cr)'!$C:$FB,99)</f>
        <v>2255</v>
      </c>
      <c r="I188" s="75">
        <f>VLOOKUP($A188,'Data Vlaue (Cr)'!$C:$FB,100)</f>
        <v>2745</v>
      </c>
      <c r="J188" s="75">
        <f t="shared" si="20"/>
        <v>-490</v>
      </c>
      <c r="K188" s="75">
        <f t="shared" si="25"/>
        <v>-21.729490022172946</v>
      </c>
      <c r="L188" s="75">
        <f>VLOOKUP($A188,'Data Vlaue (Cr)'!$C:$FB,67)</f>
        <v>1487</v>
      </c>
      <c r="M188" s="75">
        <f>VLOOKUP($A188,'Data Vlaue (Cr)'!$C:$FB,68)</f>
        <v>1659</v>
      </c>
      <c r="N188" s="75">
        <f t="shared" si="28"/>
        <v>-172</v>
      </c>
      <c r="O188" s="75">
        <f t="shared" si="29"/>
        <v>-11.566913248150639</v>
      </c>
      <c r="P188" s="75">
        <f>VLOOKUP($A188,'Data Vlaue (Cr)'!$C:$FB,119)</f>
        <v>0.75</v>
      </c>
      <c r="Q188" s="75">
        <f>VLOOKUP($A188,'Data Vlaue (Cr)'!$C:$FB,122)*100</f>
        <v>11.940000000000001</v>
      </c>
      <c r="R188" s="75">
        <f>VLOOKUP($A188,'Data Vlaue (Cr)'!$C:$FB,125)</f>
        <v>0.48</v>
      </c>
      <c r="S188" s="75">
        <f>VLOOKUP($A188,'Data Vlaue (Cr)'!$C:$FB,128)*100</f>
        <v>14.29</v>
      </c>
    </row>
    <row r="189" spans="1:19" x14ac:dyDescent="0.25">
      <c r="A189" s="96" t="str">
        <f>'Data Vlaue (Cr)'!C180</f>
        <v>SBILIFE</v>
      </c>
      <c r="B189" s="75">
        <f>VLOOKUP($A189,'Data Vlaue (Cr)'!$C:$FB,2)</f>
        <v>375</v>
      </c>
      <c r="C189" s="75">
        <f>VLOOKUP($A189,'Data Vlaue (Cr)'!$C:$FB,8)</f>
        <v>1883.2</v>
      </c>
      <c r="D189" s="75">
        <f>VLOOKUP($A189,'Data Vlaue (Cr)'!$C:$FB,4)</f>
        <v>1892</v>
      </c>
      <c r="E189" s="75">
        <f>VLOOKUP($A189,'Data Vlaue (Cr)'!$C:$FB,5)</f>
        <v>1909.6</v>
      </c>
      <c r="F189" s="75">
        <f t="shared" si="18"/>
        <v>8.7999999999999545</v>
      </c>
      <c r="G189" s="75">
        <f t="shared" si="19"/>
        <v>-0.93023255813952999</v>
      </c>
      <c r="H189" s="75">
        <f>VLOOKUP($A189,'Data Vlaue (Cr)'!$C:$FB,99)</f>
        <v>1744</v>
      </c>
      <c r="I189" s="75">
        <f>VLOOKUP($A189,'Data Vlaue (Cr)'!$C:$FB,100)</f>
        <v>2912</v>
      </c>
      <c r="J189" s="75">
        <f t="shared" si="20"/>
        <v>-1168</v>
      </c>
      <c r="K189" s="75">
        <f t="shared" si="25"/>
        <v>-66.972477064220186</v>
      </c>
      <c r="L189" s="75">
        <f>VLOOKUP($A189,'Data Vlaue (Cr)'!$C:$FB,67)</f>
        <v>1432</v>
      </c>
      <c r="M189" s="75">
        <f>VLOOKUP($A189,'Data Vlaue (Cr)'!$C:$FB,68)</f>
        <v>1950</v>
      </c>
      <c r="N189" s="75">
        <f t="shared" si="28"/>
        <v>-518</v>
      </c>
      <c r="O189" s="75">
        <f t="shared" si="29"/>
        <v>-36.173184357541899</v>
      </c>
      <c r="P189" s="75">
        <f>VLOOKUP($A189,'Data Vlaue (Cr)'!$C:$FB,119)</f>
        <v>0.71</v>
      </c>
      <c r="Q189" s="75">
        <f>VLOOKUP($A189,'Data Vlaue (Cr)'!$C:$FB,122)*100</f>
        <v>29.09</v>
      </c>
      <c r="R189" s="75">
        <f>VLOOKUP($A189,'Data Vlaue (Cr)'!$C:$FB,125)</f>
        <v>0.48</v>
      </c>
      <c r="S189" s="75">
        <f>VLOOKUP($A189,'Data Vlaue (Cr)'!$C:$FB,128)*100</f>
        <v>0</v>
      </c>
    </row>
    <row r="190" spans="1:19" x14ac:dyDescent="0.25">
      <c r="A190" s="96" t="str">
        <f>'Data Vlaue (Cr)'!C181</f>
        <v>SBIN</v>
      </c>
      <c r="B190" s="75">
        <f>VLOOKUP($A190,'Data Vlaue (Cr)'!$C:$FB,2)</f>
        <v>750</v>
      </c>
      <c r="C190" s="75">
        <f>VLOOKUP($A190,'Data Vlaue (Cr)'!$C:$FB,8)</f>
        <v>968.5</v>
      </c>
      <c r="D190" s="75">
        <f>VLOOKUP($A190,'Data Vlaue (Cr)'!$C:$FB,4)</f>
        <v>974.2</v>
      </c>
      <c r="E190" s="75">
        <f>VLOOKUP($A190,'Data Vlaue (Cr)'!$C:$FB,5)</f>
        <v>976.7</v>
      </c>
      <c r="F190" s="75">
        <f t="shared" si="18"/>
        <v>5.7000000000000455</v>
      </c>
      <c r="G190" s="75">
        <f t="shared" si="19"/>
        <v>-0.25662081708068157</v>
      </c>
      <c r="H190" s="75">
        <f>VLOOKUP($A190,'Data Vlaue (Cr)'!$C:$FB,99)</f>
        <v>15603</v>
      </c>
      <c r="I190" s="75">
        <f>VLOOKUP($A190,'Data Vlaue (Cr)'!$C:$FB,100)</f>
        <v>24352</v>
      </c>
      <c r="J190" s="75">
        <f t="shared" si="20"/>
        <v>-8749</v>
      </c>
      <c r="K190" s="75">
        <f t="shared" si="25"/>
        <v>-56.072550150612066</v>
      </c>
      <c r="L190" s="75">
        <f>VLOOKUP($A190,'Data Vlaue (Cr)'!$C:$FB,67)</f>
        <v>18068</v>
      </c>
      <c r="M190" s="75">
        <f>VLOOKUP($A190,'Data Vlaue (Cr)'!$C:$FB,68)</f>
        <v>34889</v>
      </c>
      <c r="N190" s="75">
        <f t="shared" si="28"/>
        <v>-16821</v>
      </c>
      <c r="O190" s="75">
        <f t="shared" si="29"/>
        <v>-93.098295328758027</v>
      </c>
      <c r="P190" s="75">
        <f>VLOOKUP($A190,'Data Vlaue (Cr)'!$C:$FB,119)</f>
        <v>0.84</v>
      </c>
      <c r="Q190" s="75">
        <f>VLOOKUP($A190,'Data Vlaue (Cr)'!$C:$FB,122)*100</f>
        <v>44.83</v>
      </c>
      <c r="R190" s="75">
        <f>VLOOKUP($A190,'Data Vlaue (Cr)'!$C:$FB,125)</f>
        <v>0.54</v>
      </c>
      <c r="S190" s="75">
        <f>VLOOKUP($A190,'Data Vlaue (Cr)'!$C:$FB,128)*100</f>
        <v>35</v>
      </c>
    </row>
    <row r="191" spans="1:19" x14ac:dyDescent="0.25">
      <c r="A191" s="96" t="str">
        <f>'Data Vlaue (Cr)'!C182</f>
        <v>SHREECEM</v>
      </c>
      <c r="B191" s="75">
        <f>VLOOKUP($A191,'Data Vlaue (Cr)'!$C:$FB,2)</f>
        <v>25</v>
      </c>
      <c r="C191" s="75">
        <f>VLOOKUP($A191,'Data Vlaue (Cr)'!$C:$FB,8)</f>
        <v>25180</v>
      </c>
      <c r="D191" s="75">
        <f>VLOOKUP($A191,'Data Vlaue (Cr)'!$C:$FB,4)</f>
        <v>24905</v>
      </c>
      <c r="E191" s="75">
        <f>VLOOKUP($A191,'Data Vlaue (Cr)'!$C:$FB,5)</f>
        <v>25155</v>
      </c>
      <c r="F191" s="75">
        <f t="shared" si="18"/>
        <v>-275</v>
      </c>
      <c r="G191" s="75">
        <f t="shared" si="19"/>
        <v>-1.003814495081309</v>
      </c>
      <c r="H191" s="75">
        <f>VLOOKUP($A191,'Data Vlaue (Cr)'!$C:$FB,99)</f>
        <v>1069</v>
      </c>
      <c r="I191" s="75">
        <f>VLOOKUP($A191,'Data Vlaue (Cr)'!$C:$FB,100)</f>
        <v>1269</v>
      </c>
      <c r="J191" s="75">
        <f t="shared" si="20"/>
        <v>-200</v>
      </c>
      <c r="K191" s="75">
        <f t="shared" si="25"/>
        <v>-18.709073900841908</v>
      </c>
      <c r="L191" s="75">
        <f>VLOOKUP($A191,'Data Vlaue (Cr)'!$C:$FB,67)</f>
        <v>576</v>
      </c>
      <c r="M191" s="75">
        <f>VLOOKUP($A191,'Data Vlaue (Cr)'!$C:$FB,68)</f>
        <v>1246</v>
      </c>
      <c r="N191" s="75">
        <f t="shared" si="28"/>
        <v>-670</v>
      </c>
      <c r="O191" s="75">
        <f t="shared" si="29"/>
        <v>-116.31944444444444</v>
      </c>
      <c r="P191" s="75">
        <f>VLOOKUP($A191,'Data Vlaue (Cr)'!$C:$FB,119)</f>
        <v>0.73</v>
      </c>
      <c r="Q191" s="75">
        <f>VLOOKUP($A191,'Data Vlaue (Cr)'!$C:$FB,122)*100</f>
        <v>15.870000000000001</v>
      </c>
      <c r="R191" s="75">
        <f>VLOOKUP($A191,'Data Vlaue (Cr)'!$C:$FB,125)</f>
        <v>0.44</v>
      </c>
      <c r="S191" s="75">
        <f>VLOOKUP($A191,'Data Vlaue (Cr)'!$C:$FB,128)*100</f>
        <v>46.67</v>
      </c>
    </row>
    <row r="192" spans="1:19" x14ac:dyDescent="0.25">
      <c r="A192" s="96" t="str">
        <f>'Data Vlaue (Cr)'!C183</f>
        <v>SHRIRAMFIN</v>
      </c>
      <c r="B192" s="75">
        <f>VLOOKUP($A192,'Data Vlaue (Cr)'!$C:$FB,2)</f>
        <v>825</v>
      </c>
      <c r="C192" s="75">
        <f>VLOOKUP($A192,'Data Vlaue (Cr)'!$C:$FB,8)</f>
        <v>952.15</v>
      </c>
      <c r="D192" s="75">
        <f>VLOOKUP($A192,'Data Vlaue (Cr)'!$C:$FB,4)</f>
        <v>959.25</v>
      </c>
      <c r="E192" s="75">
        <f>VLOOKUP($A192,'Data Vlaue (Cr)'!$C:$FB,5)</f>
        <v>967.45</v>
      </c>
      <c r="F192" s="75">
        <f t="shared" si="18"/>
        <v>7.1000000000000227</v>
      </c>
      <c r="G192" s="75">
        <f t="shared" si="19"/>
        <v>-0.85483450612458123</v>
      </c>
      <c r="H192" s="75">
        <f>VLOOKUP($A192,'Data Vlaue (Cr)'!$C:$FB,99)</f>
        <v>4784</v>
      </c>
      <c r="I192" s="75">
        <f>VLOOKUP($A192,'Data Vlaue (Cr)'!$C:$FB,100)</f>
        <v>6524</v>
      </c>
      <c r="J192" s="75">
        <f t="shared" si="20"/>
        <v>-1740</v>
      </c>
      <c r="K192" s="75">
        <f t="shared" si="25"/>
        <v>-36.371237458193981</v>
      </c>
      <c r="L192" s="75">
        <f>VLOOKUP($A192,'Data Vlaue (Cr)'!$C:$FB,67)</f>
        <v>3109</v>
      </c>
      <c r="M192" s="75">
        <f>VLOOKUP($A192,'Data Vlaue (Cr)'!$C:$FB,68)</f>
        <v>5848</v>
      </c>
      <c r="N192" s="75">
        <f t="shared" si="28"/>
        <v>-2739</v>
      </c>
      <c r="O192" s="75">
        <f t="shared" si="29"/>
        <v>-88.099067224187849</v>
      </c>
      <c r="P192" s="75">
        <f>VLOOKUP($A192,'Data Vlaue (Cr)'!$C:$FB,119)</f>
        <v>0.77</v>
      </c>
      <c r="Q192" s="75">
        <f>VLOOKUP($A192,'Data Vlaue (Cr)'!$C:$FB,122)*100</f>
        <v>18.459999999999997</v>
      </c>
      <c r="R192" s="75">
        <f>VLOOKUP($A192,'Data Vlaue (Cr)'!$C:$FB,125)</f>
        <v>0.62</v>
      </c>
      <c r="S192" s="75">
        <f>VLOOKUP($A192,'Data Vlaue (Cr)'!$C:$FB,128)*100</f>
        <v>63.160000000000004</v>
      </c>
    </row>
    <row r="193" spans="1:19" x14ac:dyDescent="0.25">
      <c r="A193" s="96" t="str">
        <f>'Data Vlaue (Cr)'!C184</f>
        <v>SIEMENS</v>
      </c>
      <c r="B193" s="75">
        <f>VLOOKUP($A193,'Data Vlaue (Cr)'!$C:$FB,2)</f>
        <v>175</v>
      </c>
      <c r="C193" s="75">
        <f>VLOOKUP($A193,'Data Vlaue (Cr)'!$C:$FB,8)</f>
        <v>3677.2</v>
      </c>
      <c r="D193" s="75">
        <f>VLOOKUP($A193,'Data Vlaue (Cr)'!$C:$FB,4)</f>
        <v>3680.8</v>
      </c>
      <c r="E193" s="75">
        <f>VLOOKUP($A193,'Data Vlaue (Cr)'!$C:$FB,5)</f>
        <v>3650.2</v>
      </c>
      <c r="F193" s="75">
        <f t="shared" si="18"/>
        <v>3.6000000000003638</v>
      </c>
      <c r="G193" s="75">
        <f t="shared" si="19"/>
        <v>0.83134101282330908</v>
      </c>
      <c r="H193" s="75">
        <f>VLOOKUP($A193,'Data Vlaue (Cr)'!$C:$FB,99)</f>
        <v>1789</v>
      </c>
      <c r="I193" s="75">
        <f>VLOOKUP($A193,'Data Vlaue (Cr)'!$C:$FB,100)</f>
        <v>2088</v>
      </c>
      <c r="J193" s="75">
        <f t="shared" si="20"/>
        <v>-299</v>
      </c>
      <c r="K193" s="75">
        <f t="shared" si="25"/>
        <v>-16.713247624371157</v>
      </c>
      <c r="L193" s="75">
        <f>VLOOKUP($A193,'Data Vlaue (Cr)'!$C:$FB,67)</f>
        <v>3765</v>
      </c>
      <c r="M193" s="75">
        <f>VLOOKUP($A193,'Data Vlaue (Cr)'!$C:$FB,68)</f>
        <v>5676</v>
      </c>
      <c r="N193" s="75">
        <f t="shared" si="28"/>
        <v>-1911</v>
      </c>
      <c r="O193" s="75">
        <f t="shared" si="29"/>
        <v>-50.756972111553786</v>
      </c>
      <c r="P193" s="75">
        <f>VLOOKUP($A193,'Data Vlaue (Cr)'!$C:$FB,119)</f>
        <v>0.87</v>
      </c>
      <c r="Q193" s="75">
        <f>VLOOKUP($A193,'Data Vlaue (Cr)'!$C:$FB,122)*100</f>
        <v>19.18</v>
      </c>
      <c r="R193" s="75">
        <f>VLOOKUP($A193,'Data Vlaue (Cr)'!$C:$FB,125)</f>
        <v>0.64</v>
      </c>
      <c r="S193" s="75">
        <f>VLOOKUP($A193,'Data Vlaue (Cr)'!$C:$FB,128)*100</f>
        <v>-42.86</v>
      </c>
    </row>
    <row r="194" spans="1:19" ht="13.9" customHeight="1" x14ac:dyDescent="0.25">
      <c r="A194" s="96" t="str">
        <f>'Data Vlaue (Cr)'!C185</f>
        <v>SOLARINDS</v>
      </c>
      <c r="B194" s="75">
        <f>VLOOKUP($A194,'Data Vlaue (Cr)'!$C:$FB,2)</f>
        <v>50</v>
      </c>
      <c r="C194" s="75">
        <f>VLOOKUP($A194,'Data Vlaue (Cr)'!$C:$FB,8)</f>
        <v>18479</v>
      </c>
      <c r="D194" s="75">
        <f>VLOOKUP($A194,'Data Vlaue (Cr)'!$C:$FB,4)</f>
        <v>18632</v>
      </c>
      <c r="E194" s="75">
        <f>VLOOKUP($A194,'Data Vlaue (Cr)'!$C:$FB,5)</f>
        <v>18507</v>
      </c>
      <c r="F194" s="75">
        <f t="shared" si="18"/>
        <v>153</v>
      </c>
      <c r="G194" s="75">
        <f t="shared" si="19"/>
        <v>0.67088879347359387</v>
      </c>
      <c r="H194" s="75">
        <f>VLOOKUP($A194,'Data Vlaue (Cr)'!$C:$FB,99)</f>
        <v>1852</v>
      </c>
      <c r="I194" s="75">
        <f>VLOOKUP($A194,'Data Vlaue (Cr)'!$C:$FB,100)</f>
        <v>2817</v>
      </c>
      <c r="J194" s="75">
        <f t="shared" si="20"/>
        <v>-965</v>
      </c>
      <c r="K194" s="75">
        <f t="shared" si="25"/>
        <v>-52.105831533477321</v>
      </c>
      <c r="L194" s="75">
        <f>VLOOKUP($A194,'Data Vlaue (Cr)'!$C:$FB,67)</f>
        <v>2327</v>
      </c>
      <c r="M194" s="75">
        <f>VLOOKUP($A194,'Data Vlaue (Cr)'!$C:$FB,68)</f>
        <v>4853</v>
      </c>
      <c r="N194" s="75">
        <f t="shared" ref="N194:N214" si="30">L194-M194</f>
        <v>-2526</v>
      </c>
      <c r="O194" s="75">
        <f t="shared" ref="O194:O214" si="31">N194/L194*100</f>
        <v>-108.55178341211862</v>
      </c>
      <c r="P194" s="75">
        <f>VLOOKUP($A194,'Data Vlaue (Cr)'!$C:$FB,119)</f>
        <v>0.62</v>
      </c>
      <c r="Q194" s="75">
        <f>VLOOKUP($A194,'Data Vlaue (Cr)'!$C:$FB,122)*100</f>
        <v>-30.34</v>
      </c>
      <c r="R194" s="75">
        <f>VLOOKUP($A194,'Data Vlaue (Cr)'!$C:$FB,125)</f>
        <v>0.65</v>
      </c>
      <c r="S194" s="75">
        <f>VLOOKUP($A194,'Data Vlaue (Cr)'!$C:$FB,128)*100</f>
        <v>-7.1400000000000006</v>
      </c>
    </row>
    <row r="195" spans="1:19" x14ac:dyDescent="0.25">
      <c r="A195" s="96" t="str">
        <f>'Data Vlaue (Cr)'!C186</f>
        <v>SONACOMS</v>
      </c>
      <c r="B195" s="75">
        <f>VLOOKUP($A195,'Data Vlaue (Cr)'!$C:$FB,2)</f>
        <v>1225</v>
      </c>
      <c r="C195" s="75">
        <f>VLOOKUP($A195,'Data Vlaue (Cr)'!$C:$FB,8)</f>
        <v>608</v>
      </c>
      <c r="D195" s="75">
        <f>VLOOKUP($A195,'Data Vlaue (Cr)'!$C:$FB,4)</f>
        <v>609.25</v>
      </c>
      <c r="E195" s="75">
        <f>VLOOKUP($A195,'Data Vlaue (Cr)'!$C:$FB,5)</f>
        <v>597.29999999999995</v>
      </c>
      <c r="F195" s="75">
        <f t="shared" si="18"/>
        <v>1.25</v>
      </c>
      <c r="G195" s="75">
        <f t="shared" si="19"/>
        <v>1.9614279852277465</v>
      </c>
      <c r="H195" s="75">
        <f>VLOOKUP($A195,'Data Vlaue (Cr)'!$C:$FB,99)</f>
        <v>1109</v>
      </c>
      <c r="I195" s="75">
        <f>VLOOKUP($A195,'Data Vlaue (Cr)'!$C:$FB,100)</f>
        <v>1420</v>
      </c>
      <c r="J195" s="75">
        <f t="shared" si="20"/>
        <v>-311</v>
      </c>
      <c r="K195" s="75">
        <f t="shared" si="25"/>
        <v>-28.043282236248874</v>
      </c>
      <c r="L195" s="75">
        <f>VLOOKUP($A195,'Data Vlaue (Cr)'!$C:$FB,67)</f>
        <v>1089</v>
      </c>
      <c r="M195" s="75">
        <f>VLOOKUP($A195,'Data Vlaue (Cr)'!$C:$FB,68)</f>
        <v>1225</v>
      </c>
      <c r="N195" s="75">
        <f t="shared" si="30"/>
        <v>-136</v>
      </c>
      <c r="O195" s="75">
        <f t="shared" si="31"/>
        <v>-12.488521579430669</v>
      </c>
      <c r="P195" s="75">
        <f>VLOOKUP($A195,'Data Vlaue (Cr)'!$C:$FB,119)</f>
        <v>0.77</v>
      </c>
      <c r="Q195" s="75">
        <f>VLOOKUP($A195,'Data Vlaue (Cr)'!$C:$FB,122)*100</f>
        <v>28.33</v>
      </c>
      <c r="R195" s="75">
        <f>VLOOKUP($A195,'Data Vlaue (Cr)'!$C:$FB,125)</f>
        <v>0.5</v>
      </c>
      <c r="S195" s="75">
        <f>VLOOKUP($A195,'Data Vlaue (Cr)'!$C:$FB,128)*100</f>
        <v>-19.350000000000001</v>
      </c>
    </row>
    <row r="196" spans="1:19" x14ac:dyDescent="0.25">
      <c r="A196" s="96" t="str">
        <f>'Data Vlaue (Cr)'!C187</f>
        <v>SRF</v>
      </c>
      <c r="B196" s="75">
        <f>VLOOKUP($A196,'Data Vlaue (Cr)'!$C:$FB,2)</f>
        <v>200</v>
      </c>
      <c r="C196" s="75">
        <f>VLOOKUP($A196,'Data Vlaue (Cr)'!$C:$FB,8)</f>
        <v>2749.7</v>
      </c>
      <c r="D196" s="75">
        <f>VLOOKUP($A196,'Data Vlaue (Cr)'!$C:$FB,4)</f>
        <v>2762.1</v>
      </c>
      <c r="E196" s="75">
        <f>VLOOKUP($A196,'Data Vlaue (Cr)'!$C:$FB,5)</f>
        <v>2731.3</v>
      </c>
      <c r="F196" s="75">
        <f t="shared" si="18"/>
        <v>12.400000000000091</v>
      </c>
      <c r="G196" s="75">
        <f t="shared" si="19"/>
        <v>1.1150935882118578</v>
      </c>
      <c r="H196" s="75">
        <f>VLOOKUP($A196,'Data Vlaue (Cr)'!$C:$FB,99)</f>
        <v>1191</v>
      </c>
      <c r="I196" s="75">
        <f>VLOOKUP($A196,'Data Vlaue (Cr)'!$C:$FB,100)</f>
        <v>1923</v>
      </c>
      <c r="J196" s="75">
        <f t="shared" si="20"/>
        <v>-732</v>
      </c>
      <c r="K196" s="75">
        <f t="shared" si="25"/>
        <v>-61.460957178841312</v>
      </c>
      <c r="L196" s="75">
        <f>VLOOKUP($A196,'Data Vlaue (Cr)'!$C:$FB,67)</f>
        <v>1708</v>
      </c>
      <c r="M196" s="75">
        <f>VLOOKUP($A196,'Data Vlaue (Cr)'!$C:$FB,68)</f>
        <v>1532</v>
      </c>
      <c r="N196" s="75">
        <f t="shared" si="30"/>
        <v>176</v>
      </c>
      <c r="O196" s="75">
        <f t="shared" si="31"/>
        <v>10.304449648711945</v>
      </c>
      <c r="P196" s="75">
        <f>VLOOKUP($A196,'Data Vlaue (Cr)'!$C:$FB,119)</f>
        <v>0.57999999999999996</v>
      </c>
      <c r="Q196" s="75">
        <f>VLOOKUP($A196,'Data Vlaue (Cr)'!$C:$FB,122)*100</f>
        <v>-24.68</v>
      </c>
      <c r="R196" s="75">
        <f>VLOOKUP($A196,'Data Vlaue (Cr)'!$C:$FB,125)</f>
        <v>0.38</v>
      </c>
      <c r="S196" s="75">
        <f>VLOOKUP($A196,'Data Vlaue (Cr)'!$C:$FB,128)*100</f>
        <v>-5</v>
      </c>
    </row>
    <row r="197" spans="1:19" x14ac:dyDescent="0.25">
      <c r="A197" s="96" t="str">
        <f>'Data Vlaue (Cr)'!C188</f>
        <v>SUNPHARMA</v>
      </c>
      <c r="B197" s="75">
        <f>VLOOKUP($A197,'Data Vlaue (Cr)'!$C:$FB,2)</f>
        <v>350</v>
      </c>
      <c r="C197" s="75">
        <f>VLOOKUP($A197,'Data Vlaue (Cr)'!$C:$FB,8)</f>
        <v>1840.8</v>
      </c>
      <c r="D197" s="75">
        <f>VLOOKUP($A197,'Data Vlaue (Cr)'!$C:$FB,4)</f>
        <v>1855</v>
      </c>
      <c r="E197" s="75">
        <f>VLOOKUP($A197,'Data Vlaue (Cr)'!$C:$FB,5)</f>
        <v>1855.3</v>
      </c>
      <c r="F197" s="75">
        <f t="shared" si="18"/>
        <v>14.200000000000045</v>
      </c>
      <c r="G197" s="75">
        <f t="shared" si="19"/>
        <v>-1.6172506738542022E-2</v>
      </c>
      <c r="H197" s="75">
        <f>VLOOKUP($A197,'Data Vlaue (Cr)'!$C:$FB,99)</f>
        <v>5931</v>
      </c>
      <c r="I197" s="75">
        <f>VLOOKUP($A197,'Data Vlaue (Cr)'!$C:$FB,100)</f>
        <v>10644</v>
      </c>
      <c r="J197" s="75">
        <f t="shared" si="20"/>
        <v>-4713</v>
      </c>
      <c r="K197" s="75">
        <f t="shared" si="25"/>
        <v>-79.463834092058676</v>
      </c>
      <c r="L197" s="75">
        <f>VLOOKUP($A197,'Data Vlaue (Cr)'!$C:$FB,67)</f>
        <v>5778</v>
      </c>
      <c r="M197" s="75">
        <f>VLOOKUP($A197,'Data Vlaue (Cr)'!$C:$FB,68)</f>
        <v>16670</v>
      </c>
      <c r="N197" s="75">
        <f t="shared" si="30"/>
        <v>-10892</v>
      </c>
      <c r="O197" s="75">
        <f t="shared" si="31"/>
        <v>-188.50813430252683</v>
      </c>
      <c r="P197" s="75">
        <f>VLOOKUP($A197,'Data Vlaue (Cr)'!$C:$FB,119)</f>
        <v>0.94</v>
      </c>
      <c r="Q197" s="75">
        <f>VLOOKUP($A197,'Data Vlaue (Cr)'!$C:$FB,122)*100</f>
        <v>51.61</v>
      </c>
      <c r="R197" s="75">
        <f>VLOOKUP($A197,'Data Vlaue (Cr)'!$C:$FB,125)</f>
        <v>0.94</v>
      </c>
      <c r="S197" s="75">
        <f>VLOOKUP($A197,'Data Vlaue (Cr)'!$C:$FB,128)*100</f>
        <v>34.29</v>
      </c>
    </row>
    <row r="198" spans="1:19" x14ac:dyDescent="0.25">
      <c r="A198" s="96" t="str">
        <f>'Data Vlaue (Cr)'!C189</f>
        <v>SUPREMEIND</v>
      </c>
      <c r="B198" s="75">
        <f>VLOOKUP($A198,'Data Vlaue (Cr)'!$C:$FB,2)</f>
        <v>175</v>
      </c>
      <c r="C198" s="75">
        <f>VLOOKUP($A198,'Data Vlaue (Cr)'!$C:$FB,8)</f>
        <v>3570.9</v>
      </c>
      <c r="D198" s="75">
        <f>VLOOKUP($A198,'Data Vlaue (Cr)'!$C:$FB,4)</f>
        <v>3572.6</v>
      </c>
      <c r="E198" s="75">
        <f>VLOOKUP($A198,'Data Vlaue (Cr)'!$C:$FB,5)</f>
        <v>3609.5</v>
      </c>
      <c r="F198" s="75">
        <f t="shared" si="18"/>
        <v>1.6999999999998181</v>
      </c>
      <c r="G198" s="75">
        <f t="shared" si="19"/>
        <v>-1.0328612215193442</v>
      </c>
      <c r="H198" s="75">
        <f>VLOOKUP($A198,'Data Vlaue (Cr)'!$C:$FB,99)</f>
        <v>825</v>
      </c>
      <c r="I198" s="75">
        <f>VLOOKUP($A198,'Data Vlaue (Cr)'!$C:$FB,100)</f>
        <v>1273</v>
      </c>
      <c r="J198" s="75">
        <f t="shared" si="20"/>
        <v>-448</v>
      </c>
      <c r="K198" s="75">
        <f t="shared" si="25"/>
        <v>-54.303030303030312</v>
      </c>
      <c r="L198" s="75">
        <f>VLOOKUP($A198,'Data Vlaue (Cr)'!$C:$FB,67)</f>
        <v>579</v>
      </c>
      <c r="M198" s="75">
        <f>VLOOKUP($A198,'Data Vlaue (Cr)'!$C:$FB,68)</f>
        <v>1211</v>
      </c>
      <c r="N198" s="75">
        <f t="shared" si="30"/>
        <v>-632</v>
      </c>
      <c r="O198" s="75">
        <f t="shared" si="31"/>
        <v>-109.15371329879102</v>
      </c>
      <c r="P198" s="75">
        <f>VLOOKUP($A198,'Data Vlaue (Cr)'!$C:$FB,119)</f>
        <v>1.02</v>
      </c>
      <c r="Q198" s="75">
        <f>VLOOKUP($A198,'Data Vlaue (Cr)'!$C:$FB,122)*100</f>
        <v>148.78</v>
      </c>
      <c r="R198" s="75">
        <f>VLOOKUP($A198,'Data Vlaue (Cr)'!$C:$FB,125)</f>
        <v>0.38</v>
      </c>
      <c r="S198" s="75">
        <f>VLOOKUP($A198,'Data Vlaue (Cr)'!$C:$FB,128)*100</f>
        <v>-52.5</v>
      </c>
    </row>
    <row r="199" spans="1:19" x14ac:dyDescent="0.25">
      <c r="A199" s="96" t="str">
        <f>'Data Vlaue (Cr)'!C190</f>
        <v>SUZLON</v>
      </c>
      <c r="B199" s="75">
        <f>VLOOKUP($A199,'Data Vlaue (Cr)'!$C:$FB,2)</f>
        <v>9025</v>
      </c>
      <c r="C199" s="75">
        <f>VLOOKUP($A199,'Data Vlaue (Cr)'!$C:$FB,8)</f>
        <v>54.58</v>
      </c>
      <c r="D199" s="75">
        <f>VLOOKUP($A199,'Data Vlaue (Cr)'!$C:$FB,4)</f>
        <v>55.02</v>
      </c>
      <c r="E199" s="75">
        <f>VLOOKUP($A199,'Data Vlaue (Cr)'!$C:$FB,5)</f>
        <v>54.18</v>
      </c>
      <c r="F199" s="75">
        <f t="shared" si="18"/>
        <v>0.44000000000000483</v>
      </c>
      <c r="G199" s="75">
        <f t="shared" si="19"/>
        <v>1.5267175572519145</v>
      </c>
      <c r="H199" s="75">
        <f>VLOOKUP($A199,'Data Vlaue (Cr)'!$C:$FB,99)</f>
        <v>2531</v>
      </c>
      <c r="I199" s="75">
        <f>VLOOKUP($A199,'Data Vlaue (Cr)'!$C:$FB,100)</f>
        <v>3401</v>
      </c>
      <c r="J199" s="75">
        <f t="shared" si="20"/>
        <v>-870</v>
      </c>
      <c r="K199" s="75">
        <f t="shared" si="25"/>
        <v>-34.373765310154091</v>
      </c>
      <c r="L199" s="75">
        <f>VLOOKUP($A199,'Data Vlaue (Cr)'!$C:$FB,67)</f>
        <v>3319</v>
      </c>
      <c r="M199" s="75">
        <f>VLOOKUP($A199,'Data Vlaue (Cr)'!$C:$FB,68)</f>
        <v>4071</v>
      </c>
      <c r="N199" s="75">
        <f t="shared" si="30"/>
        <v>-752</v>
      </c>
      <c r="O199" s="75">
        <f t="shared" si="31"/>
        <v>-22.657426935824041</v>
      </c>
      <c r="P199" s="75">
        <f>VLOOKUP($A199,'Data Vlaue (Cr)'!$C:$FB,119)</f>
        <v>0.57999999999999996</v>
      </c>
      <c r="Q199" s="75">
        <f>VLOOKUP($A199,'Data Vlaue (Cr)'!$C:$FB,122)*100</f>
        <v>11.540000000000001</v>
      </c>
      <c r="R199" s="75">
        <f>VLOOKUP($A199,'Data Vlaue (Cr)'!$C:$FB,125)</f>
        <v>0.56000000000000005</v>
      </c>
      <c r="S199" s="75">
        <f>VLOOKUP($A199,'Data Vlaue (Cr)'!$C:$FB,128)*100</f>
        <v>-8.2000000000000011</v>
      </c>
    </row>
    <row r="200" spans="1:19" x14ac:dyDescent="0.25">
      <c r="A200" s="96" t="str">
        <f>'Data Vlaue (Cr)'!C191</f>
        <v>SWIGGY</v>
      </c>
      <c r="B200" s="75">
        <f>VLOOKUP($A200,'Data Vlaue (Cr)'!$C:$FB,2)</f>
        <v>1300</v>
      </c>
      <c r="C200" s="75">
        <f>VLOOKUP($A200,'Data Vlaue (Cr)'!$C:$FB,8)</f>
        <v>253.9</v>
      </c>
      <c r="D200" s="75">
        <f>VLOOKUP($A200,'Data Vlaue (Cr)'!$C:$FB,4)</f>
        <v>256.10000000000002</v>
      </c>
      <c r="E200" s="75">
        <f>VLOOKUP($A200,'Data Vlaue (Cr)'!$C:$FB,5)</f>
        <v>252.15</v>
      </c>
      <c r="F200" s="75">
        <f t="shared" si="18"/>
        <v>2.2000000000000171</v>
      </c>
      <c r="G200" s="75">
        <f t="shared" si="19"/>
        <v>1.5423662631784525</v>
      </c>
      <c r="H200" s="75">
        <f>VLOOKUP($A200,'Data Vlaue (Cr)'!$C:$FB,99)</f>
        <v>1303</v>
      </c>
      <c r="I200" s="75">
        <f>VLOOKUP($A200,'Data Vlaue (Cr)'!$C:$FB,100)</f>
        <v>1848</v>
      </c>
      <c r="J200" s="75">
        <f t="shared" si="20"/>
        <v>-545</v>
      </c>
      <c r="K200" s="75">
        <f t="shared" si="25"/>
        <v>-41.826554105909445</v>
      </c>
      <c r="L200" s="75">
        <f>VLOOKUP($A200,'Data Vlaue (Cr)'!$C:$FB,67)</f>
        <v>742</v>
      </c>
      <c r="M200" s="75">
        <f>VLOOKUP($A200,'Data Vlaue (Cr)'!$C:$FB,68)</f>
        <v>1037</v>
      </c>
      <c r="N200" s="75">
        <f t="shared" si="30"/>
        <v>-295</v>
      </c>
      <c r="O200" s="75">
        <f t="shared" si="31"/>
        <v>-39.757412398921829</v>
      </c>
      <c r="P200" s="75">
        <f>VLOOKUP($A200,'Data Vlaue (Cr)'!$C:$FB,119)</f>
        <v>0.41</v>
      </c>
      <c r="Q200" s="75">
        <f>VLOOKUP($A200,'Data Vlaue (Cr)'!$C:$FB,122)*100</f>
        <v>10.81</v>
      </c>
      <c r="R200" s="75">
        <f>VLOOKUP($A200,'Data Vlaue (Cr)'!$C:$FB,125)</f>
        <v>0.4</v>
      </c>
      <c r="S200" s="75">
        <f>VLOOKUP($A200,'Data Vlaue (Cr)'!$C:$FB,128)*100</f>
        <v>-4.7600000000000007</v>
      </c>
    </row>
    <row r="201" spans="1:19" x14ac:dyDescent="0.25">
      <c r="A201" s="96" t="str">
        <f>'Data Vlaue (Cr)'!C192</f>
        <v>TATACONSUM</v>
      </c>
      <c r="B201" s="75">
        <f>VLOOKUP($A201,'Data Vlaue (Cr)'!$C:$FB,2)</f>
        <v>550</v>
      </c>
      <c r="C201" s="75">
        <f>VLOOKUP($A201,'Data Vlaue (Cr)'!$C:$FB,8)</f>
        <v>1187.5999999999999</v>
      </c>
      <c r="D201" s="75">
        <f>VLOOKUP($A201,'Data Vlaue (Cr)'!$C:$FB,4)</f>
        <v>1197.7</v>
      </c>
      <c r="E201" s="75">
        <f>VLOOKUP($A201,'Data Vlaue (Cr)'!$C:$FB,5)</f>
        <v>1197.5</v>
      </c>
      <c r="F201" s="75">
        <f t="shared" si="18"/>
        <v>10.100000000000136</v>
      </c>
      <c r="G201" s="75">
        <f t="shared" si="19"/>
        <v>1.669867245554358E-2</v>
      </c>
      <c r="H201" s="75">
        <f>VLOOKUP($A201,'Data Vlaue (Cr)'!$C:$FB,99)</f>
        <v>2052</v>
      </c>
      <c r="I201" s="75">
        <f>VLOOKUP($A201,'Data Vlaue (Cr)'!$C:$FB,100)</f>
        <v>2793</v>
      </c>
      <c r="J201" s="75">
        <f t="shared" si="20"/>
        <v>-741</v>
      </c>
      <c r="K201" s="75">
        <f t="shared" si="25"/>
        <v>-36.111111111111107</v>
      </c>
      <c r="L201" s="75">
        <f>VLOOKUP($A201,'Data Vlaue (Cr)'!$C:$FB,67)</f>
        <v>1328</v>
      </c>
      <c r="M201" s="75">
        <f>VLOOKUP($A201,'Data Vlaue (Cr)'!$C:$FB,68)</f>
        <v>1581</v>
      </c>
      <c r="N201" s="75">
        <f t="shared" si="30"/>
        <v>-253</v>
      </c>
      <c r="O201" s="75">
        <f t="shared" si="31"/>
        <v>-19.05120481927711</v>
      </c>
      <c r="P201" s="75">
        <f>VLOOKUP($A201,'Data Vlaue (Cr)'!$C:$FB,119)</f>
        <v>0.79</v>
      </c>
      <c r="Q201" s="75">
        <f>VLOOKUP($A201,'Data Vlaue (Cr)'!$C:$FB,122)*100</f>
        <v>17.91</v>
      </c>
      <c r="R201" s="75">
        <f>VLOOKUP($A201,'Data Vlaue (Cr)'!$C:$FB,125)</f>
        <v>0.45</v>
      </c>
      <c r="S201" s="75">
        <f>VLOOKUP($A201,'Data Vlaue (Cr)'!$C:$FB,128)*100</f>
        <v>4.6500000000000004</v>
      </c>
    </row>
    <row r="202" spans="1:19" x14ac:dyDescent="0.25">
      <c r="A202" s="96" t="str">
        <f>'Data Vlaue (Cr)'!C193</f>
        <v>TATAELXSI</v>
      </c>
      <c r="B202" s="75">
        <f>VLOOKUP($A202,'Data Vlaue (Cr)'!$C:$FB,2)</f>
        <v>100</v>
      </c>
      <c r="C202" s="75">
        <f>VLOOKUP($A202,'Data Vlaue (Cr)'!$C:$FB,8)</f>
        <v>4335.6000000000004</v>
      </c>
      <c r="D202" s="75">
        <f>VLOOKUP($A202,'Data Vlaue (Cr)'!$C:$FB,4)</f>
        <v>4247.2</v>
      </c>
      <c r="E202" s="75">
        <f>VLOOKUP($A202,'Data Vlaue (Cr)'!$C:$FB,5)</f>
        <v>4217.8</v>
      </c>
      <c r="F202" s="75">
        <f t="shared" si="18"/>
        <v>-88.400000000000546</v>
      </c>
      <c r="G202" s="75">
        <f t="shared" si="19"/>
        <v>0.69222075720473808</v>
      </c>
      <c r="H202" s="75">
        <f>VLOOKUP($A202,'Data Vlaue (Cr)'!$C:$FB,99)</f>
        <v>1032</v>
      </c>
      <c r="I202" s="75">
        <f>VLOOKUP($A202,'Data Vlaue (Cr)'!$C:$FB,100)</f>
        <v>1614</v>
      </c>
      <c r="J202" s="75">
        <f t="shared" si="20"/>
        <v>-582</v>
      </c>
      <c r="K202" s="75">
        <f t="shared" si="25"/>
        <v>-56.395348837209305</v>
      </c>
      <c r="L202" s="75">
        <f>VLOOKUP($A202,'Data Vlaue (Cr)'!$C:$FB,67)</f>
        <v>770</v>
      </c>
      <c r="M202" s="75">
        <f>VLOOKUP($A202,'Data Vlaue (Cr)'!$C:$FB,68)</f>
        <v>1966</v>
      </c>
      <c r="N202" s="75">
        <f t="shared" si="30"/>
        <v>-1196</v>
      </c>
      <c r="O202" s="75">
        <f t="shared" si="31"/>
        <v>-155.32467532467533</v>
      </c>
      <c r="P202" s="75">
        <f>VLOOKUP($A202,'Data Vlaue (Cr)'!$C:$FB,119)</f>
        <v>0.71</v>
      </c>
      <c r="Q202" s="75">
        <f>VLOOKUP($A202,'Data Vlaue (Cr)'!$C:$FB,122)*100</f>
        <v>39.22</v>
      </c>
      <c r="R202" s="75">
        <f>VLOOKUP($A202,'Data Vlaue (Cr)'!$C:$FB,125)</f>
        <v>0.25</v>
      </c>
      <c r="S202" s="75">
        <f>VLOOKUP($A202,'Data Vlaue (Cr)'!$C:$FB,128)*100</f>
        <v>-16.669999999999998</v>
      </c>
    </row>
    <row r="203" spans="1:19" x14ac:dyDescent="0.25">
      <c r="A203" s="96" t="str">
        <f>'Data Vlaue (Cr)'!C194</f>
        <v>TATAPOWER</v>
      </c>
      <c r="B203" s="75">
        <f>VLOOKUP($A203,'Data Vlaue (Cr)'!$C:$FB,2)</f>
        <v>1450</v>
      </c>
      <c r="C203" s="75">
        <f>VLOOKUP($A203,'Data Vlaue (Cr)'!$C:$FB,8)</f>
        <v>420.95</v>
      </c>
      <c r="D203" s="75">
        <f>VLOOKUP($A203,'Data Vlaue (Cr)'!$C:$FB,4)</f>
        <v>421.95</v>
      </c>
      <c r="E203" s="75">
        <f>VLOOKUP($A203,'Data Vlaue (Cr)'!$C:$FB,5)</f>
        <v>414.3</v>
      </c>
      <c r="F203" s="75">
        <f t="shared" ref="F203:F225" si="32">D203-C203</f>
        <v>1</v>
      </c>
      <c r="G203" s="75">
        <f t="shared" ref="G203:G225" si="33">(D203-E203)/D203*100</f>
        <v>1.8130110202630592</v>
      </c>
      <c r="H203" s="75">
        <f>VLOOKUP($A203,'Data Vlaue (Cr)'!$C:$FB,99)</f>
        <v>3831</v>
      </c>
      <c r="I203" s="75">
        <f>VLOOKUP($A203,'Data Vlaue (Cr)'!$C:$FB,100)</f>
        <v>5149</v>
      </c>
      <c r="J203" s="75">
        <f t="shared" ref="J203:J225" si="34">H203-I203</f>
        <v>-1318</v>
      </c>
      <c r="K203" s="75">
        <f t="shared" si="25"/>
        <v>-34.403549986948576</v>
      </c>
      <c r="L203" s="75">
        <f>VLOOKUP($A203,'Data Vlaue (Cr)'!$C:$FB,67)</f>
        <v>5691</v>
      </c>
      <c r="M203" s="75">
        <f>VLOOKUP($A203,'Data Vlaue (Cr)'!$C:$FB,68)</f>
        <v>3840</v>
      </c>
      <c r="N203" s="75">
        <f t="shared" si="30"/>
        <v>1851</v>
      </c>
      <c r="O203" s="75">
        <f t="shared" si="31"/>
        <v>32.525039536109645</v>
      </c>
      <c r="P203" s="75">
        <f>VLOOKUP($A203,'Data Vlaue (Cr)'!$C:$FB,119)</f>
        <v>0.66</v>
      </c>
      <c r="Q203" s="75">
        <f>VLOOKUP($A203,'Data Vlaue (Cr)'!$C:$FB,122)*100</f>
        <v>15.790000000000001</v>
      </c>
      <c r="R203" s="75">
        <f>VLOOKUP($A203,'Data Vlaue (Cr)'!$C:$FB,125)</f>
        <v>0.3</v>
      </c>
      <c r="S203" s="75">
        <f>VLOOKUP($A203,'Data Vlaue (Cr)'!$C:$FB,128)*100</f>
        <v>-41.18</v>
      </c>
    </row>
    <row r="204" spans="1:19" x14ac:dyDescent="0.25">
      <c r="A204" s="96" t="str">
        <f>'Data Vlaue (Cr)'!C195</f>
        <v>TATASTEEL</v>
      </c>
      <c r="B204" s="75">
        <f>VLOOKUP($A204,'Data Vlaue (Cr)'!$C:$FB,2)</f>
        <v>2750</v>
      </c>
      <c r="C204" s="75">
        <f>VLOOKUP($A204,'Data Vlaue (Cr)'!$C:$FB,8)</f>
        <v>210.47</v>
      </c>
      <c r="D204" s="75">
        <f>VLOOKUP($A204,'Data Vlaue (Cr)'!$C:$FB,4)</f>
        <v>208.1</v>
      </c>
      <c r="E204" s="75">
        <f>VLOOKUP($A204,'Data Vlaue (Cr)'!$C:$FB,5)</f>
        <v>207.97</v>
      </c>
      <c r="F204" s="75">
        <f t="shared" si="32"/>
        <v>-2.3700000000000045</v>
      </c>
      <c r="G204" s="75">
        <f t="shared" si="33"/>
        <v>6.2469966362323617E-2</v>
      </c>
      <c r="H204" s="75">
        <f>VLOOKUP($A204,'Data Vlaue (Cr)'!$C:$FB,99)</f>
        <v>5503</v>
      </c>
      <c r="I204" s="75">
        <f>VLOOKUP($A204,'Data Vlaue (Cr)'!$C:$FB,100)</f>
        <v>8297</v>
      </c>
      <c r="J204" s="75">
        <f t="shared" si="34"/>
        <v>-2794</v>
      </c>
      <c r="K204" s="75">
        <f t="shared" si="25"/>
        <v>-50.772306014900956</v>
      </c>
      <c r="L204" s="75">
        <f>VLOOKUP($A204,'Data Vlaue (Cr)'!$C:$FB,67)</f>
        <v>5282</v>
      </c>
      <c r="M204" s="75">
        <f>VLOOKUP($A204,'Data Vlaue (Cr)'!$C:$FB,68)</f>
        <v>7360</v>
      </c>
      <c r="N204" s="75">
        <f t="shared" si="30"/>
        <v>-2078</v>
      </c>
      <c r="O204" s="75">
        <f t="shared" si="31"/>
        <v>-39.341158652025747</v>
      </c>
      <c r="P204" s="75">
        <f>VLOOKUP($A204,'Data Vlaue (Cr)'!$C:$FB,119)</f>
        <v>0.6</v>
      </c>
      <c r="Q204" s="75">
        <f>VLOOKUP($A204,'Data Vlaue (Cr)'!$C:$FB,122)*100</f>
        <v>0</v>
      </c>
      <c r="R204" s="75">
        <f>VLOOKUP($A204,'Data Vlaue (Cr)'!$C:$FB,125)</f>
        <v>0.68</v>
      </c>
      <c r="S204" s="75">
        <f>VLOOKUP($A204,'Data Vlaue (Cr)'!$C:$FB,128)*100</f>
        <v>15.25</v>
      </c>
    </row>
    <row r="205" spans="1:19" x14ac:dyDescent="0.25">
      <c r="A205" s="96" t="str">
        <f>'Data Vlaue (Cr)'!C196</f>
        <v>TCS</v>
      </c>
      <c r="B205" s="75">
        <f>VLOOKUP($A205,'Data Vlaue (Cr)'!$C:$FB,2)</f>
        <v>175</v>
      </c>
      <c r="C205" s="75">
        <f>VLOOKUP($A205,'Data Vlaue (Cr)'!$C:$FB,8)</f>
        <v>2276.1999999999998</v>
      </c>
      <c r="D205" s="75">
        <f>VLOOKUP($A205,'Data Vlaue (Cr)'!$C:$FB,4)</f>
        <v>2287.5</v>
      </c>
      <c r="E205" s="75">
        <f>VLOOKUP($A205,'Data Vlaue (Cr)'!$C:$FB,5)</f>
        <v>2277.6999999999998</v>
      </c>
      <c r="F205" s="75">
        <f t="shared" si="32"/>
        <v>11.300000000000182</v>
      </c>
      <c r="G205" s="75">
        <f t="shared" si="33"/>
        <v>0.42841530054645599</v>
      </c>
      <c r="H205" s="75">
        <f>VLOOKUP($A205,'Data Vlaue (Cr)'!$C:$FB,99)</f>
        <v>12658</v>
      </c>
      <c r="I205" s="75">
        <f>VLOOKUP($A205,'Data Vlaue (Cr)'!$C:$FB,100)</f>
        <v>17643</v>
      </c>
      <c r="J205" s="75">
        <f t="shared" si="34"/>
        <v>-4985</v>
      </c>
      <c r="K205" s="75">
        <f t="shared" si="25"/>
        <v>-39.382208879759837</v>
      </c>
      <c r="L205" s="75">
        <f>VLOOKUP($A205,'Data Vlaue (Cr)'!$C:$FB,67)</f>
        <v>7969</v>
      </c>
      <c r="M205" s="75">
        <f>VLOOKUP($A205,'Data Vlaue (Cr)'!$C:$FB,68)</f>
        <v>13451</v>
      </c>
      <c r="N205" s="75">
        <f t="shared" si="30"/>
        <v>-5482</v>
      </c>
      <c r="O205" s="75">
        <f t="shared" si="31"/>
        <v>-68.791567323378089</v>
      </c>
      <c r="P205" s="75">
        <f>VLOOKUP($A205,'Data Vlaue (Cr)'!$C:$FB,119)</f>
        <v>0.95</v>
      </c>
      <c r="Q205" s="75">
        <f>VLOOKUP($A205,'Data Vlaue (Cr)'!$C:$FB,122)*100</f>
        <v>37.68</v>
      </c>
      <c r="R205" s="75">
        <f>VLOOKUP($A205,'Data Vlaue (Cr)'!$C:$FB,125)</f>
        <v>0.65</v>
      </c>
      <c r="S205" s="75">
        <f>VLOOKUP($A205,'Data Vlaue (Cr)'!$C:$FB,128)*100</f>
        <v>20.369999999999997</v>
      </c>
    </row>
    <row r="206" spans="1:19" x14ac:dyDescent="0.25">
      <c r="A206" s="96" t="str">
        <f>'Data Vlaue (Cr)'!C197</f>
        <v>TECHM</v>
      </c>
      <c r="B206" s="75">
        <f>VLOOKUP($A206,'Data Vlaue (Cr)'!$C:$FB,2)</f>
        <v>600</v>
      </c>
      <c r="C206" s="75">
        <f>VLOOKUP($A206,'Data Vlaue (Cr)'!$C:$FB,8)</f>
        <v>1458.7</v>
      </c>
      <c r="D206" s="75">
        <f>VLOOKUP($A206,'Data Vlaue (Cr)'!$C:$FB,4)</f>
        <v>1452.3</v>
      </c>
      <c r="E206" s="75">
        <f>VLOOKUP($A206,'Data Vlaue (Cr)'!$C:$FB,5)</f>
        <v>1427</v>
      </c>
      <c r="F206" s="75">
        <f t="shared" si="32"/>
        <v>-6.4000000000000909</v>
      </c>
      <c r="G206" s="75">
        <f t="shared" si="33"/>
        <v>1.7420643117813093</v>
      </c>
      <c r="H206" s="75">
        <f>VLOOKUP($A206,'Data Vlaue (Cr)'!$C:$FB,99)</f>
        <v>3310</v>
      </c>
      <c r="I206" s="75">
        <f>VLOOKUP($A206,'Data Vlaue (Cr)'!$C:$FB,100)</f>
        <v>5123</v>
      </c>
      <c r="J206" s="75">
        <f t="shared" si="34"/>
        <v>-1813</v>
      </c>
      <c r="K206" s="75">
        <f t="shared" si="25"/>
        <v>-54.773413897280967</v>
      </c>
      <c r="L206" s="75">
        <f>VLOOKUP($A206,'Data Vlaue (Cr)'!$C:$FB,67)</f>
        <v>2272</v>
      </c>
      <c r="M206" s="75">
        <f>VLOOKUP($A206,'Data Vlaue (Cr)'!$C:$FB,68)</f>
        <v>3455</v>
      </c>
      <c r="N206" s="75">
        <f t="shared" si="30"/>
        <v>-1183</v>
      </c>
      <c r="O206" s="75">
        <f t="shared" si="31"/>
        <v>-52.068661971830984</v>
      </c>
      <c r="P206" s="75">
        <f>VLOOKUP($A206,'Data Vlaue (Cr)'!$C:$FB,119)</f>
        <v>0.8</v>
      </c>
      <c r="Q206" s="75">
        <f>VLOOKUP($A206,'Data Vlaue (Cr)'!$C:$FB,122)*100</f>
        <v>26.979999999999997</v>
      </c>
      <c r="R206" s="75">
        <f>VLOOKUP($A206,'Data Vlaue (Cr)'!$C:$FB,125)</f>
        <v>0.44</v>
      </c>
      <c r="S206" s="75">
        <f>VLOOKUP($A206,'Data Vlaue (Cr)'!$C:$FB,128)*100</f>
        <v>4.7600000000000007</v>
      </c>
    </row>
    <row r="207" spans="1:19" x14ac:dyDescent="0.25">
      <c r="A207" s="96" t="str">
        <f>'Data Vlaue (Cr)'!C198</f>
        <v>TIINDIA</v>
      </c>
      <c r="B207" s="75">
        <f>VLOOKUP($A207,'Data Vlaue (Cr)'!$C:$FB,2)</f>
        <v>200</v>
      </c>
      <c r="C207" s="75">
        <f>VLOOKUP($A207,'Data Vlaue (Cr)'!$C:$FB,8)</f>
        <v>3039.1</v>
      </c>
      <c r="D207" s="75">
        <f>VLOOKUP($A207,'Data Vlaue (Cr)'!$C:$FB,4)</f>
        <v>3053.8</v>
      </c>
      <c r="E207" s="75">
        <f>VLOOKUP($A207,'Data Vlaue (Cr)'!$C:$FB,5)</f>
        <v>3068.9</v>
      </c>
      <c r="F207" s="75">
        <f t="shared" si="32"/>
        <v>14.700000000000273</v>
      </c>
      <c r="G207" s="75">
        <f t="shared" si="33"/>
        <v>-0.49446591132359385</v>
      </c>
      <c r="H207" s="75">
        <f>VLOOKUP($A207,'Data Vlaue (Cr)'!$C:$FB,99)</f>
        <v>754</v>
      </c>
      <c r="I207" s="75">
        <f>VLOOKUP($A207,'Data Vlaue (Cr)'!$C:$FB,100)</f>
        <v>1055</v>
      </c>
      <c r="J207" s="75">
        <f t="shared" si="34"/>
        <v>-301</v>
      </c>
      <c r="K207" s="75">
        <f t="shared" si="25"/>
        <v>-39.920424403183027</v>
      </c>
      <c r="L207" s="75">
        <f>VLOOKUP($A207,'Data Vlaue (Cr)'!$C:$FB,67)</f>
        <v>482</v>
      </c>
      <c r="M207" s="75">
        <f>VLOOKUP($A207,'Data Vlaue (Cr)'!$C:$FB,68)</f>
        <v>1377</v>
      </c>
      <c r="N207" s="75">
        <f t="shared" si="30"/>
        <v>-895</v>
      </c>
      <c r="O207" s="75">
        <f t="shared" si="31"/>
        <v>-185.68464730290458</v>
      </c>
      <c r="P207" s="75">
        <f>VLOOKUP($A207,'Data Vlaue (Cr)'!$C:$FB,119)</f>
        <v>0.79</v>
      </c>
      <c r="Q207" s="75">
        <f>VLOOKUP($A207,'Data Vlaue (Cr)'!$C:$FB,122)*100</f>
        <v>29.509999999999998</v>
      </c>
      <c r="R207" s="75">
        <f>VLOOKUP($A207,'Data Vlaue (Cr)'!$C:$FB,125)</f>
        <v>0.33</v>
      </c>
      <c r="S207" s="75">
        <f>VLOOKUP($A207,'Data Vlaue (Cr)'!$C:$FB,128)*100</f>
        <v>3.1300000000000003</v>
      </c>
    </row>
    <row r="208" spans="1:19" x14ac:dyDescent="0.25">
      <c r="A208" s="96" t="str">
        <f>'Data Vlaue (Cr)'!C199</f>
        <v>TITAN</v>
      </c>
      <c r="B208" s="75">
        <f>VLOOKUP($A208,'Data Vlaue (Cr)'!$C:$FB,2)</f>
        <v>175</v>
      </c>
      <c r="C208" s="75">
        <f>VLOOKUP($A208,'Data Vlaue (Cr)'!$C:$FB,8)</f>
        <v>4105.8999999999996</v>
      </c>
      <c r="D208" s="75">
        <f>VLOOKUP($A208,'Data Vlaue (Cr)'!$C:$FB,4)</f>
        <v>4133.3999999999996</v>
      </c>
      <c r="E208" s="75">
        <f>VLOOKUP($A208,'Data Vlaue (Cr)'!$C:$FB,5)</f>
        <v>4176</v>
      </c>
      <c r="F208" s="75">
        <f t="shared" si="32"/>
        <v>27.5</v>
      </c>
      <c r="G208" s="75">
        <f t="shared" si="33"/>
        <v>-1.030628538249392</v>
      </c>
      <c r="H208" s="75">
        <f>VLOOKUP($A208,'Data Vlaue (Cr)'!$C:$FB,99)</f>
        <v>4272</v>
      </c>
      <c r="I208" s="75">
        <f>VLOOKUP($A208,'Data Vlaue (Cr)'!$C:$FB,100)</f>
        <v>6982</v>
      </c>
      <c r="J208" s="75">
        <f t="shared" si="34"/>
        <v>-2710</v>
      </c>
      <c r="K208" s="75">
        <f t="shared" ref="K208:K225" si="35">J208/H208*100</f>
        <v>-63.436329588014985</v>
      </c>
      <c r="L208" s="75">
        <f>VLOOKUP($A208,'Data Vlaue (Cr)'!$C:$FB,67)</f>
        <v>4563</v>
      </c>
      <c r="M208" s="75">
        <f>VLOOKUP($A208,'Data Vlaue (Cr)'!$C:$FB,68)</f>
        <v>7541</v>
      </c>
      <c r="N208" s="75">
        <f t="shared" si="30"/>
        <v>-2978</v>
      </c>
      <c r="O208" s="75">
        <f t="shared" si="31"/>
        <v>-65.264080648696037</v>
      </c>
      <c r="P208" s="75">
        <f>VLOOKUP($A208,'Data Vlaue (Cr)'!$C:$FB,119)</f>
        <v>0.76</v>
      </c>
      <c r="Q208" s="75">
        <f>VLOOKUP($A208,'Data Vlaue (Cr)'!$C:$FB,122)*100</f>
        <v>33.33</v>
      </c>
      <c r="R208" s="75">
        <f>VLOOKUP($A208,'Data Vlaue (Cr)'!$C:$FB,125)</f>
        <v>0.55000000000000004</v>
      </c>
      <c r="S208" s="75">
        <f>VLOOKUP($A208,'Data Vlaue (Cr)'!$C:$FB,128)*100</f>
        <v>14.580000000000002</v>
      </c>
    </row>
    <row r="209" spans="1:19" x14ac:dyDescent="0.25">
      <c r="A209" s="96" t="str">
        <f>'Data Vlaue (Cr)'!C200</f>
        <v>TMPV</v>
      </c>
      <c r="B209" s="75">
        <f>VLOOKUP($A209,'Data Vlaue (Cr)'!$C:$FB,2)</f>
        <v>800</v>
      </c>
      <c r="C209" s="75">
        <f>VLOOKUP($A209,'Data Vlaue (Cr)'!$C:$FB,8)</f>
        <v>385.6</v>
      </c>
      <c r="D209" s="75">
        <f>VLOOKUP($A209,'Data Vlaue (Cr)'!$C:$FB,4)</f>
        <v>385.35</v>
      </c>
      <c r="E209" s="75">
        <f>VLOOKUP($A209,'Data Vlaue (Cr)'!$C:$FB,5)</f>
        <v>373.45</v>
      </c>
      <c r="F209" s="75">
        <f t="shared" si="32"/>
        <v>-0.25</v>
      </c>
      <c r="G209" s="75">
        <f t="shared" si="33"/>
        <v>3.0881017257039143</v>
      </c>
      <c r="H209" s="75">
        <f>VLOOKUP($A209,'Data Vlaue (Cr)'!$C:$FB,99)</f>
        <v>4036</v>
      </c>
      <c r="I209" s="75">
        <f>VLOOKUP($A209,'Data Vlaue (Cr)'!$C:$FB,100)</f>
        <v>6467</v>
      </c>
      <c r="J209" s="75">
        <f t="shared" si="34"/>
        <v>-2431</v>
      </c>
      <c r="K209" s="75">
        <f t="shared" si="35"/>
        <v>-60.232903865213082</v>
      </c>
      <c r="L209" s="75">
        <f>VLOOKUP($A209,'Data Vlaue (Cr)'!$C:$FB,67)</f>
        <v>6128</v>
      </c>
      <c r="M209" s="75">
        <f>VLOOKUP($A209,'Data Vlaue (Cr)'!$C:$FB,68)</f>
        <v>7659</v>
      </c>
      <c r="N209" s="75">
        <f t="shared" si="30"/>
        <v>-1531</v>
      </c>
      <c r="O209" s="75">
        <f t="shared" si="31"/>
        <v>-24.983681462140993</v>
      </c>
      <c r="P209" s="75">
        <f>VLOOKUP($A209,'Data Vlaue (Cr)'!$C:$FB,119)</f>
        <v>0.78</v>
      </c>
      <c r="Q209" s="75">
        <f>VLOOKUP($A209,'Data Vlaue (Cr)'!$C:$FB,122)*100</f>
        <v>20</v>
      </c>
      <c r="R209" s="75">
        <f>VLOOKUP($A209,'Data Vlaue (Cr)'!$C:$FB,125)</f>
        <v>0.32</v>
      </c>
      <c r="S209" s="75">
        <f>VLOOKUP($A209,'Data Vlaue (Cr)'!$C:$FB,128)*100</f>
        <v>-21.95</v>
      </c>
    </row>
    <row r="210" spans="1:19" x14ac:dyDescent="0.25">
      <c r="A210" s="96" t="str">
        <f>'Data Vlaue (Cr)'!C201</f>
        <v>TORNTPHARM</v>
      </c>
      <c r="B210" s="75">
        <f>VLOOKUP($A210,'Data Vlaue (Cr)'!$C:$FB,2)</f>
        <v>125</v>
      </c>
      <c r="C210" s="75">
        <f>VLOOKUP($A210,'Data Vlaue (Cr)'!$C:$FB,8)</f>
        <v>4452.1000000000004</v>
      </c>
      <c r="D210" s="75">
        <f>VLOOKUP($A210,'Data Vlaue (Cr)'!$C:$FB,4)</f>
        <v>4459.7</v>
      </c>
      <c r="E210" s="75">
        <f>VLOOKUP($A210,'Data Vlaue (Cr)'!$C:$FB,5)</f>
        <v>4548.3999999999996</v>
      </c>
      <c r="F210" s="75">
        <f t="shared" si="32"/>
        <v>7.5999999999994543</v>
      </c>
      <c r="G210" s="75">
        <f t="shared" si="33"/>
        <v>-1.988923021727915</v>
      </c>
      <c r="H210" s="75">
        <f>VLOOKUP($A210,'Data Vlaue (Cr)'!$C:$FB,99)</f>
        <v>1797</v>
      </c>
      <c r="I210" s="75">
        <f>VLOOKUP($A210,'Data Vlaue (Cr)'!$C:$FB,100)</f>
        <v>2204</v>
      </c>
      <c r="J210" s="75">
        <f t="shared" si="34"/>
        <v>-407</v>
      </c>
      <c r="K210" s="75">
        <f t="shared" si="35"/>
        <v>-22.6488592097941</v>
      </c>
      <c r="L210" s="75">
        <f>VLOOKUP($A210,'Data Vlaue (Cr)'!$C:$FB,67)</f>
        <v>2172</v>
      </c>
      <c r="M210" s="75">
        <f>VLOOKUP($A210,'Data Vlaue (Cr)'!$C:$FB,68)</f>
        <v>11690</v>
      </c>
      <c r="N210" s="75">
        <f t="shared" si="30"/>
        <v>-9518</v>
      </c>
      <c r="O210" s="75">
        <f t="shared" si="31"/>
        <v>-438.21362799263352</v>
      </c>
      <c r="P210" s="75">
        <f>VLOOKUP($A210,'Data Vlaue (Cr)'!$C:$FB,119)</f>
        <v>0.53</v>
      </c>
      <c r="Q210" s="75">
        <f>VLOOKUP($A210,'Data Vlaue (Cr)'!$C:$FB,122)*100</f>
        <v>-30.259999999999998</v>
      </c>
      <c r="R210" s="75">
        <f>VLOOKUP($A210,'Data Vlaue (Cr)'!$C:$FB,125)</f>
        <v>0.88</v>
      </c>
      <c r="S210" s="75">
        <f>VLOOKUP($A210,'Data Vlaue (Cr)'!$C:$FB,128)*100</f>
        <v>109.52</v>
      </c>
    </row>
    <row r="211" spans="1:19" x14ac:dyDescent="0.25">
      <c r="A211" s="96" t="str">
        <f>'Data Vlaue (Cr)'!C202</f>
        <v>TRENT</v>
      </c>
      <c r="B211" s="75">
        <f>VLOOKUP($A211,'Data Vlaue (Cr)'!$C:$FB,2)</f>
        <v>100</v>
      </c>
      <c r="C211" s="75">
        <f>VLOOKUP($A211,'Data Vlaue (Cr)'!$C:$FB,8)</f>
        <v>4239.6000000000004</v>
      </c>
      <c r="D211" s="75">
        <f>VLOOKUP($A211,'Data Vlaue (Cr)'!$C:$FB,4)</f>
        <v>4228.3999999999996</v>
      </c>
      <c r="E211" s="75">
        <f>VLOOKUP($A211,'Data Vlaue (Cr)'!$C:$FB,5)</f>
        <v>4266.5</v>
      </c>
      <c r="F211" s="75">
        <f t="shared" si="32"/>
        <v>-11.200000000000728</v>
      </c>
      <c r="G211" s="75">
        <f t="shared" si="33"/>
        <v>-0.90105004256930199</v>
      </c>
      <c r="H211" s="75">
        <f>VLOOKUP($A211,'Data Vlaue (Cr)'!$C:$FB,99)</f>
        <v>3329</v>
      </c>
      <c r="I211" s="75">
        <f>VLOOKUP($A211,'Data Vlaue (Cr)'!$C:$FB,100)</f>
        <v>4883</v>
      </c>
      <c r="J211" s="75">
        <f t="shared" si="34"/>
        <v>-1554</v>
      </c>
      <c r="K211" s="75">
        <f t="shared" si="35"/>
        <v>-46.680684890357469</v>
      </c>
      <c r="L211" s="75">
        <f>VLOOKUP($A211,'Data Vlaue (Cr)'!$C:$FB,67)</f>
        <v>2953</v>
      </c>
      <c r="M211" s="75">
        <f>VLOOKUP($A211,'Data Vlaue (Cr)'!$C:$FB,68)</f>
        <v>5362</v>
      </c>
      <c r="N211" s="75">
        <f t="shared" si="30"/>
        <v>-2409</v>
      </c>
      <c r="O211" s="75">
        <f t="shared" si="31"/>
        <v>-81.578056214019639</v>
      </c>
      <c r="P211" s="75">
        <f>VLOOKUP($A211,'Data Vlaue (Cr)'!$C:$FB,119)</f>
        <v>0.63</v>
      </c>
      <c r="Q211" s="75">
        <f>VLOOKUP($A211,'Data Vlaue (Cr)'!$C:$FB,122)*100</f>
        <v>21.15</v>
      </c>
      <c r="R211" s="75">
        <f>VLOOKUP($A211,'Data Vlaue (Cr)'!$C:$FB,125)</f>
        <v>0.52</v>
      </c>
      <c r="S211" s="75">
        <f>VLOOKUP($A211,'Data Vlaue (Cr)'!$C:$FB,128)*100</f>
        <v>30</v>
      </c>
    </row>
    <row r="212" spans="1:19" x14ac:dyDescent="0.25">
      <c r="A212" s="96" t="str">
        <f>'Data Vlaue (Cr)'!C203</f>
        <v>TVSMOTOR</v>
      </c>
      <c r="B212" s="75">
        <f>VLOOKUP($A212,'Data Vlaue (Cr)'!$C:$FB,2)</f>
        <v>175</v>
      </c>
      <c r="C212" s="75">
        <f>VLOOKUP($A212,'Data Vlaue (Cr)'!$C:$FB,8)</f>
        <v>3454.9</v>
      </c>
      <c r="D212" s="75">
        <f>VLOOKUP($A212,'Data Vlaue (Cr)'!$C:$FB,4)</f>
        <v>3470.1</v>
      </c>
      <c r="E212" s="75">
        <f>VLOOKUP($A212,'Data Vlaue (Cr)'!$C:$FB,5)</f>
        <v>3498</v>
      </c>
      <c r="F212" s="75">
        <f t="shared" si="32"/>
        <v>15.199999999999818</v>
      </c>
      <c r="G212" s="75">
        <f t="shared" si="33"/>
        <v>-0.80401141177487945</v>
      </c>
      <c r="H212" s="75">
        <f>VLOOKUP($A212,'Data Vlaue (Cr)'!$C:$FB,99)</f>
        <v>3745</v>
      </c>
      <c r="I212" s="75">
        <f>VLOOKUP($A212,'Data Vlaue (Cr)'!$C:$FB,100)</f>
        <v>4936</v>
      </c>
      <c r="J212" s="75">
        <f t="shared" si="34"/>
        <v>-1191</v>
      </c>
      <c r="K212" s="75">
        <f t="shared" si="35"/>
        <v>-31.802403204272363</v>
      </c>
      <c r="L212" s="75">
        <f>VLOOKUP($A212,'Data Vlaue (Cr)'!$C:$FB,67)</f>
        <v>2255</v>
      </c>
      <c r="M212" s="75">
        <f>VLOOKUP($A212,'Data Vlaue (Cr)'!$C:$FB,68)</f>
        <v>5243</v>
      </c>
      <c r="N212" s="75">
        <f t="shared" si="30"/>
        <v>-2988</v>
      </c>
      <c r="O212" s="75">
        <f t="shared" si="31"/>
        <v>-132.50554323725055</v>
      </c>
      <c r="P212" s="75">
        <f>VLOOKUP($A212,'Data Vlaue (Cr)'!$C:$FB,119)</f>
        <v>1.04</v>
      </c>
      <c r="Q212" s="75">
        <f>VLOOKUP($A212,'Data Vlaue (Cr)'!$C:$FB,122)*100</f>
        <v>44.440000000000005</v>
      </c>
      <c r="R212" s="75">
        <f>VLOOKUP($A212,'Data Vlaue (Cr)'!$C:$FB,125)</f>
        <v>0.98</v>
      </c>
      <c r="S212" s="75">
        <f>VLOOKUP($A212,'Data Vlaue (Cr)'!$C:$FB,128)*100</f>
        <v>127.91</v>
      </c>
    </row>
    <row r="213" spans="1:19" x14ac:dyDescent="0.25">
      <c r="A213" s="96" t="str">
        <f>'Data Vlaue (Cr)'!C204</f>
        <v>ULTRACEMCO</v>
      </c>
      <c r="B213" s="75">
        <f>VLOOKUP($A213,'Data Vlaue (Cr)'!$C:$FB,2)</f>
        <v>50</v>
      </c>
      <c r="C213" s="75">
        <f>VLOOKUP($A213,'Data Vlaue (Cr)'!$C:$FB,8)</f>
        <v>11623</v>
      </c>
      <c r="D213" s="75">
        <f>VLOOKUP($A213,'Data Vlaue (Cr)'!$C:$FB,4)</f>
        <v>11700</v>
      </c>
      <c r="E213" s="75">
        <f>VLOOKUP($A213,'Data Vlaue (Cr)'!$C:$FB,5)</f>
        <v>11815</v>
      </c>
      <c r="F213" s="75">
        <f t="shared" si="32"/>
        <v>77</v>
      </c>
      <c r="G213" s="75">
        <f t="shared" si="33"/>
        <v>-0.98290598290598286</v>
      </c>
      <c r="H213" s="75">
        <f>VLOOKUP($A213,'Data Vlaue (Cr)'!$C:$FB,99)</f>
        <v>3233</v>
      </c>
      <c r="I213" s="75">
        <f>VLOOKUP($A213,'Data Vlaue (Cr)'!$C:$FB,100)</f>
        <v>5057</v>
      </c>
      <c r="J213" s="75">
        <f t="shared" si="34"/>
        <v>-1824</v>
      </c>
      <c r="K213" s="75">
        <f t="shared" si="35"/>
        <v>-56.418187442004331</v>
      </c>
      <c r="L213" s="75">
        <f>VLOOKUP($A213,'Data Vlaue (Cr)'!$C:$FB,67)</f>
        <v>1839</v>
      </c>
      <c r="M213" s="75">
        <f>VLOOKUP($A213,'Data Vlaue (Cr)'!$C:$FB,68)</f>
        <v>3355</v>
      </c>
      <c r="N213" s="75">
        <f t="shared" si="30"/>
        <v>-1516</v>
      </c>
      <c r="O213" s="75">
        <f t="shared" si="31"/>
        <v>-82.436106579662862</v>
      </c>
      <c r="P213" s="75">
        <f>VLOOKUP($A213,'Data Vlaue (Cr)'!$C:$FB,119)</f>
        <v>0.76</v>
      </c>
      <c r="Q213" s="75">
        <f>VLOOKUP($A213,'Data Vlaue (Cr)'!$C:$FB,122)*100</f>
        <v>58.330000000000005</v>
      </c>
      <c r="R213" s="75">
        <f>VLOOKUP($A213,'Data Vlaue (Cr)'!$C:$FB,125)</f>
        <v>0.44</v>
      </c>
      <c r="S213" s="75">
        <f>VLOOKUP($A213,'Data Vlaue (Cr)'!$C:$FB,128)*100</f>
        <v>10</v>
      </c>
    </row>
    <row r="214" spans="1:19" x14ac:dyDescent="0.25">
      <c r="A214" s="96" t="str">
        <f>'Data Vlaue (Cr)'!C205</f>
        <v>UNIONBANK</v>
      </c>
      <c r="B214" s="75">
        <f>VLOOKUP($A214,'Data Vlaue (Cr)'!$C:$FB,2)</f>
        <v>4425</v>
      </c>
      <c r="C214" s="75">
        <f>VLOOKUP($A214,'Data Vlaue (Cr)'!$C:$FB,8)</f>
        <v>167.56</v>
      </c>
      <c r="D214" s="75">
        <f>VLOOKUP($A214,'Data Vlaue (Cr)'!$C:$FB,4)</f>
        <v>168.99</v>
      </c>
      <c r="E214" s="75">
        <f>VLOOKUP($A214,'Data Vlaue (Cr)'!$C:$FB,5)</f>
        <v>169.14</v>
      </c>
      <c r="F214" s="75">
        <f t="shared" si="32"/>
        <v>1.4300000000000068</v>
      </c>
      <c r="G214" s="75">
        <f t="shared" si="33"/>
        <v>-8.8762648677423076E-2</v>
      </c>
      <c r="H214" s="75">
        <f>VLOOKUP($A214,'Data Vlaue (Cr)'!$C:$FB,99)</f>
        <v>2643</v>
      </c>
      <c r="I214" s="75">
        <f>VLOOKUP($A214,'Data Vlaue (Cr)'!$C:$FB,100)</f>
        <v>3547</v>
      </c>
      <c r="J214" s="75">
        <f t="shared" si="34"/>
        <v>-904</v>
      </c>
      <c r="K214" s="75">
        <f t="shared" si="35"/>
        <v>-34.203556564510031</v>
      </c>
      <c r="L214" s="75">
        <f>VLOOKUP($A214,'Data Vlaue (Cr)'!$C:$FB,67)</f>
        <v>2095</v>
      </c>
      <c r="M214" s="75">
        <f>VLOOKUP($A214,'Data Vlaue (Cr)'!$C:$FB,68)</f>
        <v>3747</v>
      </c>
      <c r="N214" s="75">
        <f t="shared" si="30"/>
        <v>-1652</v>
      </c>
      <c r="O214" s="75">
        <f t="shared" si="31"/>
        <v>-78.854415274463008</v>
      </c>
      <c r="P214" s="75">
        <f>VLOOKUP($A214,'Data Vlaue (Cr)'!$C:$FB,119)</f>
        <v>0.79</v>
      </c>
      <c r="Q214" s="75">
        <f>VLOOKUP($A214,'Data Vlaue (Cr)'!$C:$FB,122)*100</f>
        <v>33.900000000000006</v>
      </c>
      <c r="R214" s="75">
        <f>VLOOKUP($A214,'Data Vlaue (Cr)'!$C:$FB,125)</f>
        <v>0.35</v>
      </c>
      <c r="S214" s="75">
        <f>VLOOKUP($A214,'Data Vlaue (Cr)'!$C:$FB,128)*100</f>
        <v>2.94</v>
      </c>
    </row>
    <row r="215" spans="1:19" x14ac:dyDescent="0.25">
      <c r="A215" s="96" t="str">
        <f>'Data Vlaue (Cr)'!C206</f>
        <v>UNITDSPR</v>
      </c>
      <c r="B215" s="75">
        <f>VLOOKUP($A215,'Data Vlaue (Cr)'!$C:$FB,2)</f>
        <v>400</v>
      </c>
      <c r="C215" s="75">
        <f>VLOOKUP($A215,'Data Vlaue (Cr)'!$C:$FB,8)</f>
        <v>1293.4000000000001</v>
      </c>
      <c r="D215" s="75">
        <f>VLOOKUP($A215,'Data Vlaue (Cr)'!$C:$FB,4)</f>
        <v>1301.5</v>
      </c>
      <c r="E215" s="75">
        <f>VLOOKUP($A215,'Data Vlaue (Cr)'!$C:$FB,5)</f>
        <v>1295.0999999999999</v>
      </c>
      <c r="F215" s="75">
        <f t="shared" si="32"/>
        <v>8.0999999999999091</v>
      </c>
      <c r="G215" s="75">
        <f t="shared" si="33"/>
        <v>0.49174029965425209</v>
      </c>
      <c r="H215" s="75">
        <f>VLOOKUP($A215,'Data Vlaue (Cr)'!$C:$FB,99)</f>
        <v>1752</v>
      </c>
      <c r="I215" s="75">
        <f>VLOOKUP($A215,'Data Vlaue (Cr)'!$C:$FB,100)</f>
        <v>2633</v>
      </c>
      <c r="J215" s="75">
        <f t="shared" si="34"/>
        <v>-881</v>
      </c>
      <c r="K215" s="75">
        <f t="shared" si="35"/>
        <v>-50.285388127853878</v>
      </c>
      <c r="L215" s="75">
        <f>VLOOKUP($A215,'Data Vlaue (Cr)'!$C:$FB,67)</f>
        <v>1118</v>
      </c>
      <c r="M215" s="75">
        <f>VLOOKUP($A215,'Data Vlaue (Cr)'!$C:$FB,68)</f>
        <v>1472</v>
      </c>
      <c r="N215" s="75">
        <f t="shared" ref="N215:N221" si="36">L215-M215</f>
        <v>-354</v>
      </c>
      <c r="O215" s="75">
        <f t="shared" ref="O215:O221" si="37">N215/L215*100</f>
        <v>-31.663685152057248</v>
      </c>
      <c r="P215" s="75">
        <f>VLOOKUP($A215,'Data Vlaue (Cr)'!$C:$FB,119)</f>
        <v>0.89</v>
      </c>
      <c r="Q215" s="75">
        <f>VLOOKUP($A215,'Data Vlaue (Cr)'!$C:$FB,122)*100</f>
        <v>9.879999999999999</v>
      </c>
      <c r="R215" s="75">
        <f>VLOOKUP($A215,'Data Vlaue (Cr)'!$C:$FB,125)</f>
        <v>0.85</v>
      </c>
      <c r="S215" s="75">
        <f>VLOOKUP($A215,'Data Vlaue (Cr)'!$C:$FB,128)*100</f>
        <v>11.84</v>
      </c>
    </row>
    <row r="216" spans="1:19" x14ac:dyDescent="0.25">
      <c r="A216" s="96" t="str">
        <f>'Data Vlaue (Cr)'!C207</f>
        <v>UNOMINDA</v>
      </c>
      <c r="B216" s="75">
        <f>VLOOKUP($A216,'Data Vlaue (Cr)'!$C:$FB,2)</f>
        <v>550</v>
      </c>
      <c r="C216" s="75">
        <f>VLOOKUP($A216,'Data Vlaue (Cr)'!$C:$FB,8)</f>
        <v>1114.9000000000001</v>
      </c>
      <c r="D216" s="75">
        <f>VLOOKUP($A216,'Data Vlaue (Cr)'!$C:$FB,4)</f>
        <v>1121</v>
      </c>
      <c r="E216" s="75">
        <f>VLOOKUP($A216,'Data Vlaue (Cr)'!$C:$FB,5)</f>
        <v>1122</v>
      </c>
      <c r="F216" s="75">
        <f t="shared" si="32"/>
        <v>6.0999999999999091</v>
      </c>
      <c r="G216" s="75">
        <f t="shared" si="33"/>
        <v>-8.9206066012488858E-2</v>
      </c>
      <c r="H216" s="75">
        <f>VLOOKUP($A216,'Data Vlaue (Cr)'!$C:$FB,99)</f>
        <v>550</v>
      </c>
      <c r="I216" s="75">
        <f>VLOOKUP($A216,'Data Vlaue (Cr)'!$C:$FB,100)</f>
        <v>942</v>
      </c>
      <c r="J216" s="75">
        <f t="shared" si="34"/>
        <v>-392</v>
      </c>
      <c r="K216" s="75">
        <f t="shared" si="35"/>
        <v>-71.27272727272728</v>
      </c>
      <c r="L216" s="75">
        <f>VLOOKUP($A216,'Data Vlaue (Cr)'!$C:$FB,67)</f>
        <v>479</v>
      </c>
      <c r="M216" s="75">
        <f>VLOOKUP($A216,'Data Vlaue (Cr)'!$C:$FB,68)</f>
        <v>845</v>
      </c>
      <c r="N216" s="75">
        <f t="shared" si="36"/>
        <v>-366</v>
      </c>
      <c r="O216" s="75">
        <f t="shared" si="37"/>
        <v>-76.409185803757822</v>
      </c>
      <c r="P216" s="75">
        <f>VLOOKUP($A216,'Data Vlaue (Cr)'!$C:$FB,119)</f>
        <v>0.85</v>
      </c>
      <c r="Q216" s="75">
        <f>VLOOKUP($A216,'Data Vlaue (Cr)'!$C:$FB,122)*100</f>
        <v>28.79</v>
      </c>
      <c r="R216" s="75">
        <f>VLOOKUP($A216,'Data Vlaue (Cr)'!$C:$FB,125)</f>
        <v>0.23</v>
      </c>
      <c r="S216" s="75">
        <f>VLOOKUP($A216,'Data Vlaue (Cr)'!$C:$FB,128)*100</f>
        <v>-28.13</v>
      </c>
    </row>
    <row r="217" spans="1:19" x14ac:dyDescent="0.25">
      <c r="A217" s="96" t="str">
        <f>'Data Vlaue (Cr)'!C208</f>
        <v>UPL</v>
      </c>
      <c r="B217" s="75">
        <f>VLOOKUP($A217,'Data Vlaue (Cr)'!$C:$FB,2)</f>
        <v>1355</v>
      </c>
      <c r="C217" s="75">
        <f>VLOOKUP($A217,'Data Vlaue (Cr)'!$C:$FB,8)</f>
        <v>655</v>
      </c>
      <c r="D217" s="75">
        <f>VLOOKUP($A217,'Data Vlaue (Cr)'!$C:$FB,4)</f>
        <v>659.45</v>
      </c>
      <c r="E217" s="75">
        <f>VLOOKUP($A217,'Data Vlaue (Cr)'!$C:$FB,5)</f>
        <v>655.25</v>
      </c>
      <c r="F217" s="75">
        <f t="shared" si="32"/>
        <v>4.4500000000000455</v>
      </c>
      <c r="G217" s="75">
        <f t="shared" si="33"/>
        <v>0.63689438168171131</v>
      </c>
      <c r="H217" s="75">
        <f>VLOOKUP($A217,'Data Vlaue (Cr)'!$C:$FB,99)</f>
        <v>2112</v>
      </c>
      <c r="I217" s="75">
        <f>VLOOKUP($A217,'Data Vlaue (Cr)'!$C:$FB,100)</f>
        <v>3045</v>
      </c>
      <c r="J217" s="75">
        <f t="shared" si="34"/>
        <v>-933</v>
      </c>
      <c r="K217" s="75">
        <f t="shared" si="35"/>
        <v>-44.176136363636367</v>
      </c>
      <c r="L217" s="75">
        <f>VLOOKUP($A217,'Data Vlaue (Cr)'!$C:$FB,67)</f>
        <v>1984</v>
      </c>
      <c r="M217" s="75">
        <f>VLOOKUP($A217,'Data Vlaue (Cr)'!$C:$FB,68)</f>
        <v>2277</v>
      </c>
      <c r="N217" s="75">
        <f t="shared" si="36"/>
        <v>-293</v>
      </c>
      <c r="O217" s="75">
        <f t="shared" si="37"/>
        <v>-14.768145161290322</v>
      </c>
      <c r="P217" s="75">
        <f>VLOOKUP($A217,'Data Vlaue (Cr)'!$C:$FB,119)</f>
        <v>0.88</v>
      </c>
      <c r="Q217" s="75">
        <f>VLOOKUP($A217,'Data Vlaue (Cr)'!$C:$FB,122)*100</f>
        <v>29.409999999999997</v>
      </c>
      <c r="R217" s="75">
        <f>VLOOKUP($A217,'Data Vlaue (Cr)'!$C:$FB,125)</f>
        <v>0.5</v>
      </c>
      <c r="S217" s="75">
        <f>VLOOKUP($A217,'Data Vlaue (Cr)'!$C:$FB,128)*100</f>
        <v>8.6999999999999993</v>
      </c>
    </row>
    <row r="218" spans="1:19" x14ac:dyDescent="0.25">
      <c r="A218" s="96" t="str">
        <f>'Data Vlaue (Cr)'!C209</f>
        <v>VBL</v>
      </c>
      <c r="B218" s="75">
        <f>VLOOKUP($A218,'Data Vlaue (Cr)'!$C:$FB,2)</f>
        <v>1125</v>
      </c>
      <c r="C218" s="75">
        <f>VLOOKUP($A218,'Data Vlaue (Cr)'!$C:$FB,8)</f>
        <v>531.29999999999995</v>
      </c>
      <c r="D218" s="75">
        <f>VLOOKUP($A218,'Data Vlaue (Cr)'!$C:$FB,4)</f>
        <v>535.35</v>
      </c>
      <c r="E218" s="75">
        <f>VLOOKUP($A218,'Data Vlaue (Cr)'!$C:$FB,5)</f>
        <v>533.65</v>
      </c>
      <c r="F218" s="75">
        <f t="shared" si="32"/>
        <v>4.0500000000000682</v>
      </c>
      <c r="G218" s="75">
        <f t="shared" si="33"/>
        <v>0.31754926683478946</v>
      </c>
      <c r="H218" s="75">
        <f>VLOOKUP($A218,'Data Vlaue (Cr)'!$C:$FB,99)</f>
        <v>3083</v>
      </c>
      <c r="I218" s="75">
        <f>VLOOKUP($A218,'Data Vlaue (Cr)'!$C:$FB,100)</f>
        <v>4011</v>
      </c>
      <c r="J218" s="75">
        <f t="shared" si="34"/>
        <v>-928</v>
      </c>
      <c r="K218" s="75">
        <f t="shared" si="35"/>
        <v>-30.100551410963348</v>
      </c>
      <c r="L218" s="75">
        <f>VLOOKUP($A218,'Data Vlaue (Cr)'!$C:$FB,67)</f>
        <v>1712</v>
      </c>
      <c r="M218" s="75">
        <f>VLOOKUP($A218,'Data Vlaue (Cr)'!$C:$FB,68)</f>
        <v>3744</v>
      </c>
      <c r="N218" s="75">
        <f t="shared" si="36"/>
        <v>-2032</v>
      </c>
      <c r="O218" s="75">
        <f t="shared" si="37"/>
        <v>-118.69158878504673</v>
      </c>
      <c r="P218" s="75">
        <f>VLOOKUP($A218,'Data Vlaue (Cr)'!$C:$FB,119)</f>
        <v>0.49</v>
      </c>
      <c r="Q218" s="75">
        <f>VLOOKUP($A218,'Data Vlaue (Cr)'!$C:$FB,122)*100</f>
        <v>-16.950000000000003</v>
      </c>
      <c r="R218" s="75">
        <f>VLOOKUP($A218,'Data Vlaue (Cr)'!$C:$FB,125)</f>
        <v>0.61</v>
      </c>
      <c r="S218" s="75">
        <f>VLOOKUP($A218,'Data Vlaue (Cr)'!$C:$FB,128)*100</f>
        <v>-1.6099999999999999</v>
      </c>
    </row>
    <row r="219" spans="1:19" x14ac:dyDescent="0.25">
      <c r="A219" s="96" t="str">
        <f>'Data Vlaue (Cr)'!C210</f>
        <v>VEDL</v>
      </c>
      <c r="B219" s="75">
        <f>VLOOKUP($A219,'Data Vlaue (Cr)'!$C:$FB,2)</f>
        <v>1150</v>
      </c>
      <c r="C219" s="75">
        <f>VLOOKUP($A219,'Data Vlaue (Cr)'!$C:$FB,8)</f>
        <v>344.9</v>
      </c>
      <c r="D219" s="75">
        <f>VLOOKUP($A219,'Data Vlaue (Cr)'!$C:$FB,4)</f>
        <v>347.1</v>
      </c>
      <c r="E219" s="75">
        <f>VLOOKUP($A219,'Data Vlaue (Cr)'!$C:$FB,5)</f>
        <v>332.55</v>
      </c>
      <c r="F219" s="75">
        <f t="shared" si="32"/>
        <v>2.2000000000000455</v>
      </c>
      <c r="G219" s="75">
        <f t="shared" si="33"/>
        <v>4.19187554019015</v>
      </c>
      <c r="H219" s="75">
        <f>VLOOKUP($A219,'Data Vlaue (Cr)'!$C:$FB,99)</f>
        <v>2339</v>
      </c>
      <c r="I219" s="75">
        <f>VLOOKUP($A219,'Data Vlaue (Cr)'!$C:$FB,100)</f>
        <v>3763</v>
      </c>
      <c r="J219" s="75">
        <f t="shared" si="34"/>
        <v>-1424</v>
      </c>
      <c r="K219" s="75">
        <f t="shared" si="35"/>
        <v>-60.88071825566481</v>
      </c>
      <c r="L219" s="75">
        <f>VLOOKUP($A219,'Data Vlaue (Cr)'!$C:$FB,67)</f>
        <v>6699</v>
      </c>
      <c r="M219" s="75">
        <f>VLOOKUP($A219,'Data Vlaue (Cr)'!$C:$FB,68)</f>
        <v>3769</v>
      </c>
      <c r="N219" s="75">
        <f t="shared" si="36"/>
        <v>2930</v>
      </c>
      <c r="O219" s="75">
        <f t="shared" si="37"/>
        <v>43.73787132407822</v>
      </c>
      <c r="P219" s="75">
        <f>VLOOKUP($A219,'Data Vlaue (Cr)'!$C:$FB,119)</f>
        <v>0.64</v>
      </c>
      <c r="Q219" s="75">
        <f>VLOOKUP($A219,'Data Vlaue (Cr)'!$C:$FB,122)*100</f>
        <v>-16.88</v>
      </c>
      <c r="R219" s="75">
        <f>VLOOKUP($A219,'Data Vlaue (Cr)'!$C:$FB,125)</f>
        <v>0.39</v>
      </c>
      <c r="S219" s="75">
        <f>VLOOKUP($A219,'Data Vlaue (Cr)'!$C:$FB,128)*100</f>
        <v>-30.36</v>
      </c>
    </row>
    <row r="220" spans="1:19" x14ac:dyDescent="0.25">
      <c r="A220" s="96" t="str">
        <f>'Data Vlaue (Cr)'!C211</f>
        <v>VMM</v>
      </c>
      <c r="B220" s="75">
        <f>VLOOKUP($A220,'Data Vlaue (Cr)'!$C:$FB,2)</f>
        <v>4850</v>
      </c>
      <c r="C220" s="75">
        <f>VLOOKUP($A220,'Data Vlaue (Cr)'!$C:$FB,8)</f>
        <v>121.08</v>
      </c>
      <c r="D220" s="75">
        <f>VLOOKUP($A220,'Data Vlaue (Cr)'!$C:$FB,4)</f>
        <v>121.82</v>
      </c>
      <c r="E220" s="75">
        <f>VLOOKUP($A220,'Data Vlaue (Cr)'!$C:$FB,5)</f>
        <v>122.07</v>
      </c>
      <c r="F220" s="75">
        <f t="shared" si="32"/>
        <v>0.73999999999999488</v>
      </c>
      <c r="G220" s="75">
        <f t="shared" si="33"/>
        <v>-0.20522081759973732</v>
      </c>
      <c r="H220" s="75">
        <f>VLOOKUP($A220,'Data Vlaue (Cr)'!$C:$FB,99)</f>
        <v>417</v>
      </c>
      <c r="I220" s="75">
        <f>VLOOKUP($A220,'Data Vlaue (Cr)'!$C:$FB,100)</f>
        <v>556</v>
      </c>
      <c r="J220" s="75">
        <f t="shared" si="34"/>
        <v>-139</v>
      </c>
      <c r="K220" s="75">
        <f t="shared" si="35"/>
        <v>-33.333333333333329</v>
      </c>
      <c r="L220" s="75">
        <f>VLOOKUP($A220,'Data Vlaue (Cr)'!$C:$FB,67)</f>
        <v>252</v>
      </c>
      <c r="M220" s="75">
        <f>VLOOKUP($A220,'Data Vlaue (Cr)'!$C:$FB,68)</f>
        <v>369</v>
      </c>
      <c r="N220" s="75">
        <f t="shared" si="36"/>
        <v>-117</v>
      </c>
      <c r="O220" s="75">
        <f t="shared" si="37"/>
        <v>-46.428571428571431</v>
      </c>
      <c r="P220" s="75">
        <f>VLOOKUP($A220,'Data Vlaue (Cr)'!$C:$FB,119)</f>
        <v>1.71</v>
      </c>
      <c r="Q220" s="75">
        <f>VLOOKUP($A220,'Data Vlaue (Cr)'!$C:$FB,122)*100</f>
        <v>147.82999999999998</v>
      </c>
      <c r="R220" s="75">
        <f>VLOOKUP($A220,'Data Vlaue (Cr)'!$C:$FB,125)</f>
        <v>0.37</v>
      </c>
      <c r="S220" s="75">
        <f>VLOOKUP($A220,'Data Vlaue (Cr)'!$C:$FB,128)*100</f>
        <v>27.589999999999996</v>
      </c>
    </row>
    <row r="221" spans="1:19" x14ac:dyDescent="0.25">
      <c r="A221" s="96" t="str">
        <f>'Data Vlaue (Cr)'!C212</f>
        <v>VOLTAS</v>
      </c>
      <c r="B221" s="75">
        <f>VLOOKUP($A221,'Data Vlaue (Cr)'!$C:$FB,2)</f>
        <v>375</v>
      </c>
      <c r="C221" s="75">
        <f>VLOOKUP($A221,'Data Vlaue (Cr)'!$C:$FB,8)</f>
        <v>1271.4000000000001</v>
      </c>
      <c r="D221" s="75">
        <f>VLOOKUP($A221,'Data Vlaue (Cr)'!$C:$FB,4)</f>
        <v>1261.8</v>
      </c>
      <c r="E221" s="75">
        <f>VLOOKUP($A221,'Data Vlaue (Cr)'!$C:$FB,5)</f>
        <v>1267.4000000000001</v>
      </c>
      <c r="F221" s="75">
        <f t="shared" si="32"/>
        <v>-9.6000000000001364</v>
      </c>
      <c r="G221" s="75">
        <f t="shared" si="33"/>
        <v>-0.44381042954510519</v>
      </c>
      <c r="H221" s="75">
        <f>VLOOKUP($A221,'Data Vlaue (Cr)'!$C:$FB,99)</f>
        <v>1775</v>
      </c>
      <c r="I221" s="75">
        <f>VLOOKUP($A221,'Data Vlaue (Cr)'!$C:$FB,100)</f>
        <v>2736</v>
      </c>
      <c r="J221" s="75">
        <f t="shared" si="34"/>
        <v>-961</v>
      </c>
      <c r="K221" s="75">
        <f t="shared" si="35"/>
        <v>-54.140845070422536</v>
      </c>
      <c r="L221" s="75">
        <f>VLOOKUP($A221,'Data Vlaue (Cr)'!$C:$FB,67)</f>
        <v>1253</v>
      </c>
      <c r="M221" s="75">
        <f>VLOOKUP($A221,'Data Vlaue (Cr)'!$C:$FB,68)</f>
        <v>2673</v>
      </c>
      <c r="N221" s="75">
        <f t="shared" si="36"/>
        <v>-1420</v>
      </c>
      <c r="O221" s="75">
        <f t="shared" si="37"/>
        <v>-113.32801276935356</v>
      </c>
      <c r="P221" s="75">
        <f>VLOOKUP($A221,'Data Vlaue (Cr)'!$C:$FB,119)</f>
        <v>0.78</v>
      </c>
      <c r="Q221" s="75">
        <f>VLOOKUP($A221,'Data Vlaue (Cr)'!$C:$FB,122)*100</f>
        <v>20</v>
      </c>
      <c r="R221" s="75">
        <f>VLOOKUP($A221,'Data Vlaue (Cr)'!$C:$FB,125)</f>
        <v>0.54</v>
      </c>
      <c r="S221" s="75">
        <f>VLOOKUP($A221,'Data Vlaue (Cr)'!$C:$FB,128)*100</f>
        <v>25.580000000000002</v>
      </c>
    </row>
    <row r="222" spans="1:19" x14ac:dyDescent="0.25">
      <c r="A222" s="96" t="str">
        <f>'Data Vlaue (Cr)'!C213</f>
        <v>WAAREEENER</v>
      </c>
      <c r="B222" s="75">
        <f>VLOOKUP($A222,'Data Vlaue (Cr)'!$C:$FB,2)</f>
        <v>175</v>
      </c>
      <c r="C222" s="75">
        <f>VLOOKUP($A222,'Data Vlaue (Cr)'!$C:$FB,8)</f>
        <v>3088.1</v>
      </c>
      <c r="D222" s="75">
        <f>VLOOKUP($A222,'Data Vlaue (Cr)'!$C:$FB,4)</f>
        <v>3107.6</v>
      </c>
      <c r="E222" s="75">
        <f>VLOOKUP($A222,'Data Vlaue (Cr)'!$C:$FB,5)</f>
        <v>3004.9</v>
      </c>
      <c r="F222" s="75">
        <f t="shared" si="32"/>
        <v>19.5</v>
      </c>
      <c r="G222" s="75">
        <f t="shared" si="33"/>
        <v>3.3048011327069062</v>
      </c>
      <c r="H222" s="75">
        <f>VLOOKUP($A222,'Data Vlaue (Cr)'!$C:$FB,99)</f>
        <v>2290</v>
      </c>
      <c r="I222" s="75">
        <f>VLOOKUP($A222,'Data Vlaue (Cr)'!$C:$FB,100)</f>
        <v>3886</v>
      </c>
      <c r="J222" s="75">
        <f t="shared" si="34"/>
        <v>-1596</v>
      </c>
      <c r="K222" s="75">
        <f t="shared" si="35"/>
        <v>-69.694323144104814</v>
      </c>
      <c r="L222" s="75">
        <f>VLOOKUP($A222,'Data Vlaue (Cr)'!$C:$FB,67)</f>
        <v>6872</v>
      </c>
      <c r="M222" s="75">
        <f>VLOOKUP($A222,'Data Vlaue (Cr)'!$C:$FB,68)</f>
        <v>3967</v>
      </c>
      <c r="N222" s="75">
        <f t="shared" ref="N222:N224" si="38">L222-M222</f>
        <v>2905</v>
      </c>
      <c r="O222" s="75">
        <f t="shared" ref="O222:O224" si="39">N222/L222*100</f>
        <v>42.27299185098952</v>
      </c>
      <c r="P222" s="75">
        <f>VLOOKUP($A222,'Data Vlaue (Cr)'!$C:$FB,119)</f>
        <v>0.7</v>
      </c>
      <c r="Q222" s="75">
        <f>VLOOKUP($A222,'Data Vlaue (Cr)'!$C:$FB,122)*100</f>
        <v>59.089999999999996</v>
      </c>
      <c r="R222" s="75">
        <f>VLOOKUP($A222,'Data Vlaue (Cr)'!$C:$FB,125)</f>
        <v>0.33</v>
      </c>
      <c r="S222" s="75">
        <f>VLOOKUP($A222,'Data Vlaue (Cr)'!$C:$FB,128)*100</f>
        <v>32</v>
      </c>
    </row>
    <row r="223" spans="1:19" x14ac:dyDescent="0.25">
      <c r="A223" s="96" t="str">
        <f>'Data Vlaue (Cr)'!C214</f>
        <v>WIPRO</v>
      </c>
      <c r="B223" s="75">
        <f>VLOOKUP($A223,'Data Vlaue (Cr)'!$C:$FB,2)</f>
        <v>3000</v>
      </c>
      <c r="C223" s="75">
        <f>VLOOKUP($A223,'Data Vlaue (Cr)'!$C:$FB,8)</f>
        <v>203.73</v>
      </c>
      <c r="D223" s="75">
        <f>VLOOKUP($A223,'Data Vlaue (Cr)'!$C:$FB,4)</f>
        <v>181.41</v>
      </c>
      <c r="E223" s="75">
        <f>VLOOKUP($A223,'Data Vlaue (Cr)'!$C:$FB,5)</f>
        <v>180.6</v>
      </c>
      <c r="F223" s="75">
        <f t="shared" si="32"/>
        <v>-22.319999999999993</v>
      </c>
      <c r="G223" s="75">
        <f t="shared" si="33"/>
        <v>0.44650239788324919</v>
      </c>
      <c r="H223" s="75">
        <f>VLOOKUP($A223,'Data Vlaue (Cr)'!$C:$FB,99)</f>
        <v>8715</v>
      </c>
      <c r="I223" s="75">
        <f>VLOOKUP($A223,'Data Vlaue (Cr)'!$C:$FB,100)</f>
        <v>11179</v>
      </c>
      <c r="J223" s="75">
        <f t="shared" si="34"/>
        <v>-2464</v>
      </c>
      <c r="K223" s="75">
        <f t="shared" si="35"/>
        <v>-28.273092369477908</v>
      </c>
      <c r="L223" s="75">
        <f>VLOOKUP($A223,'Data Vlaue (Cr)'!$C:$FB,67)</f>
        <v>8597</v>
      </c>
      <c r="M223" s="75">
        <f>VLOOKUP($A223,'Data Vlaue (Cr)'!$C:$FB,68)</f>
        <v>13310</v>
      </c>
      <c r="N223" s="75">
        <f t="shared" si="38"/>
        <v>-4713</v>
      </c>
      <c r="O223" s="75">
        <f t="shared" si="39"/>
        <v>-54.82144934279399</v>
      </c>
      <c r="P223" s="75">
        <f>VLOOKUP($A223,'Data Vlaue (Cr)'!$C:$FB,119)</f>
        <v>0.66</v>
      </c>
      <c r="Q223" s="75">
        <f>VLOOKUP($A223,'Data Vlaue (Cr)'!$C:$FB,122)*100</f>
        <v>10</v>
      </c>
      <c r="R223" s="75">
        <f>VLOOKUP($A223,'Data Vlaue (Cr)'!$C:$FB,125)</f>
        <v>0.57999999999999996</v>
      </c>
      <c r="S223" s="75">
        <f>VLOOKUP($A223,'Data Vlaue (Cr)'!$C:$FB,128)*100</f>
        <v>28.89</v>
      </c>
    </row>
    <row r="224" spans="1:19" x14ac:dyDescent="0.25">
      <c r="A224" s="96" t="str">
        <f>'Data Vlaue (Cr)'!C215</f>
        <v>YESBANK</v>
      </c>
      <c r="B224" s="75">
        <f>VLOOKUP($A224,'Data Vlaue (Cr)'!$C:$FB,2)</f>
        <v>31100</v>
      </c>
      <c r="C224" s="75">
        <f>VLOOKUP($A224,'Data Vlaue (Cr)'!$C:$FB,8)</f>
        <v>22.83</v>
      </c>
      <c r="D224" s="75">
        <f>VLOOKUP($A224,'Data Vlaue (Cr)'!$C:$FB,4)</f>
        <v>23.01</v>
      </c>
      <c r="E224" s="75">
        <f>VLOOKUP($A224,'Data Vlaue (Cr)'!$C:$FB,5)</f>
        <v>22.46</v>
      </c>
      <c r="F224" s="75">
        <f t="shared" si="32"/>
        <v>0.18000000000000327</v>
      </c>
      <c r="G224" s="75">
        <f t="shared" si="33"/>
        <v>2.3902651021295118</v>
      </c>
      <c r="H224" s="75">
        <f>VLOOKUP($A224,'Data Vlaue (Cr)'!$C:$FB,99)</f>
        <v>3469</v>
      </c>
      <c r="I224" s="75">
        <f>VLOOKUP($A224,'Data Vlaue (Cr)'!$C:$FB,100)</f>
        <v>4385</v>
      </c>
      <c r="J224" s="75">
        <f t="shared" si="34"/>
        <v>-916</v>
      </c>
      <c r="K224" s="75">
        <f t="shared" si="35"/>
        <v>-26.405304122225427</v>
      </c>
      <c r="L224" s="75">
        <f>VLOOKUP($A224,'Data Vlaue (Cr)'!$C:$FB,67)</f>
        <v>2805</v>
      </c>
      <c r="M224" s="75">
        <f>VLOOKUP($A224,'Data Vlaue (Cr)'!$C:$FB,68)</f>
        <v>2513</v>
      </c>
      <c r="N224" s="75">
        <f t="shared" si="38"/>
        <v>292</v>
      </c>
      <c r="O224" s="75">
        <f t="shared" si="39"/>
        <v>10.409982174688057</v>
      </c>
      <c r="P224" s="75">
        <f>VLOOKUP($A224,'Data Vlaue (Cr)'!$C:$FB,119)</f>
        <v>0.65</v>
      </c>
      <c r="Q224" s="75">
        <f>VLOOKUP($A224,'Data Vlaue (Cr)'!$C:$FB,122)*100</f>
        <v>1.5599999999999998</v>
      </c>
      <c r="R224" s="75">
        <f>VLOOKUP($A224,'Data Vlaue (Cr)'!$C:$FB,125)</f>
        <v>0.43</v>
      </c>
      <c r="S224" s="75">
        <f>VLOOKUP($A224,'Data Vlaue (Cr)'!$C:$FB,128)*100</f>
        <v>-38.57</v>
      </c>
    </row>
    <row r="225" spans="1:19" x14ac:dyDescent="0.25">
      <c r="A225" s="96" t="str">
        <f>'Data Vlaue (Cr)'!C216</f>
        <v>ZYDUSLIFE</v>
      </c>
      <c r="B225" s="75">
        <f>VLOOKUP($A225,'Data Vlaue (Cr)'!$C:$FB,2)</f>
        <v>900</v>
      </c>
      <c r="C225" s="75">
        <f>VLOOKUP($A225,'Data Vlaue (Cr)'!$C:$FB,8)</f>
        <v>1079.05</v>
      </c>
      <c r="D225" s="75">
        <f>VLOOKUP($A225,'Data Vlaue (Cr)'!$C:$FB,4)</f>
        <v>1084.55</v>
      </c>
      <c r="E225" s="75">
        <f>VLOOKUP($A225,'Data Vlaue (Cr)'!$C:$FB,5)</f>
        <v>1078.5</v>
      </c>
      <c r="F225" s="75">
        <f t="shared" si="32"/>
        <v>5.5</v>
      </c>
      <c r="G225" s="75">
        <f t="shared" si="33"/>
        <v>0.55783504679359686</v>
      </c>
      <c r="H225" s="75">
        <f>VLOOKUP($A225,'Data Vlaue (Cr)'!$C:$FB,99)</f>
        <v>1629</v>
      </c>
      <c r="I225" s="75">
        <f>VLOOKUP($A225,'Data Vlaue (Cr)'!$C:$FB,100)</f>
        <v>2685</v>
      </c>
      <c r="J225" s="75">
        <f t="shared" si="34"/>
        <v>-1056</v>
      </c>
      <c r="K225" s="75">
        <f t="shared" si="35"/>
        <v>-64.825046040515659</v>
      </c>
      <c r="L225" s="75">
        <f>VLOOKUP($A225,'Data Vlaue (Cr)'!$C:$FB,67)</f>
        <v>1770</v>
      </c>
      <c r="M225" s="75">
        <f>VLOOKUP($A225,'Data Vlaue (Cr)'!$C:$FB,68)</f>
        <v>4260</v>
      </c>
      <c r="N225" s="75">
        <f t="shared" ref="N225" si="40">L225-M225</f>
        <v>-2490</v>
      </c>
      <c r="O225" s="75">
        <f t="shared" ref="O225" si="41">N225/L225*100</f>
        <v>-140.67796610169492</v>
      </c>
      <c r="P225" s="75">
        <f>VLOOKUP($A225,'Data Vlaue (Cr)'!$C:$FB,119)</f>
        <v>0.62</v>
      </c>
      <c r="Q225" s="75">
        <f>VLOOKUP($A225,'Data Vlaue (Cr)'!$C:$FB,122)*100</f>
        <v>-6.0600000000000005</v>
      </c>
      <c r="R225" s="75">
        <f>VLOOKUP($A225,'Data Vlaue (Cr)'!$C:$FB,125)</f>
        <v>0.44</v>
      </c>
      <c r="S225" s="75">
        <f>VLOOKUP($A225,'Data Vlaue (Cr)'!$C:$FB,128)*100</f>
        <v>51.72</v>
      </c>
    </row>
    <row r="226" spans="1:19" x14ac:dyDescent="0.25">
      <c r="A226" s="96">
        <f>'Data Vlaue (Cr)'!C217</f>
        <v>0</v>
      </c>
      <c r="B226" s="75"/>
      <c r="C226" s="75"/>
      <c r="D226" s="75"/>
      <c r="E226" s="75"/>
      <c r="F226" s="75"/>
      <c r="G226" s="75"/>
      <c r="H226" s="75"/>
      <c r="I226" s="75"/>
      <c r="J226" s="75"/>
      <c r="K226" s="75"/>
      <c r="L226" s="75"/>
      <c r="M226" s="75"/>
      <c r="N226" s="75"/>
      <c r="O226" s="75"/>
      <c r="P226" s="75"/>
      <c r="Q226" s="75"/>
      <c r="R226" s="75"/>
      <c r="S226" s="75"/>
    </row>
    <row r="227" spans="1:19" x14ac:dyDescent="0.25">
      <c r="A227" s="96">
        <f>'Data Vlaue (Cr)'!C218</f>
        <v>0</v>
      </c>
      <c r="B227" s="75"/>
      <c r="C227" s="75"/>
      <c r="D227" s="75"/>
      <c r="E227" s="75"/>
      <c r="F227" s="75"/>
      <c r="G227" s="75"/>
      <c r="H227" s="75"/>
      <c r="I227" s="75"/>
      <c r="J227" s="75"/>
      <c r="K227" s="75"/>
      <c r="L227" s="75"/>
      <c r="M227" s="75"/>
      <c r="N227" s="75"/>
      <c r="O227" s="75"/>
      <c r="P227" s="75"/>
      <c r="Q227" s="75"/>
      <c r="R227" s="75"/>
      <c r="S227" s="75"/>
    </row>
    <row r="228" spans="1:19" x14ac:dyDescent="0.25">
      <c r="A228" s="96">
        <f>'Data Vlaue (Cr)'!C219</f>
        <v>0</v>
      </c>
      <c r="B228" s="75"/>
      <c r="C228" s="75"/>
      <c r="D228" s="75"/>
      <c r="E228" s="75"/>
      <c r="F228" s="75"/>
      <c r="G228" s="75"/>
      <c r="H228" s="75"/>
      <c r="I228" s="75"/>
      <c r="J228" s="75"/>
      <c r="K228" s="75"/>
      <c r="L228" s="75"/>
      <c r="M228" s="75"/>
      <c r="N228" s="75"/>
      <c r="O228" s="75"/>
      <c r="P228" s="75"/>
      <c r="Q228" s="75"/>
      <c r="R228" s="75"/>
      <c r="S228" s="75"/>
    </row>
    <row r="229" spans="1:19" x14ac:dyDescent="0.25">
      <c r="A229" s="96">
        <f>'Data Vlaue (Cr)'!C220</f>
        <v>0</v>
      </c>
      <c r="B229" s="75"/>
      <c r="C229" s="75"/>
      <c r="D229" s="75"/>
      <c r="E229" s="75"/>
      <c r="F229" s="75"/>
      <c r="G229" s="75"/>
      <c r="H229" s="75"/>
      <c r="I229" s="75"/>
      <c r="J229" s="75"/>
      <c r="K229" s="75"/>
      <c r="L229" s="75"/>
      <c r="M229" s="75"/>
      <c r="N229" s="75"/>
      <c r="O229" s="75"/>
      <c r="P229" s="75"/>
      <c r="Q229" s="75"/>
      <c r="R229" s="75"/>
      <c r="S229" s="75"/>
    </row>
    <row r="230" spans="1:19" x14ac:dyDescent="0.25">
      <c r="A230" s="96"/>
      <c r="B230" s="75"/>
      <c r="C230" s="75"/>
      <c r="D230" s="75"/>
      <c r="E230" s="75"/>
      <c r="F230" s="75"/>
      <c r="G230" s="75"/>
      <c r="H230" s="75"/>
      <c r="I230" s="75"/>
      <c r="J230" s="75"/>
      <c r="K230" s="75"/>
      <c r="L230" s="75"/>
      <c r="M230" s="75"/>
      <c r="N230" s="75"/>
      <c r="O230" s="75"/>
      <c r="P230" s="75"/>
      <c r="Q230" s="75"/>
      <c r="R230" s="75"/>
      <c r="S230" s="75"/>
    </row>
    <row r="231" spans="1:19" x14ac:dyDescent="0.25">
      <c r="A231" s="96"/>
      <c r="B231" s="75"/>
      <c r="C231" s="75"/>
      <c r="D231" s="75"/>
      <c r="E231" s="75"/>
      <c r="F231" s="75"/>
      <c r="G231" s="75"/>
      <c r="H231" s="75"/>
      <c r="I231" s="75"/>
      <c r="J231" s="75"/>
      <c r="K231" s="75"/>
      <c r="L231" s="75"/>
      <c r="M231" s="75"/>
      <c r="N231" s="75"/>
      <c r="O231" s="75"/>
      <c r="P231" s="75"/>
      <c r="Q231" s="75"/>
      <c r="R231" s="75"/>
      <c r="S231" s="75"/>
    </row>
    <row r="232" spans="1:19" x14ac:dyDescent="0.25">
      <c r="A232" s="96"/>
      <c r="B232" s="75"/>
      <c r="C232" s="75"/>
      <c r="D232" s="75"/>
      <c r="E232" s="75"/>
      <c r="F232" s="75"/>
      <c r="G232" s="75"/>
      <c r="H232" s="75"/>
      <c r="I232" s="75"/>
      <c r="J232" s="75"/>
      <c r="K232" s="75"/>
      <c r="L232" s="75"/>
      <c r="M232" s="75"/>
      <c r="N232" s="75"/>
      <c r="O232" s="75"/>
      <c r="P232" s="75"/>
      <c r="Q232" s="75"/>
      <c r="R232" s="75"/>
      <c r="S232" s="75"/>
    </row>
    <row r="233" spans="1:19" x14ac:dyDescent="0.25">
      <c r="A233" s="96"/>
      <c r="B233" s="75"/>
      <c r="C233" s="75"/>
      <c r="D233" s="75"/>
      <c r="E233" s="75"/>
      <c r="F233" s="75"/>
      <c r="G233" s="75"/>
      <c r="H233" s="75"/>
      <c r="I233" s="75"/>
      <c r="J233" s="75"/>
      <c r="K233" s="75"/>
      <c r="L233" s="75"/>
      <c r="M233" s="75"/>
      <c r="N233" s="75"/>
      <c r="O233" s="75"/>
      <c r="P233" s="75"/>
      <c r="Q233" s="75"/>
      <c r="R233" s="75"/>
      <c r="S233" s="75"/>
    </row>
    <row r="234" spans="1:19" x14ac:dyDescent="0.25">
      <c r="A234" s="96"/>
      <c r="B234" s="75"/>
      <c r="C234" s="75"/>
      <c r="D234" s="75"/>
      <c r="E234" s="75"/>
      <c r="F234" s="75"/>
      <c r="G234" s="75"/>
      <c r="H234" s="75"/>
      <c r="I234" s="75"/>
      <c r="J234" s="75"/>
      <c r="K234" s="75"/>
      <c r="L234" s="75"/>
      <c r="M234" s="75"/>
      <c r="N234" s="75"/>
      <c r="O234" s="75"/>
      <c r="P234" s="75"/>
      <c r="Q234" s="75"/>
      <c r="R234" s="75"/>
      <c r="S234" s="75"/>
    </row>
    <row r="235" spans="1:19" x14ac:dyDescent="0.25">
      <c r="A235" s="96"/>
      <c r="B235" s="75"/>
      <c r="C235" s="75"/>
      <c r="D235" s="75"/>
      <c r="E235" s="75"/>
      <c r="F235" s="75"/>
      <c r="G235" s="75"/>
      <c r="H235" s="75"/>
      <c r="I235" s="75"/>
      <c r="J235" s="75"/>
      <c r="K235" s="75"/>
      <c r="L235" s="75"/>
      <c r="M235" s="75"/>
      <c r="N235" s="75"/>
      <c r="O235" s="75"/>
      <c r="P235" s="75"/>
      <c r="Q235" s="75"/>
      <c r="R235" s="75"/>
      <c r="S235" s="75"/>
    </row>
    <row r="236" spans="1:19" x14ac:dyDescent="0.25">
      <c r="A236" s="96"/>
      <c r="B236" s="75"/>
      <c r="C236" s="75"/>
      <c r="D236" s="75"/>
      <c r="E236" s="75"/>
      <c r="F236" s="75"/>
      <c r="G236" s="75"/>
      <c r="H236" s="75"/>
      <c r="I236" s="75"/>
      <c r="J236" s="75"/>
      <c r="K236" s="75"/>
      <c r="L236" s="75"/>
      <c r="M236" s="75"/>
      <c r="N236" s="75"/>
      <c r="O236" s="75"/>
      <c r="P236" s="75"/>
      <c r="Q236" s="75"/>
      <c r="R236" s="75"/>
      <c r="S236" s="75"/>
    </row>
    <row r="237" spans="1:19" x14ac:dyDescent="0.25">
      <c r="A237" s="98"/>
      <c r="B237" s="75"/>
      <c r="C237" s="75"/>
      <c r="D237" s="75"/>
      <c r="E237" s="75"/>
      <c r="F237" s="75"/>
      <c r="G237" s="75"/>
      <c r="H237" s="75"/>
      <c r="I237" s="75"/>
      <c r="J237" s="75"/>
      <c r="K237" s="75"/>
      <c r="L237" s="75"/>
      <c r="M237" s="75"/>
      <c r="N237" s="75"/>
      <c r="O237" s="75"/>
      <c r="P237" s="75"/>
      <c r="Q237" s="75"/>
      <c r="R237" s="75"/>
      <c r="S237" s="75"/>
    </row>
    <row r="238" spans="1:19" x14ac:dyDescent="0.25">
      <c r="A238" s="98"/>
      <c r="B238" s="75"/>
      <c r="C238" s="75"/>
      <c r="D238" s="75"/>
      <c r="E238" s="75"/>
      <c r="F238" s="75"/>
      <c r="G238" s="75"/>
      <c r="H238" s="75"/>
      <c r="I238" s="75"/>
      <c r="J238" s="75"/>
      <c r="K238" s="75"/>
      <c r="L238" s="75"/>
      <c r="M238" s="75"/>
      <c r="N238" s="75"/>
      <c r="O238" s="75"/>
      <c r="P238" s="75"/>
      <c r="Q238" s="75"/>
      <c r="R238" s="75"/>
      <c r="S238" s="75"/>
    </row>
    <row r="239" spans="1:19" x14ac:dyDescent="0.25">
      <c r="A239" s="98"/>
      <c r="B239" s="75"/>
      <c r="C239" s="75"/>
      <c r="D239" s="75"/>
      <c r="E239" s="75"/>
      <c r="F239" s="75"/>
      <c r="G239" s="75"/>
      <c r="H239" s="75"/>
      <c r="I239" s="75"/>
      <c r="J239" s="75"/>
      <c r="K239" s="75"/>
      <c r="L239" s="75"/>
      <c r="M239" s="75"/>
      <c r="N239" s="75"/>
      <c r="O239" s="75"/>
      <c r="P239" s="75"/>
      <c r="Q239" s="75"/>
      <c r="R239" s="75"/>
      <c r="S239" s="75"/>
    </row>
    <row r="240" spans="1:19" x14ac:dyDescent="0.25">
      <c r="A240" s="257"/>
      <c r="B240" s="257"/>
      <c r="C240" s="257"/>
      <c r="D240" s="257"/>
      <c r="E240" s="257"/>
      <c r="F240" s="257"/>
      <c r="G240" s="15"/>
      <c r="H240" s="16"/>
      <c r="I240" s="257"/>
      <c r="J240" s="257"/>
      <c r="K240" s="257"/>
      <c r="L240" s="257"/>
      <c r="M240" s="257"/>
      <c r="N240" s="16"/>
      <c r="O240" s="16"/>
      <c r="P240" s="16"/>
      <c r="Q240" s="257"/>
      <c r="R240" s="257"/>
      <c r="S240" s="257"/>
    </row>
    <row r="241" spans="1:19" x14ac:dyDescent="0.25">
      <c r="A241" s="254" t="s">
        <v>391</v>
      </c>
      <c r="B241" s="255"/>
      <c r="C241" s="255"/>
      <c r="D241" s="255"/>
      <c r="E241" s="255"/>
      <c r="F241" s="256"/>
      <c r="G241" s="18"/>
      <c r="H241" s="18">
        <f>SUM(H11:H236)</f>
        <v>1546820</v>
      </c>
      <c r="I241" s="18">
        <f>SUM(I11:I236)</f>
        <v>2669295</v>
      </c>
      <c r="J241" s="18">
        <f>H241-I241</f>
        <v>-1122475</v>
      </c>
      <c r="K241" s="19">
        <f>J241/I241</f>
        <v>-0.42051365622758069</v>
      </c>
      <c r="L241" s="18">
        <f>SUM(L11:L236)</f>
        <v>65870644</v>
      </c>
      <c r="M241" s="18">
        <f>SUM(M11:M236)</f>
        <v>20266092</v>
      </c>
      <c r="N241" s="18">
        <f>L241-M241</f>
        <v>45604552</v>
      </c>
      <c r="O241" s="19">
        <f>N241/M241</f>
        <v>2.2502884127832834</v>
      </c>
      <c r="P241" s="254"/>
      <c r="Q241" s="255"/>
      <c r="R241" s="255"/>
      <c r="S241" s="256"/>
    </row>
    <row r="245" spans="1:19" x14ac:dyDescent="0.25">
      <c r="A245" s="250" t="s">
        <v>334</v>
      </c>
      <c r="B245" s="250"/>
      <c r="C245" s="250"/>
      <c r="D245" s="6"/>
      <c r="E245" s="6"/>
      <c r="F245" s="6"/>
      <c r="G245" s="6"/>
      <c r="H245" s="8" t="s">
        <v>385</v>
      </c>
      <c r="J245" s="7"/>
      <c r="K245" s="7"/>
      <c r="L245" s="7"/>
      <c r="M245" s="7"/>
    </row>
    <row r="246" spans="1:19" x14ac:dyDescent="0.25">
      <c r="A246" s="22"/>
      <c r="B246" s="23" t="s">
        <v>182</v>
      </c>
      <c r="C246" s="24" t="s">
        <v>386</v>
      </c>
      <c r="D246" s="25" t="s">
        <v>266</v>
      </c>
      <c r="E246" s="24" t="s">
        <v>386</v>
      </c>
      <c r="F246" s="23" t="s">
        <v>461</v>
      </c>
      <c r="G246" s="23" t="s">
        <v>387</v>
      </c>
      <c r="H246" s="24" t="s">
        <v>386</v>
      </c>
    </row>
    <row r="247" spans="1:19" x14ac:dyDescent="0.25">
      <c r="A247" s="26" t="s">
        <v>388</v>
      </c>
      <c r="B247" s="9">
        <f>VLOOKUP(B246,'OI(Value)'!A7:E232,5,0)</f>
        <v>14021</v>
      </c>
      <c r="C247" s="146">
        <f>VLOOKUP(B246,'OI(Value)'!A7:G232,7,0)</f>
        <v>-0.1991</v>
      </c>
      <c r="D247" s="9">
        <f>VLOOKUP(D246,'OI(Value)'!A7:E232,5,0)</f>
        <v>37036</v>
      </c>
      <c r="E247" s="147">
        <f>VLOOKUP(D246,'OI(Value)'!A7:G232,7,0)</f>
        <v>-0.25869999999999999</v>
      </c>
      <c r="F247" s="9">
        <f>G247-D247-B247</f>
        <v>523855</v>
      </c>
      <c r="G247" s="10">
        <f>'OI(Value)'!E233</f>
        <v>574912</v>
      </c>
      <c r="H247" s="147">
        <f>'OI(Value)'!D240</f>
        <v>-9.6875695758655234E-2</v>
      </c>
    </row>
    <row r="248" spans="1:19" x14ac:dyDescent="0.25">
      <c r="A248" s="26" t="s">
        <v>389</v>
      </c>
      <c r="B248" s="9">
        <f>VLOOKUP(B246,'OI(Value)'!A7:H232,8,0)</f>
        <v>51654</v>
      </c>
      <c r="C248" s="146">
        <f>VLOOKUP(B246,'OI(Value)'!A7:J232,10,0)</f>
        <v>-0.63929999999999998</v>
      </c>
      <c r="D248" s="9">
        <f>VLOOKUP(D246,'OI(Value)'!A1:O233,8,0)</f>
        <v>340252</v>
      </c>
      <c r="E248" s="147">
        <f>VLOOKUP(D246,'OI(Value)'!A1:J232,10,0)</f>
        <v>-0.42109999999999997</v>
      </c>
      <c r="F248" s="9">
        <f>G248-D248-B248</f>
        <v>92619</v>
      </c>
      <c r="G248" s="9">
        <f>'OI(Value)'!H233</f>
        <v>484525</v>
      </c>
      <c r="H248" s="147">
        <f>'OI(Value)'!D241</f>
        <v>-1.0313337805066818</v>
      </c>
    </row>
    <row r="249" spans="1:19" x14ac:dyDescent="0.25">
      <c r="A249" s="26" t="s">
        <v>390</v>
      </c>
      <c r="B249" s="9">
        <f>VLOOKUP(B246,'OI(Value)'!A7:K232,11,0)</f>
        <v>50819</v>
      </c>
      <c r="C249" s="146">
        <f>VLOOKUP(B246,'OI(Value)'!A7:M232,13,0)</f>
        <v>-0.64059999999999995</v>
      </c>
      <c r="D249" s="9">
        <f>VLOOKUP(D246,'OI(Value)'!A2:O234,11,0)</f>
        <v>364356</v>
      </c>
      <c r="E249" s="147">
        <f>VLOOKUP(D246,'OI(Value)'!A7:M232,13,0)</f>
        <v>-0.50749999999999995</v>
      </c>
      <c r="F249" s="9">
        <f>G249-D249-B249</f>
        <v>72209</v>
      </c>
      <c r="G249" s="9">
        <f>'OI(Value)'!K233</f>
        <v>487384</v>
      </c>
      <c r="H249" s="147">
        <f>'OI(Volume)'!D247</f>
        <v>-1.0818871240068297</v>
      </c>
    </row>
    <row r="250" spans="1:19" x14ac:dyDescent="0.25">
      <c r="A250" s="22" t="s">
        <v>391</v>
      </c>
      <c r="B250" s="62">
        <f>SUM(B247:B249)</f>
        <v>116494</v>
      </c>
      <c r="C250" s="148">
        <f>VLOOKUP(B246,'OI(Value)'!A7:D148,4,0)</f>
        <v>-0.61439999999999995</v>
      </c>
      <c r="D250" s="62">
        <f>SUM(D247:D249)</f>
        <v>741644</v>
      </c>
      <c r="E250" s="148">
        <f>VLOOKUP(D246,'OI(Value)'!A1:D233,4,0)</f>
        <v>-0.46160000000000001</v>
      </c>
      <c r="F250" s="62">
        <f>SUM(F247:F249)</f>
        <v>688683</v>
      </c>
      <c r="G250" s="62">
        <f>SUM(G247:G249)</f>
        <v>1546821</v>
      </c>
      <c r="H250" s="151">
        <f>'OI(Value)'!D243</f>
        <v>-0.7256676758332089</v>
      </c>
    </row>
    <row r="254" spans="1:19" x14ac:dyDescent="0.25">
      <c r="A254" s="20" t="s">
        <v>392</v>
      </c>
      <c r="B254" s="11"/>
      <c r="C254" s="11"/>
      <c r="D254" s="11"/>
      <c r="E254" s="11"/>
      <c r="F254" s="11"/>
      <c r="G254" s="11"/>
      <c r="H254" s="12"/>
    </row>
    <row r="255" spans="1:19" x14ac:dyDescent="0.25">
      <c r="A255" s="27"/>
      <c r="B255" s="27"/>
      <c r="C255" s="251" t="s">
        <v>459</v>
      </c>
      <c r="D255" s="252"/>
      <c r="E255" s="253"/>
      <c r="F255" s="251" t="s">
        <v>460</v>
      </c>
      <c r="G255" s="252"/>
      <c r="H255" s="253"/>
    </row>
    <row r="256" spans="1:19" x14ac:dyDescent="0.25">
      <c r="A256" s="28"/>
      <c r="B256" s="27"/>
      <c r="C256" s="31">
        <f>D10</f>
        <v>46168</v>
      </c>
      <c r="D256" s="31" t="s">
        <v>397</v>
      </c>
      <c r="E256" s="32" t="s">
        <v>321</v>
      </c>
      <c r="F256" s="31">
        <f>C256</f>
        <v>46168</v>
      </c>
      <c r="G256" s="31" t="str">
        <f>D256</f>
        <v>Preious</v>
      </c>
      <c r="H256" s="32" t="s">
        <v>386</v>
      </c>
    </row>
    <row r="257" spans="1:8" x14ac:dyDescent="0.25">
      <c r="A257" s="29" t="s">
        <v>393</v>
      </c>
      <c r="B257" s="30"/>
      <c r="C257" s="13">
        <f>FII!N3</f>
        <v>10339</v>
      </c>
      <c r="D257" s="13">
        <f>FII!J3</f>
        <v>13364</v>
      </c>
      <c r="E257" s="14">
        <f>(C257-D257)/C257</f>
        <v>-0.29258148757133184</v>
      </c>
      <c r="F257" s="13">
        <f>FII!M3</f>
        <v>62145</v>
      </c>
      <c r="G257" s="13">
        <f>FII!I3</f>
        <v>80157</v>
      </c>
      <c r="H257" s="14">
        <f>(F257-G257)/F257</f>
        <v>-0.2898382814385711</v>
      </c>
    </row>
    <row r="258" spans="1:8" x14ac:dyDescent="0.25">
      <c r="A258" s="248" t="s">
        <v>394</v>
      </c>
      <c r="B258" s="249"/>
      <c r="C258" s="13">
        <f>FII!N4</f>
        <v>50074</v>
      </c>
      <c r="D258" s="13">
        <f>FII!J4</f>
        <v>120903</v>
      </c>
      <c r="E258" s="14">
        <f>(C258-D258)/C258</f>
        <v>-1.4144865598913607</v>
      </c>
      <c r="F258" s="13">
        <f>FII!M4</f>
        <v>302966</v>
      </c>
      <c r="G258" s="13">
        <f>FII!I4</f>
        <v>728853</v>
      </c>
      <c r="H258" s="14">
        <f>(F258-G258)/F258</f>
        <v>-1.405725394928804</v>
      </c>
    </row>
    <row r="259" spans="1:8" x14ac:dyDescent="0.25">
      <c r="A259" s="248" t="s">
        <v>395</v>
      </c>
      <c r="B259" s="249"/>
      <c r="C259" s="13">
        <f>FII!N15</f>
        <v>464330</v>
      </c>
      <c r="D259" s="13">
        <f>FII!J15</f>
        <v>484960</v>
      </c>
      <c r="E259" s="14">
        <f>(C259-D259)/C259</f>
        <v>-4.4429608252751274E-2</v>
      </c>
      <c r="F259" s="13">
        <f>FII!M15</f>
        <v>7411359</v>
      </c>
      <c r="G259" s="13">
        <f>FII!I15</f>
        <v>7727712</v>
      </c>
      <c r="H259" s="14">
        <f>(F259-G259)/F259</f>
        <v>-4.2684884108299168E-2</v>
      </c>
    </row>
    <row r="260" spans="1:8" x14ac:dyDescent="0.25">
      <c r="A260" s="248" t="s">
        <v>396</v>
      </c>
      <c r="B260" s="249"/>
      <c r="C260" s="13">
        <f>FII!N16</f>
        <v>16300</v>
      </c>
      <c r="D260" s="13">
        <f>FII!J16</f>
        <v>72687</v>
      </c>
      <c r="E260" s="14">
        <f>(C260-D260)/C260</f>
        <v>-3.4593251533742331</v>
      </c>
      <c r="F260" s="13">
        <f>FII!M16</f>
        <v>253265</v>
      </c>
      <c r="G260" s="13">
        <f>FII!I16</f>
        <v>1100988</v>
      </c>
      <c r="H260" s="14">
        <f>(F260-G260)/F260</f>
        <v>-3.3471778571851618</v>
      </c>
    </row>
    <row r="261" spans="1:8" x14ac:dyDescent="0.25">
      <c r="A261" s="248" t="s">
        <v>391</v>
      </c>
      <c r="B261" s="249"/>
      <c r="C261" s="155">
        <f>SUM(C257:C260)</f>
        <v>541043</v>
      </c>
      <c r="D261" s="155">
        <f>SUM(D257:D260)</f>
        <v>691914</v>
      </c>
      <c r="E261" s="156">
        <f>(C261-D261)/C261</f>
        <v>-0.27885214299048322</v>
      </c>
      <c r="F261" s="157">
        <f>SUM(F257:F260)</f>
        <v>8029735</v>
      </c>
      <c r="G261" s="158">
        <f>SUM(G257:G260)</f>
        <v>9637710</v>
      </c>
      <c r="H261" s="156">
        <f>(F261-G261)/F261</f>
        <v>-0.20025256126136168</v>
      </c>
    </row>
  </sheetData>
  <mergeCells count="24">
    <mergeCell ref="P241:S241"/>
    <mergeCell ref="A241:F241"/>
    <mergeCell ref="Q240:S240"/>
    <mergeCell ref="I240:M240"/>
    <mergeCell ref="A240:F240"/>
    <mergeCell ref="A260:B260"/>
    <mergeCell ref="A261:B261"/>
    <mergeCell ref="A245:C245"/>
    <mergeCell ref="C255:E255"/>
    <mergeCell ref="F255:H255"/>
    <mergeCell ref="A258:B258"/>
    <mergeCell ref="A259:B259"/>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
  <sheetViews>
    <sheetView workbookViewId="0">
      <pane ySplit="5" topLeftCell="A6" activePane="bottomLeft" state="frozen"/>
      <selection pane="bottomLeft" activeCell="A6" sqref="A6:D214"/>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0" t="s">
        <v>456</v>
      </c>
      <c r="B3" s="311"/>
      <c r="C3" s="311"/>
      <c r="D3" s="311"/>
      <c r="E3" s="311"/>
      <c r="F3" s="311"/>
      <c r="G3" s="312"/>
      <c r="H3" s="46"/>
    </row>
    <row r="4" spans="1:8" x14ac:dyDescent="0.25">
      <c r="A4" s="286" t="s">
        <v>366</v>
      </c>
      <c r="B4" s="106" t="s">
        <v>312</v>
      </c>
      <c r="C4" s="106" t="s">
        <v>313</v>
      </c>
      <c r="D4" s="286" t="s">
        <v>367</v>
      </c>
      <c r="E4" s="286"/>
      <c r="F4" s="286"/>
      <c r="G4" s="286"/>
      <c r="H4" s="47"/>
    </row>
    <row r="5" spans="1:8" x14ac:dyDescent="0.25">
      <c r="A5" s="305"/>
      <c r="B5" s="3">
        <f>PCR!B6</f>
        <v>46168</v>
      </c>
      <c r="C5" s="3">
        <f>B5</f>
        <v>46168</v>
      </c>
      <c r="D5" s="76" t="s">
        <v>367</v>
      </c>
      <c r="E5" s="76" t="s">
        <v>321</v>
      </c>
      <c r="F5" s="76" t="s">
        <v>368</v>
      </c>
      <c r="G5" s="76" t="s">
        <v>369</v>
      </c>
      <c r="H5" s="48"/>
    </row>
    <row r="6" spans="1:8" x14ac:dyDescent="0.25">
      <c r="A6" s="101" t="str">
        <f>'Data shares'!C2</f>
        <v>360ONE</v>
      </c>
      <c r="B6" s="144">
        <f>VLOOKUP($A6,'Data shares'!$C:$FA,7)</f>
        <v>1125.3</v>
      </c>
      <c r="C6" s="144">
        <f>VLOOKUP($A6,'Data shares'!$C:$FA,3)</f>
        <v>1134</v>
      </c>
      <c r="D6" s="144">
        <f>VLOOKUP($A6,'Data shares'!$C:$FA,23)</f>
        <v>8.6999999999999993</v>
      </c>
      <c r="E6" s="145">
        <f>VLOOKUP($A6,'Data shares'!$C:$FA,26)*100</f>
        <v>0.77</v>
      </c>
      <c r="F6" s="144">
        <f>VLOOKUP($A6,'Data shares'!$C:$FA,24)</f>
        <v>-0.8</v>
      </c>
      <c r="G6" s="144">
        <f>VLOOKUP($A6,'Data shares'!$C:$FA,25)</f>
        <v>9.5</v>
      </c>
    </row>
    <row r="7" spans="1:8" x14ac:dyDescent="0.25">
      <c r="A7" s="101" t="str">
        <f>'Data shares'!C3</f>
        <v>ABB</v>
      </c>
      <c r="B7" s="144">
        <f>VLOOKUP($A7,'Data shares'!$C:$FA,7)</f>
        <v>6804</v>
      </c>
      <c r="C7" s="144">
        <f>VLOOKUP($A7,'Data shares'!$C:$FA,3)</f>
        <v>6784.5</v>
      </c>
      <c r="D7" s="144">
        <f>VLOOKUP($A7,'Data shares'!$C:$FA,23)</f>
        <v>-19.5</v>
      </c>
      <c r="E7" s="145">
        <f>VLOOKUP($A7,'Data shares'!$C:$FA,26)*100</f>
        <v>-0.28999999999999998</v>
      </c>
      <c r="F7" s="144">
        <f>VLOOKUP($A7,'Data shares'!$C:$FA,24)</f>
        <v>5.5</v>
      </c>
      <c r="G7" s="144">
        <f>VLOOKUP($A7,'Data shares'!$C:$FA,25)</f>
        <v>-25</v>
      </c>
    </row>
    <row r="8" spans="1:8" x14ac:dyDescent="0.25">
      <c r="A8" s="101" t="str">
        <f>'Data shares'!C4</f>
        <v>ABCAPITAL</v>
      </c>
      <c r="B8" s="144">
        <f>VLOOKUP($A8,'Data shares'!$C:$FA,7)</f>
        <v>363.05</v>
      </c>
      <c r="C8" s="144">
        <f>VLOOKUP($A8,'Data shares'!$C:$FA,3)</f>
        <v>364.8</v>
      </c>
      <c r="D8" s="144">
        <f>VLOOKUP($A8,'Data shares'!$C:$FA,23)</f>
        <v>1.75</v>
      </c>
      <c r="E8" s="145">
        <f>VLOOKUP($A8,'Data shares'!$C:$FA,26)*100</f>
        <v>0.48</v>
      </c>
      <c r="F8" s="144">
        <f>VLOOKUP($A8,'Data shares'!$C:$FA,24)</f>
        <v>0.7</v>
      </c>
      <c r="G8" s="144">
        <f>VLOOKUP($A8,'Data shares'!$C:$FA,25)</f>
        <v>1.05</v>
      </c>
    </row>
    <row r="9" spans="1:8" x14ac:dyDescent="0.25">
      <c r="A9" s="101" t="str">
        <f>'Data shares'!C5</f>
        <v>ADANIENSOL</v>
      </c>
      <c r="B9" s="144">
        <f>VLOOKUP($A9,'Data shares'!$C:$FA,7)</f>
        <v>1463.3</v>
      </c>
      <c r="C9" s="144">
        <f>VLOOKUP($A9,'Data shares'!$C:$FA,3)</f>
        <v>1469.3</v>
      </c>
      <c r="D9" s="144">
        <f>VLOOKUP($A9,'Data shares'!$C:$FA,23)</f>
        <v>6</v>
      </c>
      <c r="E9" s="145">
        <f>VLOOKUP($A9,'Data shares'!$C:$FA,26)*100</f>
        <v>0.41000000000000003</v>
      </c>
      <c r="F9" s="144">
        <f>VLOOKUP($A9,'Data shares'!$C:$FA,24)</f>
        <v>0.2</v>
      </c>
      <c r="G9" s="144">
        <f>VLOOKUP($A9,'Data shares'!$C:$FA,25)</f>
        <v>5.8</v>
      </c>
    </row>
    <row r="10" spans="1:8" x14ac:dyDescent="0.25">
      <c r="A10" s="101" t="str">
        <f>'Data shares'!C6</f>
        <v>ADANIENT</v>
      </c>
      <c r="B10" s="144">
        <f>VLOOKUP($A10,'Data shares'!$C:$FA,7)</f>
        <v>2969.3</v>
      </c>
      <c r="C10" s="144">
        <f>VLOOKUP($A10,'Data shares'!$C:$FA,3)</f>
        <v>2986</v>
      </c>
      <c r="D10" s="144">
        <f>VLOOKUP($A10,'Data shares'!$C:$FA,23)</f>
        <v>16.7</v>
      </c>
      <c r="E10" s="145">
        <f>VLOOKUP($A10,'Data shares'!$C:$FA,26)*100</f>
        <v>0.55999999999999994</v>
      </c>
      <c r="F10" s="144">
        <f>VLOOKUP($A10,'Data shares'!$C:$FA,24)</f>
        <v>-1.4</v>
      </c>
      <c r="G10" s="144">
        <f>VLOOKUP($A10,'Data shares'!$C:$FA,25)</f>
        <v>18.100000000000001</v>
      </c>
    </row>
    <row r="11" spans="1:8" x14ac:dyDescent="0.25">
      <c r="A11" s="101" t="str">
        <f>'Data shares'!C7</f>
        <v>ADANIGREEN</v>
      </c>
      <c r="B11" s="144">
        <f>VLOOKUP($A11,'Data shares'!$C:$FA,7)</f>
        <v>1457.4</v>
      </c>
      <c r="C11" s="144">
        <f>VLOOKUP($A11,'Data shares'!$C:$FA,3)</f>
        <v>1468.4</v>
      </c>
      <c r="D11" s="144">
        <f>VLOOKUP($A11,'Data shares'!$C:$FA,23)</f>
        <v>11</v>
      </c>
      <c r="E11" s="145">
        <f>VLOOKUP($A11,'Data shares'!$C:$FA,26)*100</f>
        <v>0.75</v>
      </c>
      <c r="F11" s="144">
        <f>VLOOKUP($A11,'Data shares'!$C:$FA,24)</f>
        <v>2.5</v>
      </c>
      <c r="G11" s="144">
        <f>VLOOKUP($A11,'Data shares'!$C:$FA,25)</f>
        <v>8.5</v>
      </c>
    </row>
    <row r="12" spans="1:8" x14ac:dyDescent="0.25">
      <c r="A12" s="101" t="str">
        <f>'Data shares'!C8</f>
        <v>ADANIPORTS</v>
      </c>
      <c r="B12" s="144">
        <f>VLOOKUP($A12,'Data shares'!$C:$FA,7)</f>
        <v>1811.2</v>
      </c>
      <c r="C12" s="144">
        <f>VLOOKUP($A12,'Data shares'!$C:$FA,3)</f>
        <v>1816.6</v>
      </c>
      <c r="D12" s="144">
        <f>VLOOKUP($A12,'Data shares'!$C:$FA,23)</f>
        <v>5.4</v>
      </c>
      <c r="E12" s="145">
        <f>VLOOKUP($A12,'Data shares'!$C:$FA,26)*100</f>
        <v>0.3</v>
      </c>
      <c r="F12" s="144">
        <f>VLOOKUP($A12,'Data shares'!$C:$FA,24)</f>
        <v>1.9</v>
      </c>
      <c r="G12" s="144">
        <f>VLOOKUP($A12,'Data shares'!$C:$FA,25)</f>
        <v>3.5</v>
      </c>
    </row>
    <row r="13" spans="1:8" x14ac:dyDescent="0.25">
      <c r="A13" s="101" t="str">
        <f>'Data shares'!C9</f>
        <v>ADANIPOWER</v>
      </c>
      <c r="B13" s="144">
        <f>VLOOKUP($A13,'Data shares'!$C:$FA,7)</f>
        <v>244.53</v>
      </c>
      <c r="C13" s="144">
        <f>VLOOKUP($A13,'Data shares'!$C:$FA,3)</f>
        <v>246.49</v>
      </c>
      <c r="D13" s="144">
        <f>VLOOKUP($A13,'Data shares'!$C:$FA,23)</f>
        <v>1.96</v>
      </c>
      <c r="E13" s="145">
        <f>VLOOKUP($A13,'Data shares'!$C:$FA,26)*100</f>
        <v>0.8</v>
      </c>
      <c r="F13" s="144">
        <f>VLOOKUP($A13,'Data shares'!$C:$FA,24)</f>
        <v>0.43</v>
      </c>
      <c r="G13" s="144">
        <f>VLOOKUP($A13,'Data shares'!$C:$FA,25)</f>
        <v>1.53</v>
      </c>
    </row>
    <row r="14" spans="1:8" x14ac:dyDescent="0.25">
      <c r="A14" s="101" t="str">
        <f>'Data shares'!C10</f>
        <v>ALKEM</v>
      </c>
      <c r="B14" s="144">
        <f>VLOOKUP($A14,'Data shares'!$C:$FA,7)</f>
        <v>5380</v>
      </c>
      <c r="C14" s="144">
        <f>VLOOKUP($A14,'Data shares'!$C:$FA,3)</f>
        <v>5420.5</v>
      </c>
      <c r="D14" s="144">
        <f>VLOOKUP($A14,'Data shares'!$C:$FA,23)</f>
        <v>40.5</v>
      </c>
      <c r="E14" s="145">
        <f>VLOOKUP($A14,'Data shares'!$C:$FA,26)*100</f>
        <v>0.75</v>
      </c>
      <c r="F14" s="144">
        <f>VLOOKUP($A14,'Data shares'!$C:$FA,24)</f>
        <v>21.5</v>
      </c>
      <c r="G14" s="144">
        <f>VLOOKUP($A14,'Data shares'!$C:$FA,25)</f>
        <v>19</v>
      </c>
    </row>
    <row r="15" spans="1:8" x14ac:dyDescent="0.25">
      <c r="A15" s="101" t="str">
        <f>'Data shares'!C11</f>
        <v>AMBER</v>
      </c>
      <c r="B15" s="144">
        <f>VLOOKUP($A15,'Data shares'!$C:$FA,7)</f>
        <v>7312</v>
      </c>
      <c r="C15" s="144">
        <f>VLOOKUP($A15,'Data shares'!$C:$FA,3)</f>
        <v>7377</v>
      </c>
      <c r="D15" s="144">
        <f>VLOOKUP($A15,'Data shares'!$C:$FA,23)</f>
        <v>65</v>
      </c>
      <c r="E15" s="145">
        <f>VLOOKUP($A15,'Data shares'!$C:$FA,26)*100</f>
        <v>0.89</v>
      </c>
      <c r="F15" s="144">
        <f>VLOOKUP($A15,'Data shares'!$C:$FA,24)</f>
        <v>18.5</v>
      </c>
      <c r="G15" s="144">
        <f>VLOOKUP($A15,'Data shares'!$C:$FA,25)</f>
        <v>46.5</v>
      </c>
    </row>
    <row r="16" spans="1:8" x14ac:dyDescent="0.25">
      <c r="A16" s="101" t="str">
        <f>'Data shares'!C12</f>
        <v>AMBUJACEM</v>
      </c>
      <c r="B16" s="144">
        <f>VLOOKUP($A16,'Data shares'!$C:$FA,7)</f>
        <v>449.7</v>
      </c>
      <c r="C16" s="144">
        <f>VLOOKUP($A16,'Data shares'!$C:$FA,3)</f>
        <v>451.25</v>
      </c>
      <c r="D16" s="144">
        <f>VLOOKUP($A16,'Data shares'!$C:$FA,23)</f>
        <v>1.55</v>
      </c>
      <c r="E16" s="145">
        <f>VLOOKUP($A16,'Data shares'!$C:$FA,26)*100</f>
        <v>0.33999999999999997</v>
      </c>
      <c r="F16" s="144">
        <f>VLOOKUP($A16,'Data shares'!$C:$FA,24)</f>
        <v>1.2</v>
      </c>
      <c r="G16" s="144">
        <f>VLOOKUP($A16,'Data shares'!$C:$FA,25)</f>
        <v>0.35</v>
      </c>
    </row>
    <row r="17" spans="1:7" x14ac:dyDescent="0.25">
      <c r="A17" s="101" t="str">
        <f>'Data shares'!C13</f>
        <v>ANGELONE</v>
      </c>
      <c r="B17" s="144">
        <f>VLOOKUP($A17,'Data shares'!$C:$FA,7)</f>
        <v>344.45</v>
      </c>
      <c r="C17" s="144">
        <f>VLOOKUP($A17,'Data shares'!$C:$FA,3)</f>
        <v>346.2</v>
      </c>
      <c r="D17" s="144">
        <f>VLOOKUP($A17,'Data shares'!$C:$FA,23)</f>
        <v>1.75</v>
      </c>
      <c r="E17" s="145">
        <f>VLOOKUP($A17,'Data shares'!$C:$FA,26)*100</f>
        <v>0.51</v>
      </c>
      <c r="F17" s="144">
        <f>VLOOKUP($A17,'Data shares'!$C:$FA,24)</f>
        <v>0.65</v>
      </c>
      <c r="G17" s="144">
        <f>VLOOKUP($A17,'Data shares'!$C:$FA,25)</f>
        <v>1.1000000000000001</v>
      </c>
    </row>
    <row r="18" spans="1:7" x14ac:dyDescent="0.25">
      <c r="A18" s="101" t="str">
        <f>'Data shares'!C14</f>
        <v>APLAPOLLO</v>
      </c>
      <c r="B18" s="144">
        <f>VLOOKUP($A18,'Data shares'!$C:$FA,7)</f>
        <v>1874.1</v>
      </c>
      <c r="C18" s="144">
        <f>VLOOKUP($A18,'Data shares'!$C:$FA,3)</f>
        <v>1884</v>
      </c>
      <c r="D18" s="144">
        <f>VLOOKUP($A18,'Data shares'!$C:$FA,23)</f>
        <v>9.9</v>
      </c>
      <c r="E18" s="145">
        <f>VLOOKUP($A18,'Data shares'!$C:$FA,26)*100</f>
        <v>0.53</v>
      </c>
      <c r="F18" s="144">
        <f>VLOOKUP($A18,'Data shares'!$C:$FA,24)</f>
        <v>-1.7</v>
      </c>
      <c r="G18" s="144">
        <f>VLOOKUP($A18,'Data shares'!$C:$FA,25)</f>
        <v>11.6</v>
      </c>
    </row>
    <row r="19" spans="1:7" x14ac:dyDescent="0.25">
      <c r="A19" s="101" t="str">
        <f>'Data shares'!C15</f>
        <v>APOLLOHOSP</v>
      </c>
      <c r="B19" s="144">
        <f>VLOOKUP($A19,'Data shares'!$C:$FA,7)</f>
        <v>8258.5</v>
      </c>
      <c r="C19" s="144">
        <f>VLOOKUP($A19,'Data shares'!$C:$FA,3)</f>
        <v>8315</v>
      </c>
      <c r="D19" s="144">
        <f>VLOOKUP($A19,'Data shares'!$C:$FA,23)</f>
        <v>56.5</v>
      </c>
      <c r="E19" s="145">
        <f>VLOOKUP($A19,'Data shares'!$C:$FA,26)*100</f>
        <v>0.67999999999999994</v>
      </c>
      <c r="F19" s="144">
        <f>VLOOKUP($A19,'Data shares'!$C:$FA,24)</f>
        <v>-5.5</v>
      </c>
      <c r="G19" s="144">
        <f>VLOOKUP($A19,'Data shares'!$C:$FA,25)</f>
        <v>62</v>
      </c>
    </row>
    <row r="20" spans="1:7" x14ac:dyDescent="0.25">
      <c r="A20" s="101" t="str">
        <f>'Data shares'!C16</f>
        <v>ASHOKLEY</v>
      </c>
      <c r="B20" s="144">
        <f>VLOOKUP($A20,'Data shares'!$C:$FA,7)</f>
        <v>160.54</v>
      </c>
      <c r="C20" s="144">
        <f>VLOOKUP($A20,'Data shares'!$C:$FA,3)</f>
        <v>160.74</v>
      </c>
      <c r="D20" s="144">
        <f>VLOOKUP($A20,'Data shares'!$C:$FA,23)</f>
        <v>0.2</v>
      </c>
      <c r="E20" s="145">
        <f>VLOOKUP($A20,'Data shares'!$C:$FA,26)*100</f>
        <v>0.12</v>
      </c>
      <c r="F20" s="144">
        <f>VLOOKUP($A20,'Data shares'!$C:$FA,24)</f>
        <v>0.09</v>
      </c>
      <c r="G20" s="144">
        <f>VLOOKUP($A20,'Data shares'!$C:$FA,25)</f>
        <v>0.11</v>
      </c>
    </row>
    <row r="21" spans="1:7" x14ac:dyDescent="0.25">
      <c r="A21" s="101" t="str">
        <f>'Data shares'!C17</f>
        <v>ASIANPAINT</v>
      </c>
      <c r="B21" s="144">
        <f>VLOOKUP($A21,'Data shares'!$C:$FA,7)</f>
        <v>2647</v>
      </c>
      <c r="C21" s="144">
        <f>VLOOKUP($A21,'Data shares'!$C:$FA,3)</f>
        <v>2646.4</v>
      </c>
      <c r="D21" s="144">
        <f>VLOOKUP($A21,'Data shares'!$C:$FA,23)</f>
        <v>-0.6</v>
      </c>
      <c r="E21" s="145">
        <f>VLOOKUP($A21,'Data shares'!$C:$FA,26)*100</f>
        <v>-0.02</v>
      </c>
      <c r="F21" s="144">
        <f>VLOOKUP($A21,'Data shares'!$C:$FA,24)</f>
        <v>0</v>
      </c>
      <c r="G21" s="144">
        <f>VLOOKUP($A21,'Data shares'!$C:$FA,25)</f>
        <v>-0.6</v>
      </c>
    </row>
    <row r="22" spans="1:7" x14ac:dyDescent="0.25">
      <c r="A22" s="101" t="str">
        <f>'Data shares'!C18</f>
        <v>ASTRAL</v>
      </c>
      <c r="B22" s="144">
        <f>VLOOKUP($A22,'Data shares'!$C:$FA,7)</f>
        <v>1578.8</v>
      </c>
      <c r="C22" s="144">
        <f>VLOOKUP($A22,'Data shares'!$C:$FA,3)</f>
        <v>1565.7</v>
      </c>
      <c r="D22" s="144">
        <f>VLOOKUP($A22,'Data shares'!$C:$FA,23)</f>
        <v>-13.1</v>
      </c>
      <c r="E22" s="145">
        <f>VLOOKUP($A22,'Data shares'!$C:$FA,26)*100</f>
        <v>-0.83</v>
      </c>
      <c r="F22" s="144">
        <f>VLOOKUP($A22,'Data shares'!$C:$FA,24)</f>
        <v>6.9</v>
      </c>
      <c r="G22" s="144">
        <f>VLOOKUP($A22,'Data shares'!$C:$FA,25)</f>
        <v>-20</v>
      </c>
    </row>
    <row r="23" spans="1:7" x14ac:dyDescent="0.25">
      <c r="A23" s="101" t="str">
        <f>'Data shares'!C19</f>
        <v>AUBANK</v>
      </c>
      <c r="B23" s="144">
        <f>VLOOKUP($A23,'Data shares'!$C:$FA,7)</f>
        <v>1011.8</v>
      </c>
      <c r="C23" s="144">
        <f>VLOOKUP($A23,'Data shares'!$C:$FA,3)</f>
        <v>1021</v>
      </c>
      <c r="D23" s="144">
        <f>VLOOKUP($A23,'Data shares'!$C:$FA,23)</f>
        <v>9.1999999999999993</v>
      </c>
      <c r="E23" s="145">
        <f>VLOOKUP($A23,'Data shares'!$C:$FA,26)*100</f>
        <v>0.91</v>
      </c>
      <c r="F23" s="144">
        <f>VLOOKUP($A23,'Data shares'!$C:$FA,24)</f>
        <v>1.6</v>
      </c>
      <c r="G23" s="144">
        <f>VLOOKUP($A23,'Data shares'!$C:$FA,25)</f>
        <v>7.6</v>
      </c>
    </row>
    <row r="24" spans="1:7" x14ac:dyDescent="0.25">
      <c r="A24" s="101" t="str">
        <f>'Data shares'!C20</f>
        <v>AUROPHARMA</v>
      </c>
      <c r="B24" s="144">
        <f>VLOOKUP($A24,'Data shares'!$C:$FA,7)</f>
        <v>1461.2</v>
      </c>
      <c r="C24" s="144">
        <f>VLOOKUP($A24,'Data shares'!$C:$FA,3)</f>
        <v>1474.2</v>
      </c>
      <c r="D24" s="144">
        <f>VLOOKUP($A24,'Data shares'!$C:$FA,23)</f>
        <v>13</v>
      </c>
      <c r="E24" s="145">
        <f>VLOOKUP($A24,'Data shares'!$C:$FA,26)*100</f>
        <v>0.89</v>
      </c>
      <c r="F24" s="144">
        <f>VLOOKUP($A24,'Data shares'!$C:$FA,24)</f>
        <v>6</v>
      </c>
      <c r="G24" s="144">
        <f>VLOOKUP($A24,'Data shares'!$C:$FA,25)</f>
        <v>7</v>
      </c>
    </row>
    <row r="25" spans="1:7" x14ac:dyDescent="0.25">
      <c r="A25" s="101" t="str">
        <f>'Data shares'!C21</f>
        <v>AXISBANK</v>
      </c>
      <c r="B25" s="144">
        <f>VLOOKUP($A25,'Data shares'!$C:$FA,7)</f>
        <v>1299.3</v>
      </c>
      <c r="C25" s="144">
        <f>VLOOKUP($A25,'Data shares'!$C:$FA,3)</f>
        <v>1307</v>
      </c>
      <c r="D25" s="144">
        <f>VLOOKUP($A25,'Data shares'!$C:$FA,23)</f>
        <v>7.7</v>
      </c>
      <c r="E25" s="145">
        <f>VLOOKUP($A25,'Data shares'!$C:$FA,26)*100</f>
        <v>0.59</v>
      </c>
      <c r="F25" s="144">
        <f>VLOOKUP($A25,'Data shares'!$C:$FA,24)</f>
        <v>-2.4</v>
      </c>
      <c r="G25" s="144">
        <f>VLOOKUP($A25,'Data shares'!$C:$FA,25)</f>
        <v>10.1</v>
      </c>
    </row>
    <row r="26" spans="1:7" x14ac:dyDescent="0.25">
      <c r="A26" s="101" t="str">
        <f>'Data shares'!C22</f>
        <v>BAJAJ-AUTO</v>
      </c>
      <c r="B26" s="144">
        <f>VLOOKUP($A26,'Data shares'!$C:$FA,7)</f>
        <v>10593</v>
      </c>
      <c r="C26" s="144">
        <f>VLOOKUP($A26,'Data shares'!$C:$FA,3)</f>
        <v>10292</v>
      </c>
      <c r="D26" s="144">
        <f>VLOOKUP($A26,'Data shares'!$C:$FA,23)</f>
        <v>-301</v>
      </c>
      <c r="E26" s="145">
        <f>VLOOKUP($A26,'Data shares'!$C:$FA,26)*100</f>
        <v>-2.8400000000000003</v>
      </c>
      <c r="F26" s="144">
        <f>VLOOKUP($A26,'Data shares'!$C:$FA,24)</f>
        <v>-30</v>
      </c>
      <c r="G26" s="144">
        <f>VLOOKUP($A26,'Data shares'!$C:$FA,25)</f>
        <v>-271</v>
      </c>
    </row>
    <row r="27" spans="1:7" x14ac:dyDescent="0.25">
      <c r="A27" s="101" t="str">
        <f>'Data shares'!C23</f>
        <v>BAJAJFINSV</v>
      </c>
      <c r="B27" s="144">
        <f>VLOOKUP($A27,'Data shares'!$C:$FA,7)</f>
        <v>1800.7</v>
      </c>
      <c r="C27" s="144">
        <f>VLOOKUP($A27,'Data shares'!$C:$FA,3)</f>
        <v>1810.6</v>
      </c>
      <c r="D27" s="144">
        <f>VLOOKUP($A27,'Data shares'!$C:$FA,23)</f>
        <v>9.9</v>
      </c>
      <c r="E27" s="145">
        <f>VLOOKUP($A27,'Data shares'!$C:$FA,26)*100</f>
        <v>0.54999999999999993</v>
      </c>
      <c r="F27" s="144">
        <f>VLOOKUP($A27,'Data shares'!$C:$FA,24)</f>
        <v>-1.2</v>
      </c>
      <c r="G27" s="144">
        <f>VLOOKUP($A27,'Data shares'!$C:$FA,25)</f>
        <v>11.1</v>
      </c>
    </row>
    <row r="28" spans="1:7" x14ac:dyDescent="0.25">
      <c r="A28" s="101" t="str">
        <f>'Data shares'!C24</f>
        <v>BAJAJHLDNG</v>
      </c>
      <c r="B28" s="144">
        <f>VLOOKUP($A28,'Data shares'!$C:$FA,7)</f>
        <v>10705</v>
      </c>
      <c r="C28" s="144">
        <f>VLOOKUP($A28,'Data shares'!$C:$FA,3)</f>
        <v>10629</v>
      </c>
      <c r="D28" s="144">
        <f>VLOOKUP($A28,'Data shares'!$C:$FA,23)</f>
        <v>-76</v>
      </c>
      <c r="E28" s="145">
        <f>VLOOKUP($A28,'Data shares'!$C:$FA,26)*100</f>
        <v>-0.71000000000000008</v>
      </c>
      <c r="F28" s="144">
        <f>VLOOKUP($A28,'Data shares'!$C:$FA,24)</f>
        <v>38</v>
      </c>
      <c r="G28" s="144">
        <f>VLOOKUP($A28,'Data shares'!$C:$FA,25)</f>
        <v>-114</v>
      </c>
    </row>
    <row r="29" spans="1:7" x14ac:dyDescent="0.25">
      <c r="A29" s="101" t="str">
        <f>'Data shares'!C25</f>
        <v>BAJFINANCE</v>
      </c>
      <c r="B29" s="144">
        <f>VLOOKUP($A29,'Data shares'!$C:$FA,7)</f>
        <v>930.2</v>
      </c>
      <c r="C29" s="144">
        <f>VLOOKUP($A29,'Data shares'!$C:$FA,3)</f>
        <v>928.1</v>
      </c>
      <c r="D29" s="144">
        <f>VLOOKUP($A29,'Data shares'!$C:$FA,23)</f>
        <v>-2.1</v>
      </c>
      <c r="E29" s="145">
        <f>VLOOKUP($A29,'Data shares'!$C:$FA,26)*100</f>
        <v>-0.22999999999999998</v>
      </c>
      <c r="F29" s="144">
        <f>VLOOKUP($A29,'Data shares'!$C:$FA,24)</f>
        <v>2.35</v>
      </c>
      <c r="G29" s="144">
        <f>VLOOKUP($A29,'Data shares'!$C:$FA,25)</f>
        <v>-4.45</v>
      </c>
    </row>
    <row r="30" spans="1:7" x14ac:dyDescent="0.25">
      <c r="A30" s="101" t="str">
        <f>'Data shares'!C26</f>
        <v>BANDHANBNK</v>
      </c>
      <c r="B30" s="144">
        <f>VLOOKUP($A30,'Data shares'!$C:$FA,7)</f>
        <v>200.4</v>
      </c>
      <c r="C30" s="144">
        <f>VLOOKUP($A30,'Data shares'!$C:$FA,3)</f>
        <v>202.22</v>
      </c>
      <c r="D30" s="144">
        <f>VLOOKUP($A30,'Data shares'!$C:$FA,23)</f>
        <v>1.82</v>
      </c>
      <c r="E30" s="145">
        <f>VLOOKUP($A30,'Data shares'!$C:$FA,26)*100</f>
        <v>0.91</v>
      </c>
      <c r="F30" s="144">
        <f>VLOOKUP($A30,'Data shares'!$C:$FA,24)</f>
        <v>0.55000000000000004</v>
      </c>
      <c r="G30" s="144">
        <f>VLOOKUP($A30,'Data shares'!$C:$FA,25)</f>
        <v>1.27</v>
      </c>
    </row>
    <row r="31" spans="1:7" x14ac:dyDescent="0.25">
      <c r="A31" s="101" t="str">
        <f>'Data shares'!C27</f>
        <v>BANKBARODA</v>
      </c>
      <c r="B31" s="144">
        <f>VLOOKUP($A31,'Data shares'!$C:$FA,7)</f>
        <v>270.55</v>
      </c>
      <c r="C31" s="144">
        <f>VLOOKUP($A31,'Data shares'!$C:$FA,3)</f>
        <v>272.85000000000002</v>
      </c>
      <c r="D31" s="144">
        <f>VLOOKUP($A31,'Data shares'!$C:$FA,23)</f>
        <v>2.2999999999999998</v>
      </c>
      <c r="E31" s="145">
        <f>VLOOKUP($A31,'Data shares'!$C:$FA,26)*100</f>
        <v>0.85000000000000009</v>
      </c>
      <c r="F31" s="144">
        <f>VLOOKUP($A31,'Data shares'!$C:$FA,24)</f>
        <v>0.6</v>
      </c>
      <c r="G31" s="144">
        <f>VLOOKUP($A31,'Data shares'!$C:$FA,25)</f>
        <v>1.7</v>
      </c>
    </row>
    <row r="32" spans="1:7" x14ac:dyDescent="0.25">
      <c r="A32" s="101" t="str">
        <f>'Data shares'!C28</f>
        <v>BANKINDIA</v>
      </c>
      <c r="B32" s="144">
        <f>VLOOKUP($A32,'Data shares'!$C:$FA,7)</f>
        <v>144.99</v>
      </c>
      <c r="C32" s="144">
        <f>VLOOKUP($A32,'Data shares'!$C:$FA,3)</f>
        <v>145.86000000000001</v>
      </c>
      <c r="D32" s="144">
        <f>VLOOKUP($A32,'Data shares'!$C:$FA,23)</f>
        <v>0.87</v>
      </c>
      <c r="E32" s="145">
        <f>VLOOKUP($A32,'Data shares'!$C:$FA,26)*100</f>
        <v>0.6</v>
      </c>
      <c r="F32" s="144">
        <f>VLOOKUP($A32,'Data shares'!$C:$FA,24)</f>
        <v>0.24</v>
      </c>
      <c r="G32" s="144">
        <f>VLOOKUP($A32,'Data shares'!$C:$FA,25)</f>
        <v>0.63</v>
      </c>
    </row>
    <row r="33" spans="1:7" x14ac:dyDescent="0.25">
      <c r="A33" s="101" t="str">
        <f>'Data shares'!C29</f>
        <v>BANKNIFTY</v>
      </c>
      <c r="B33" s="144">
        <f>VLOOKUP($A33,'Data shares'!$C:$FA,7)</f>
        <v>55092.9</v>
      </c>
      <c r="C33" s="144">
        <f>VLOOKUP($A33,'Data shares'!$C:$FA,3)</f>
        <v>55457.8</v>
      </c>
      <c r="D33" s="144">
        <f>VLOOKUP($A33,'Data shares'!$C:$FA,23)</f>
        <v>364.9</v>
      </c>
      <c r="E33" s="145">
        <f>VLOOKUP($A33,'Data shares'!$C:$FA,26)*100</f>
        <v>0.66</v>
      </c>
      <c r="F33" s="144">
        <f>VLOOKUP($A33,'Data shares'!$C:$FA,24)</f>
        <v>137.75</v>
      </c>
      <c r="G33" s="144">
        <f>VLOOKUP($A33,'Data shares'!$C:$FA,25)</f>
        <v>227.15</v>
      </c>
    </row>
    <row r="34" spans="1:7" x14ac:dyDescent="0.25">
      <c r="A34" s="101" t="str">
        <f>'Data shares'!C30</f>
        <v>BDL</v>
      </c>
      <c r="B34" s="144">
        <f>VLOOKUP($A34,'Data shares'!$C:$FA,7)</f>
        <v>1329.9</v>
      </c>
      <c r="C34" s="144">
        <f>VLOOKUP($A34,'Data shares'!$C:$FA,3)</f>
        <v>1324.6</v>
      </c>
      <c r="D34" s="144">
        <f>VLOOKUP($A34,'Data shares'!$C:$FA,23)</f>
        <v>-5.3</v>
      </c>
      <c r="E34" s="145">
        <f>VLOOKUP($A34,'Data shares'!$C:$FA,26)*100</f>
        <v>-0.4</v>
      </c>
      <c r="F34" s="144">
        <f>VLOOKUP($A34,'Data shares'!$C:$FA,24)</f>
        <v>1.2</v>
      </c>
      <c r="G34" s="144">
        <f>VLOOKUP($A34,'Data shares'!$C:$FA,25)</f>
        <v>-6.5</v>
      </c>
    </row>
    <row r="35" spans="1:7" x14ac:dyDescent="0.25">
      <c r="A35" s="101" t="str">
        <f>'Data shares'!C31</f>
        <v>BEL</v>
      </c>
      <c r="B35" s="144">
        <f>VLOOKUP($A35,'Data shares'!$C:$FA,7)</f>
        <v>420.1</v>
      </c>
      <c r="C35" s="144">
        <f>VLOOKUP($A35,'Data shares'!$C:$FA,3)</f>
        <v>423.25</v>
      </c>
      <c r="D35" s="144">
        <f>VLOOKUP($A35,'Data shares'!$C:$FA,23)</f>
        <v>3.15</v>
      </c>
      <c r="E35" s="145">
        <f>VLOOKUP($A35,'Data shares'!$C:$FA,26)*100</f>
        <v>0.75</v>
      </c>
      <c r="F35" s="144">
        <f>VLOOKUP($A35,'Data shares'!$C:$FA,24)</f>
        <v>-0.1</v>
      </c>
      <c r="G35" s="144">
        <f>VLOOKUP($A35,'Data shares'!$C:$FA,25)</f>
        <v>3.25</v>
      </c>
    </row>
    <row r="36" spans="1:7" x14ac:dyDescent="0.25">
      <c r="A36" s="101" t="str">
        <f>'Data shares'!C32</f>
        <v>BHARATFORG</v>
      </c>
      <c r="B36" s="144">
        <f>VLOOKUP($A36,'Data shares'!$C:$FA,7)</f>
        <v>1930.4</v>
      </c>
      <c r="C36" s="144">
        <f>VLOOKUP($A36,'Data shares'!$C:$FA,3)</f>
        <v>1947.6</v>
      </c>
      <c r="D36" s="144">
        <f>VLOOKUP($A36,'Data shares'!$C:$FA,23)</f>
        <v>17.2</v>
      </c>
      <c r="E36" s="145">
        <f>VLOOKUP($A36,'Data shares'!$C:$FA,26)*100</f>
        <v>0.89</v>
      </c>
      <c r="F36" s="144">
        <f>VLOOKUP($A36,'Data shares'!$C:$FA,24)</f>
        <v>2.4</v>
      </c>
      <c r="G36" s="144">
        <f>VLOOKUP($A36,'Data shares'!$C:$FA,25)</f>
        <v>14.8</v>
      </c>
    </row>
    <row r="37" spans="1:7" x14ac:dyDescent="0.25">
      <c r="A37" s="101" t="str">
        <f>'Data shares'!C33</f>
        <v>BHARTIARTL</v>
      </c>
      <c r="B37" s="144">
        <f>VLOOKUP($A37,'Data shares'!$C:$FA,7)</f>
        <v>1846.9</v>
      </c>
      <c r="C37" s="144">
        <f>VLOOKUP($A37,'Data shares'!$C:$FA,3)</f>
        <v>1861.7</v>
      </c>
      <c r="D37" s="144">
        <f>VLOOKUP($A37,'Data shares'!$C:$FA,23)</f>
        <v>14.8</v>
      </c>
      <c r="E37" s="145">
        <f>VLOOKUP($A37,'Data shares'!$C:$FA,26)*100</f>
        <v>0.8</v>
      </c>
      <c r="F37" s="144">
        <f>VLOOKUP($A37,'Data shares'!$C:$FA,24)</f>
        <v>2.9</v>
      </c>
      <c r="G37" s="144">
        <f>VLOOKUP($A37,'Data shares'!$C:$FA,25)</f>
        <v>11.9</v>
      </c>
    </row>
    <row r="38" spans="1:7" x14ac:dyDescent="0.25">
      <c r="A38" s="101" t="str">
        <f>'Data shares'!C34</f>
        <v>BHEL</v>
      </c>
      <c r="B38" s="144">
        <f>VLOOKUP($A38,'Data shares'!$C:$FA,7)</f>
        <v>417.75</v>
      </c>
      <c r="C38" s="144">
        <f>VLOOKUP($A38,'Data shares'!$C:$FA,3)</f>
        <v>420.35</v>
      </c>
      <c r="D38" s="144">
        <f>VLOOKUP($A38,'Data shares'!$C:$FA,23)</f>
        <v>2.6</v>
      </c>
      <c r="E38" s="145">
        <f>VLOOKUP($A38,'Data shares'!$C:$FA,26)*100</f>
        <v>0.62</v>
      </c>
      <c r="F38" s="144">
        <f>VLOOKUP($A38,'Data shares'!$C:$FA,24)</f>
        <v>0.7</v>
      </c>
      <c r="G38" s="144">
        <f>VLOOKUP($A38,'Data shares'!$C:$FA,25)</f>
        <v>1.9</v>
      </c>
    </row>
    <row r="39" spans="1:7" x14ac:dyDescent="0.25">
      <c r="A39" s="101" t="str">
        <f>'Data shares'!C35</f>
        <v>BIOCON</v>
      </c>
      <c r="B39" s="144">
        <f>VLOOKUP($A39,'Data shares'!$C:$FA,7)</f>
        <v>436.15</v>
      </c>
      <c r="C39" s="144">
        <f>VLOOKUP($A39,'Data shares'!$C:$FA,3)</f>
        <v>439.85</v>
      </c>
      <c r="D39" s="144">
        <f>VLOOKUP($A39,'Data shares'!$C:$FA,23)</f>
        <v>3.7</v>
      </c>
      <c r="E39" s="145">
        <f>VLOOKUP($A39,'Data shares'!$C:$FA,26)*100</f>
        <v>0.85000000000000009</v>
      </c>
      <c r="F39" s="144">
        <f>VLOOKUP($A39,'Data shares'!$C:$FA,24)</f>
        <v>0.5</v>
      </c>
      <c r="G39" s="144">
        <f>VLOOKUP($A39,'Data shares'!$C:$FA,25)</f>
        <v>3.2</v>
      </c>
    </row>
    <row r="40" spans="1:7" x14ac:dyDescent="0.25">
      <c r="A40" s="101" t="str">
        <f>'Data shares'!C36</f>
        <v>BLUESTARCO</v>
      </c>
      <c r="B40" s="144">
        <f>VLOOKUP($A40,'Data shares'!$C:$FA,7)</f>
        <v>1640.9</v>
      </c>
      <c r="C40" s="144">
        <f>VLOOKUP($A40,'Data shares'!$C:$FA,3)</f>
        <v>1651</v>
      </c>
      <c r="D40" s="144">
        <f>VLOOKUP($A40,'Data shares'!$C:$FA,23)</f>
        <v>10.1</v>
      </c>
      <c r="E40" s="145">
        <f>VLOOKUP($A40,'Data shares'!$C:$FA,26)*100</f>
        <v>0.62</v>
      </c>
      <c r="F40" s="144">
        <f>VLOOKUP($A40,'Data shares'!$C:$FA,24)</f>
        <v>7.3</v>
      </c>
      <c r="G40" s="144">
        <f>VLOOKUP($A40,'Data shares'!$C:$FA,25)</f>
        <v>2.8</v>
      </c>
    </row>
    <row r="41" spans="1:7" x14ac:dyDescent="0.25">
      <c r="A41" s="101" t="str">
        <f>'Data shares'!C37</f>
        <v>BOSCHLTD</v>
      </c>
      <c r="B41" s="144">
        <f>VLOOKUP($A41,'Data shares'!$C:$FA,7)</f>
        <v>35835</v>
      </c>
      <c r="C41" s="144">
        <f>VLOOKUP($A41,'Data shares'!$C:$FA,3)</f>
        <v>36060</v>
      </c>
      <c r="D41" s="144">
        <f>VLOOKUP($A41,'Data shares'!$C:$FA,23)</f>
        <v>225</v>
      </c>
      <c r="E41" s="145">
        <f>VLOOKUP($A41,'Data shares'!$C:$FA,26)*100</f>
        <v>0.63</v>
      </c>
      <c r="F41" s="144">
        <f>VLOOKUP($A41,'Data shares'!$C:$FA,24)</f>
        <v>115</v>
      </c>
      <c r="G41" s="144">
        <f>VLOOKUP($A41,'Data shares'!$C:$FA,25)</f>
        <v>110</v>
      </c>
    </row>
    <row r="42" spans="1:7" x14ac:dyDescent="0.25">
      <c r="A42" s="101" t="str">
        <f>'Data shares'!C38</f>
        <v>BPCL</v>
      </c>
      <c r="B42" s="144">
        <f>VLOOKUP($A42,'Data shares'!$C:$FA,7)</f>
        <v>304.60000000000002</v>
      </c>
      <c r="C42" s="144">
        <f>VLOOKUP($A42,'Data shares'!$C:$FA,3)</f>
        <v>306.3</v>
      </c>
      <c r="D42" s="144">
        <f>VLOOKUP($A42,'Data shares'!$C:$FA,23)</f>
        <v>1.7</v>
      </c>
      <c r="E42" s="145">
        <f>VLOOKUP($A42,'Data shares'!$C:$FA,26)*100</f>
        <v>0.55999999999999994</v>
      </c>
      <c r="F42" s="144">
        <f>VLOOKUP($A42,'Data shares'!$C:$FA,24)</f>
        <v>0</v>
      </c>
      <c r="G42" s="144">
        <f>VLOOKUP($A42,'Data shares'!$C:$FA,25)</f>
        <v>1.7</v>
      </c>
    </row>
    <row r="43" spans="1:7" x14ac:dyDescent="0.25">
      <c r="A43" s="101" t="str">
        <f>'Data shares'!C39</f>
        <v>BRITANNIA</v>
      </c>
      <c r="B43" s="144">
        <f>VLOOKUP($A43,'Data shares'!$C:$FA,7)</f>
        <v>5338</v>
      </c>
      <c r="C43" s="144">
        <f>VLOOKUP($A43,'Data shares'!$C:$FA,3)</f>
        <v>5363.5</v>
      </c>
      <c r="D43" s="144">
        <f>VLOOKUP($A43,'Data shares'!$C:$FA,23)</f>
        <v>25.5</v>
      </c>
      <c r="E43" s="145">
        <f>VLOOKUP($A43,'Data shares'!$C:$FA,26)*100</f>
        <v>0.48</v>
      </c>
      <c r="F43" s="144">
        <f>VLOOKUP($A43,'Data shares'!$C:$FA,24)</f>
        <v>12.5</v>
      </c>
      <c r="G43" s="144">
        <f>VLOOKUP($A43,'Data shares'!$C:$FA,25)</f>
        <v>13</v>
      </c>
    </row>
    <row r="44" spans="1:7" x14ac:dyDescent="0.25">
      <c r="A44" s="101" t="str">
        <f>'Data shares'!C40</f>
        <v>BSE</v>
      </c>
      <c r="B44" s="144">
        <f>VLOOKUP($A44,'Data shares'!$C:$FA,7)</f>
        <v>4403.3</v>
      </c>
      <c r="C44" s="144">
        <f>VLOOKUP($A44,'Data shares'!$C:$FA,3)</f>
        <v>4421.3999999999996</v>
      </c>
      <c r="D44" s="144">
        <f>VLOOKUP($A44,'Data shares'!$C:$FA,23)</f>
        <v>18.100000000000001</v>
      </c>
      <c r="E44" s="145">
        <f>VLOOKUP($A44,'Data shares'!$C:$FA,26)*100</f>
        <v>0.41000000000000003</v>
      </c>
      <c r="F44" s="144">
        <f>VLOOKUP($A44,'Data shares'!$C:$FA,24)</f>
        <v>1.3</v>
      </c>
      <c r="G44" s="144">
        <f>VLOOKUP($A44,'Data shares'!$C:$FA,25)</f>
        <v>16.8</v>
      </c>
    </row>
    <row r="45" spans="1:7" x14ac:dyDescent="0.25">
      <c r="A45" s="101" t="str">
        <f>'Data shares'!C41</f>
        <v>CAMS</v>
      </c>
      <c r="B45" s="144">
        <f>VLOOKUP($A45,'Data shares'!$C:$FA,7)</f>
        <v>773.15</v>
      </c>
      <c r="C45" s="144">
        <f>VLOOKUP($A45,'Data shares'!$C:$FA,3)</f>
        <v>775.05</v>
      </c>
      <c r="D45" s="144">
        <f>VLOOKUP($A45,'Data shares'!$C:$FA,23)</f>
        <v>1.9</v>
      </c>
      <c r="E45" s="145">
        <f>VLOOKUP($A45,'Data shares'!$C:$FA,26)*100</f>
        <v>0.25</v>
      </c>
      <c r="F45" s="144">
        <f>VLOOKUP($A45,'Data shares'!$C:$FA,24)</f>
        <v>1.95</v>
      </c>
      <c r="G45" s="144">
        <f>VLOOKUP($A45,'Data shares'!$C:$FA,25)</f>
        <v>-0.05</v>
      </c>
    </row>
    <row r="46" spans="1:7" x14ac:dyDescent="0.25">
      <c r="A46" s="101" t="str">
        <f>'Data shares'!C42</f>
        <v>CANBK</v>
      </c>
      <c r="B46" s="144">
        <f>VLOOKUP($A46,'Data shares'!$C:$FA,7)</f>
        <v>133.15</v>
      </c>
      <c r="C46" s="144">
        <f>VLOOKUP($A46,'Data shares'!$C:$FA,3)</f>
        <v>134.26</v>
      </c>
      <c r="D46" s="144">
        <f>VLOOKUP($A46,'Data shares'!$C:$FA,23)</f>
        <v>1.1100000000000001</v>
      </c>
      <c r="E46" s="145">
        <f>VLOOKUP($A46,'Data shares'!$C:$FA,26)*100</f>
        <v>0.83</v>
      </c>
      <c r="F46" s="144">
        <f>VLOOKUP($A46,'Data shares'!$C:$FA,24)</f>
        <v>0.24</v>
      </c>
      <c r="G46" s="144">
        <f>VLOOKUP($A46,'Data shares'!$C:$FA,25)</f>
        <v>0.87</v>
      </c>
    </row>
    <row r="47" spans="1:7" x14ac:dyDescent="0.25">
      <c r="A47" s="101" t="str">
        <f>'Data shares'!C43</f>
        <v>CDSL</v>
      </c>
      <c r="B47" s="144">
        <f>VLOOKUP($A47,'Data shares'!$C:$FA,7)</f>
        <v>1226.3</v>
      </c>
      <c r="C47" s="144">
        <f>VLOOKUP($A47,'Data shares'!$C:$FA,3)</f>
        <v>1233.3</v>
      </c>
      <c r="D47" s="144">
        <f>VLOOKUP($A47,'Data shares'!$C:$FA,23)</f>
        <v>7</v>
      </c>
      <c r="E47" s="145">
        <f>VLOOKUP($A47,'Data shares'!$C:$FA,26)*100</f>
        <v>0.57000000000000006</v>
      </c>
      <c r="F47" s="144">
        <f>VLOOKUP($A47,'Data shares'!$C:$FA,24)</f>
        <v>4.4000000000000004</v>
      </c>
      <c r="G47" s="144">
        <f>VLOOKUP($A47,'Data shares'!$C:$FA,25)</f>
        <v>2.6</v>
      </c>
    </row>
    <row r="48" spans="1:7" x14ac:dyDescent="0.25">
      <c r="A48" s="101" t="str">
        <f>'Data shares'!C44</f>
        <v>CGPOWER</v>
      </c>
      <c r="B48" s="144">
        <f>VLOOKUP($A48,'Data shares'!$C:$FA,7)</f>
        <v>879.15</v>
      </c>
      <c r="C48" s="144">
        <f>VLOOKUP($A48,'Data shares'!$C:$FA,3)</f>
        <v>884.3</v>
      </c>
      <c r="D48" s="144">
        <f>VLOOKUP($A48,'Data shares'!$C:$FA,23)</f>
        <v>5.15</v>
      </c>
      <c r="E48" s="145">
        <f>VLOOKUP($A48,'Data shares'!$C:$FA,26)*100</f>
        <v>0.59</v>
      </c>
      <c r="F48" s="144">
        <f>VLOOKUP($A48,'Data shares'!$C:$FA,24)</f>
        <v>1.4</v>
      </c>
      <c r="G48" s="144">
        <f>VLOOKUP($A48,'Data shares'!$C:$FA,25)</f>
        <v>3.75</v>
      </c>
    </row>
    <row r="49" spans="1:7" x14ac:dyDescent="0.25">
      <c r="A49" s="101" t="str">
        <f>'Data shares'!C45</f>
        <v>CHOLAFIN</v>
      </c>
      <c r="B49" s="144">
        <f>VLOOKUP($A49,'Data shares'!$C:$FA,7)</f>
        <v>1567.3</v>
      </c>
      <c r="C49" s="144">
        <f>VLOOKUP($A49,'Data shares'!$C:$FA,3)</f>
        <v>1579.8</v>
      </c>
      <c r="D49" s="144">
        <f>VLOOKUP($A49,'Data shares'!$C:$FA,23)</f>
        <v>12.5</v>
      </c>
      <c r="E49" s="145">
        <f>VLOOKUP($A49,'Data shares'!$C:$FA,26)*100</f>
        <v>0.8</v>
      </c>
      <c r="F49" s="144">
        <f>VLOOKUP($A49,'Data shares'!$C:$FA,24)</f>
        <v>-3.5</v>
      </c>
      <c r="G49" s="144">
        <f>VLOOKUP($A49,'Data shares'!$C:$FA,25)</f>
        <v>16</v>
      </c>
    </row>
    <row r="50" spans="1:7" x14ac:dyDescent="0.25">
      <c r="A50" s="101" t="str">
        <f>'Data shares'!C46</f>
        <v>CIPLA</v>
      </c>
      <c r="B50" s="144">
        <f>VLOOKUP($A50,'Data shares'!$C:$FA,7)</f>
        <v>1417.5</v>
      </c>
      <c r="C50" s="144">
        <f>VLOOKUP($A50,'Data shares'!$C:$FA,3)</f>
        <v>1417</v>
      </c>
      <c r="D50" s="144">
        <f>VLOOKUP($A50,'Data shares'!$C:$FA,23)</f>
        <v>-0.5</v>
      </c>
      <c r="E50" s="145">
        <f>VLOOKUP($A50,'Data shares'!$C:$FA,26)*100</f>
        <v>-0.04</v>
      </c>
      <c r="F50" s="144">
        <f>VLOOKUP($A50,'Data shares'!$C:$FA,24)</f>
        <v>-1.3</v>
      </c>
      <c r="G50" s="144">
        <f>VLOOKUP($A50,'Data shares'!$C:$FA,25)</f>
        <v>0.8</v>
      </c>
    </row>
    <row r="51" spans="1:7" x14ac:dyDescent="0.25">
      <c r="A51" s="101" t="str">
        <f>'Data shares'!C47</f>
        <v>COALINDIA</v>
      </c>
      <c r="B51" s="144">
        <f>VLOOKUP($A51,'Data shares'!$C:$FA,7)</f>
        <v>458.15</v>
      </c>
      <c r="C51" s="144">
        <f>VLOOKUP($A51,'Data shares'!$C:$FA,3)</f>
        <v>456.55</v>
      </c>
      <c r="D51" s="144">
        <f>VLOOKUP($A51,'Data shares'!$C:$FA,23)</f>
        <v>-1.6</v>
      </c>
      <c r="E51" s="145">
        <f>VLOOKUP($A51,'Data shares'!$C:$FA,26)*100</f>
        <v>-0.35000000000000003</v>
      </c>
      <c r="F51" s="144">
        <f>VLOOKUP($A51,'Data shares'!$C:$FA,24)</f>
        <v>2.1</v>
      </c>
      <c r="G51" s="144">
        <f>VLOOKUP($A51,'Data shares'!$C:$FA,25)</f>
        <v>-3.7</v>
      </c>
    </row>
    <row r="52" spans="1:7" x14ac:dyDescent="0.25">
      <c r="A52" s="101" t="str">
        <f>'Data shares'!C48</f>
        <v>COCHINSHIP</v>
      </c>
      <c r="B52" s="144">
        <f>VLOOKUP($A52,'Data shares'!$C:$FA,7)</f>
        <v>1526.2</v>
      </c>
      <c r="C52" s="144">
        <f>VLOOKUP($A52,'Data shares'!$C:$FA,3)</f>
        <v>1535</v>
      </c>
      <c r="D52" s="144">
        <f>VLOOKUP($A52,'Data shares'!$C:$FA,23)</f>
        <v>8.8000000000000007</v>
      </c>
      <c r="E52" s="145">
        <f>VLOOKUP($A52,'Data shares'!$C:$FA,26)*100</f>
        <v>0.57999999999999996</v>
      </c>
      <c r="F52" s="144">
        <f>VLOOKUP($A52,'Data shares'!$C:$FA,24)</f>
        <v>1.1000000000000001</v>
      </c>
      <c r="G52" s="144">
        <f>VLOOKUP($A52,'Data shares'!$C:$FA,25)</f>
        <v>7.7</v>
      </c>
    </row>
    <row r="53" spans="1:7" x14ac:dyDescent="0.25">
      <c r="A53" s="101" t="str">
        <f>'Data shares'!C49</f>
        <v>COFORGE</v>
      </c>
      <c r="B53" s="144">
        <f>VLOOKUP($A53,'Data shares'!$C:$FA,7)</f>
        <v>1422.8</v>
      </c>
      <c r="C53" s="144">
        <f>VLOOKUP($A53,'Data shares'!$C:$FA,3)</f>
        <v>1424.1</v>
      </c>
      <c r="D53" s="144">
        <f>VLOOKUP($A53,'Data shares'!$C:$FA,23)</f>
        <v>1.3</v>
      </c>
      <c r="E53" s="145">
        <f>VLOOKUP($A53,'Data shares'!$C:$FA,26)*100</f>
        <v>0.09</v>
      </c>
      <c r="F53" s="144">
        <f>VLOOKUP($A53,'Data shares'!$C:$FA,24)</f>
        <v>2.2999999999999998</v>
      </c>
      <c r="G53" s="144">
        <f>VLOOKUP($A53,'Data shares'!$C:$FA,25)</f>
        <v>-1</v>
      </c>
    </row>
    <row r="54" spans="1:7" x14ac:dyDescent="0.25">
      <c r="A54" s="101" t="str">
        <f>'Data shares'!C50</f>
        <v>COLPAL</v>
      </c>
      <c r="B54" s="144">
        <f>VLOOKUP($A54,'Data shares'!$C:$FA,7)</f>
        <v>2077.1</v>
      </c>
      <c r="C54" s="144">
        <f>VLOOKUP($A54,'Data shares'!$C:$FA,3)</f>
        <v>2072.1999999999998</v>
      </c>
      <c r="D54" s="144">
        <f>VLOOKUP($A54,'Data shares'!$C:$FA,23)</f>
        <v>-4.9000000000000004</v>
      </c>
      <c r="E54" s="145">
        <f>VLOOKUP($A54,'Data shares'!$C:$FA,26)*100</f>
        <v>-0.24</v>
      </c>
      <c r="F54" s="144">
        <f>VLOOKUP($A54,'Data shares'!$C:$FA,24)</f>
        <v>11.9</v>
      </c>
      <c r="G54" s="144">
        <f>VLOOKUP($A54,'Data shares'!$C:$FA,25)</f>
        <v>-16.8</v>
      </c>
    </row>
    <row r="55" spans="1:7" x14ac:dyDescent="0.25">
      <c r="A55" s="101" t="str">
        <f>'Data shares'!C51</f>
        <v>CONCOR</v>
      </c>
      <c r="B55" s="144">
        <f>VLOOKUP($A55,'Data shares'!$C:$FA,7)</f>
        <v>475.9</v>
      </c>
      <c r="C55" s="144">
        <f>VLOOKUP($A55,'Data shares'!$C:$FA,3)</f>
        <v>479</v>
      </c>
      <c r="D55" s="144">
        <f>VLOOKUP($A55,'Data shares'!$C:$FA,23)</f>
        <v>3.1</v>
      </c>
      <c r="E55" s="145">
        <f>VLOOKUP($A55,'Data shares'!$C:$FA,26)*100</f>
        <v>0.65</v>
      </c>
      <c r="F55" s="144">
        <f>VLOOKUP($A55,'Data shares'!$C:$FA,24)</f>
        <v>0.6</v>
      </c>
      <c r="G55" s="144">
        <f>VLOOKUP($A55,'Data shares'!$C:$FA,25)</f>
        <v>2.5</v>
      </c>
    </row>
    <row r="56" spans="1:7" x14ac:dyDescent="0.25">
      <c r="A56" s="101" t="str">
        <f>'Data shares'!C52</f>
        <v>CROMPTON</v>
      </c>
      <c r="B56" s="144">
        <f>VLOOKUP($A56,'Data shares'!$C:$FA,7)</f>
        <v>289.05</v>
      </c>
      <c r="C56" s="144">
        <f>VLOOKUP($A56,'Data shares'!$C:$FA,3)</f>
        <v>290.55</v>
      </c>
      <c r="D56" s="144">
        <f>VLOOKUP($A56,'Data shares'!$C:$FA,23)</f>
        <v>1.5</v>
      </c>
      <c r="E56" s="145">
        <f>VLOOKUP($A56,'Data shares'!$C:$FA,26)*100</f>
        <v>0.52</v>
      </c>
      <c r="F56" s="144">
        <f>VLOOKUP($A56,'Data shares'!$C:$FA,24)</f>
        <v>0.25</v>
      </c>
      <c r="G56" s="144">
        <f>VLOOKUP($A56,'Data shares'!$C:$FA,25)</f>
        <v>1.25</v>
      </c>
    </row>
    <row r="57" spans="1:7" x14ac:dyDescent="0.25">
      <c r="A57" s="101" t="str">
        <f>'Data shares'!C53</f>
        <v>CUMMINSIND</v>
      </c>
      <c r="B57" s="144">
        <f>VLOOKUP($A57,'Data shares'!$C:$FA,7)</f>
        <v>5418.5</v>
      </c>
      <c r="C57" s="144">
        <f>VLOOKUP($A57,'Data shares'!$C:$FA,3)</f>
        <v>5462</v>
      </c>
      <c r="D57" s="144">
        <f>VLOOKUP($A57,'Data shares'!$C:$FA,23)</f>
        <v>43.5</v>
      </c>
      <c r="E57" s="145">
        <f>VLOOKUP($A57,'Data shares'!$C:$FA,26)*100</f>
        <v>0.8</v>
      </c>
      <c r="F57" s="144">
        <f>VLOOKUP($A57,'Data shares'!$C:$FA,24)</f>
        <v>1</v>
      </c>
      <c r="G57" s="144">
        <f>VLOOKUP($A57,'Data shares'!$C:$FA,25)</f>
        <v>42.5</v>
      </c>
    </row>
    <row r="58" spans="1:7" x14ac:dyDescent="0.25">
      <c r="A58" s="101" t="str">
        <f>'Data shares'!C54</f>
        <v>DABUR</v>
      </c>
      <c r="B58" s="144">
        <f>VLOOKUP($A58,'Data shares'!$C:$FA,7)</f>
        <v>447.6</v>
      </c>
      <c r="C58" s="144">
        <f>VLOOKUP($A58,'Data shares'!$C:$FA,3)</f>
        <v>450.55</v>
      </c>
      <c r="D58" s="144">
        <f>VLOOKUP($A58,'Data shares'!$C:$FA,23)</f>
        <v>2.95</v>
      </c>
      <c r="E58" s="145">
        <f>VLOOKUP($A58,'Data shares'!$C:$FA,26)*100</f>
        <v>0.66</v>
      </c>
      <c r="F58" s="144">
        <f>VLOOKUP($A58,'Data shares'!$C:$FA,24)</f>
        <v>-0.1</v>
      </c>
      <c r="G58" s="144">
        <f>VLOOKUP($A58,'Data shares'!$C:$FA,25)</f>
        <v>3.05</v>
      </c>
    </row>
    <row r="59" spans="1:7" x14ac:dyDescent="0.25">
      <c r="A59" s="101" t="str">
        <f>'Data shares'!C55</f>
        <v>DALBHARAT</v>
      </c>
      <c r="B59" s="144">
        <f>VLOOKUP($A59,'Data shares'!$C:$FA,7)</f>
        <v>1785.6</v>
      </c>
      <c r="C59" s="144">
        <f>VLOOKUP($A59,'Data shares'!$C:$FA,3)</f>
        <v>1794.3</v>
      </c>
      <c r="D59" s="144">
        <f>VLOOKUP($A59,'Data shares'!$C:$FA,23)</f>
        <v>8.6999999999999993</v>
      </c>
      <c r="E59" s="145">
        <f>VLOOKUP($A59,'Data shares'!$C:$FA,26)*100</f>
        <v>0.49</v>
      </c>
      <c r="F59" s="144">
        <f>VLOOKUP($A59,'Data shares'!$C:$FA,24)</f>
        <v>4.9000000000000004</v>
      </c>
      <c r="G59" s="144">
        <f>VLOOKUP($A59,'Data shares'!$C:$FA,25)</f>
        <v>3.8</v>
      </c>
    </row>
    <row r="60" spans="1:7" x14ac:dyDescent="0.25">
      <c r="A60" s="101" t="str">
        <f>'Data shares'!C56</f>
        <v>DELHIVERY</v>
      </c>
      <c r="B60" s="144">
        <f>VLOOKUP($A60,'Data shares'!$C:$FA,7)</f>
        <v>463.5</v>
      </c>
      <c r="C60" s="144">
        <f>VLOOKUP($A60,'Data shares'!$C:$FA,3)</f>
        <v>467.25</v>
      </c>
      <c r="D60" s="144">
        <f>VLOOKUP($A60,'Data shares'!$C:$FA,23)</f>
        <v>3.75</v>
      </c>
      <c r="E60" s="145">
        <f>VLOOKUP($A60,'Data shares'!$C:$FA,26)*100</f>
        <v>0.80999999999999994</v>
      </c>
      <c r="F60" s="144">
        <f>VLOOKUP($A60,'Data shares'!$C:$FA,24)</f>
        <v>0.05</v>
      </c>
      <c r="G60" s="144">
        <f>VLOOKUP($A60,'Data shares'!$C:$FA,25)</f>
        <v>3.7</v>
      </c>
    </row>
    <row r="61" spans="1:7" x14ac:dyDescent="0.25">
      <c r="A61" s="101" t="str">
        <f>'Data shares'!C57</f>
        <v>DIVISLAB</v>
      </c>
      <c r="B61" s="144">
        <f>VLOOKUP($A61,'Data shares'!$C:$FA,7)</f>
        <v>6753</v>
      </c>
      <c r="C61" s="144">
        <f>VLOOKUP($A61,'Data shares'!$C:$FA,3)</f>
        <v>6800.5</v>
      </c>
      <c r="D61" s="144">
        <f>VLOOKUP($A61,'Data shares'!$C:$FA,23)</f>
        <v>47.5</v>
      </c>
      <c r="E61" s="145">
        <f>VLOOKUP($A61,'Data shares'!$C:$FA,26)*100</f>
        <v>0.70000000000000007</v>
      </c>
      <c r="F61" s="144">
        <f>VLOOKUP($A61,'Data shares'!$C:$FA,24)</f>
        <v>27.5</v>
      </c>
      <c r="G61" s="144">
        <f>VLOOKUP($A61,'Data shares'!$C:$FA,25)</f>
        <v>20</v>
      </c>
    </row>
    <row r="62" spans="1:7" x14ac:dyDescent="0.25">
      <c r="A62" s="101" t="str">
        <f>'Data shares'!C58</f>
        <v>DIXON</v>
      </c>
      <c r="B62" s="144">
        <f>VLOOKUP($A62,'Data shares'!$C:$FA,7)</f>
        <v>11673</v>
      </c>
      <c r="C62" s="144">
        <f>VLOOKUP($A62,'Data shares'!$C:$FA,3)</f>
        <v>11632</v>
      </c>
      <c r="D62" s="144">
        <f>VLOOKUP($A62,'Data shares'!$C:$FA,23)</f>
        <v>-41</v>
      </c>
      <c r="E62" s="145">
        <f>VLOOKUP($A62,'Data shares'!$C:$FA,26)*100</f>
        <v>-0.35000000000000003</v>
      </c>
      <c r="F62" s="144">
        <f>VLOOKUP($A62,'Data shares'!$C:$FA,24)</f>
        <v>5</v>
      </c>
      <c r="G62" s="144">
        <f>VLOOKUP($A62,'Data shares'!$C:$FA,25)</f>
        <v>-46</v>
      </c>
    </row>
    <row r="63" spans="1:7" x14ac:dyDescent="0.25">
      <c r="A63" s="101" t="str">
        <f>'Data shares'!C59</f>
        <v>DLF</v>
      </c>
      <c r="B63" s="144">
        <f>VLOOKUP($A63,'Data shares'!$C:$FA,7)</f>
        <v>589.79999999999995</v>
      </c>
      <c r="C63" s="144">
        <f>VLOOKUP($A63,'Data shares'!$C:$FA,3)</f>
        <v>593.04999999999995</v>
      </c>
      <c r="D63" s="144">
        <f>VLOOKUP($A63,'Data shares'!$C:$FA,23)</f>
        <v>3.25</v>
      </c>
      <c r="E63" s="145">
        <f>VLOOKUP($A63,'Data shares'!$C:$FA,26)*100</f>
        <v>0.54999999999999993</v>
      </c>
      <c r="F63" s="144">
        <f>VLOOKUP($A63,'Data shares'!$C:$FA,24)</f>
        <v>1.05</v>
      </c>
      <c r="G63" s="144">
        <f>VLOOKUP($A63,'Data shares'!$C:$FA,25)</f>
        <v>2.2000000000000002</v>
      </c>
    </row>
    <row r="64" spans="1:7" x14ac:dyDescent="0.25">
      <c r="A64" s="101" t="str">
        <f>'Data shares'!C60</f>
        <v>DMART</v>
      </c>
      <c r="B64" s="144">
        <f>VLOOKUP($A64,'Data shares'!$C:$FA,7)</f>
        <v>4103.6000000000004</v>
      </c>
      <c r="C64" s="144">
        <f>VLOOKUP($A64,'Data shares'!$C:$FA,3)</f>
        <v>4136.2</v>
      </c>
      <c r="D64" s="144">
        <f>VLOOKUP($A64,'Data shares'!$C:$FA,23)</f>
        <v>32.6</v>
      </c>
      <c r="E64" s="145">
        <f>VLOOKUP($A64,'Data shares'!$C:$FA,26)*100</f>
        <v>0.79</v>
      </c>
      <c r="F64" s="144">
        <f>VLOOKUP($A64,'Data shares'!$C:$FA,24)</f>
        <v>9.8000000000000007</v>
      </c>
      <c r="G64" s="144">
        <f>VLOOKUP($A64,'Data shares'!$C:$FA,25)</f>
        <v>22.8</v>
      </c>
    </row>
    <row r="65" spans="1:7" x14ac:dyDescent="0.25">
      <c r="A65" s="101" t="str">
        <f>'Data shares'!C61</f>
        <v>DRREDDY</v>
      </c>
      <c r="B65" s="144">
        <f>VLOOKUP($A65,'Data shares'!$C:$FA,7)</f>
        <v>1327.9</v>
      </c>
      <c r="C65" s="144">
        <f>VLOOKUP($A65,'Data shares'!$C:$FA,3)</f>
        <v>1326.5</v>
      </c>
      <c r="D65" s="144">
        <f>VLOOKUP($A65,'Data shares'!$C:$FA,23)</f>
        <v>-1.4</v>
      </c>
      <c r="E65" s="145">
        <f>VLOOKUP($A65,'Data shares'!$C:$FA,26)*100</f>
        <v>-0.11</v>
      </c>
      <c r="F65" s="144">
        <f>VLOOKUP($A65,'Data shares'!$C:$FA,24)</f>
        <v>6</v>
      </c>
      <c r="G65" s="144">
        <f>VLOOKUP($A65,'Data shares'!$C:$FA,25)</f>
        <v>-7.4</v>
      </c>
    </row>
    <row r="66" spans="1:7" x14ac:dyDescent="0.25">
      <c r="A66" s="101" t="str">
        <f>'Data shares'!C62</f>
        <v>EICHERMOT</v>
      </c>
      <c r="B66" s="144">
        <f>VLOOKUP($A66,'Data shares'!$C:$FA,7)</f>
        <v>7376</v>
      </c>
      <c r="C66" s="144">
        <f>VLOOKUP($A66,'Data shares'!$C:$FA,3)</f>
        <v>7412</v>
      </c>
      <c r="D66" s="144">
        <f>VLOOKUP($A66,'Data shares'!$C:$FA,23)</f>
        <v>36</v>
      </c>
      <c r="E66" s="145">
        <f>VLOOKUP($A66,'Data shares'!$C:$FA,26)*100</f>
        <v>0.49</v>
      </c>
      <c r="F66" s="144">
        <f>VLOOKUP($A66,'Data shares'!$C:$FA,24)</f>
        <v>10.5</v>
      </c>
      <c r="G66" s="144">
        <f>VLOOKUP($A66,'Data shares'!$C:$FA,25)</f>
        <v>25.5</v>
      </c>
    </row>
    <row r="67" spans="1:7" x14ac:dyDescent="0.25">
      <c r="A67" s="101" t="str">
        <f>'Data shares'!C63</f>
        <v>ETERNAL</v>
      </c>
      <c r="B67" s="144">
        <f>VLOOKUP($A67,'Data shares'!$C:$FA,7)</f>
        <v>250.17</v>
      </c>
      <c r="C67" s="144">
        <f>VLOOKUP($A67,'Data shares'!$C:$FA,3)</f>
        <v>252.4</v>
      </c>
      <c r="D67" s="144">
        <f>VLOOKUP($A67,'Data shares'!$C:$FA,23)</f>
        <v>2.23</v>
      </c>
      <c r="E67" s="145">
        <f>VLOOKUP($A67,'Data shares'!$C:$FA,26)*100</f>
        <v>0.89</v>
      </c>
      <c r="F67" s="144">
        <f>VLOOKUP($A67,'Data shares'!$C:$FA,24)</f>
        <v>0.46</v>
      </c>
      <c r="G67" s="144">
        <f>VLOOKUP($A67,'Data shares'!$C:$FA,25)</f>
        <v>1.77</v>
      </c>
    </row>
    <row r="68" spans="1:7" x14ac:dyDescent="0.25">
      <c r="A68" s="101" t="str">
        <f>'Data shares'!C64</f>
        <v>EXIDEIND</v>
      </c>
      <c r="B68" s="144">
        <f>VLOOKUP($A68,'Data shares'!$C:$FA,7)</f>
        <v>366.25</v>
      </c>
      <c r="C68" s="144">
        <f>VLOOKUP($A68,'Data shares'!$C:$FA,3)</f>
        <v>368.15</v>
      </c>
      <c r="D68" s="144">
        <f>VLOOKUP($A68,'Data shares'!$C:$FA,23)</f>
        <v>1.9</v>
      </c>
      <c r="E68" s="145">
        <f>VLOOKUP($A68,'Data shares'!$C:$FA,26)*100</f>
        <v>0.52</v>
      </c>
      <c r="F68" s="144">
        <f>VLOOKUP($A68,'Data shares'!$C:$FA,24)</f>
        <v>0.65</v>
      </c>
      <c r="G68" s="144">
        <f>VLOOKUP($A68,'Data shares'!$C:$FA,25)</f>
        <v>1.25</v>
      </c>
    </row>
    <row r="69" spans="1:7" x14ac:dyDescent="0.25">
      <c r="A69" s="101" t="str">
        <f>'Data shares'!C65</f>
        <v>FEDERALBNK</v>
      </c>
      <c r="B69" s="144">
        <f>VLOOKUP($A69,'Data shares'!$C:$FA,7)</f>
        <v>290.2</v>
      </c>
      <c r="C69" s="144">
        <f>VLOOKUP($A69,'Data shares'!$C:$FA,3)</f>
        <v>291.55</v>
      </c>
      <c r="D69" s="144">
        <f>VLOOKUP($A69,'Data shares'!$C:$FA,23)</f>
        <v>1.35</v>
      </c>
      <c r="E69" s="145">
        <f>VLOOKUP($A69,'Data shares'!$C:$FA,26)*100</f>
        <v>0.47000000000000003</v>
      </c>
      <c r="F69" s="144">
        <f>VLOOKUP($A69,'Data shares'!$C:$FA,24)</f>
        <v>0</v>
      </c>
      <c r="G69" s="144">
        <f>VLOOKUP($A69,'Data shares'!$C:$FA,25)</f>
        <v>1.35</v>
      </c>
    </row>
    <row r="70" spans="1:7" x14ac:dyDescent="0.25">
      <c r="A70" s="101" t="str">
        <f>'Data shares'!C66</f>
        <v>FINNIFTY</v>
      </c>
      <c r="B70" s="144">
        <f>VLOOKUP($A70,'Data shares'!$C:$FA,7)</f>
        <v>25932.25</v>
      </c>
      <c r="C70" s="144">
        <f>VLOOKUP($A70,'Data shares'!$C:$FA,3)</f>
        <v>26061.8</v>
      </c>
      <c r="D70" s="144">
        <f>VLOOKUP($A70,'Data shares'!$C:$FA,23)</f>
        <v>129.55000000000001</v>
      </c>
      <c r="E70" s="145">
        <f>VLOOKUP($A70,'Data shares'!$C:$FA,26)*100</f>
        <v>0.5</v>
      </c>
      <c r="F70" s="144">
        <f>VLOOKUP($A70,'Data shares'!$C:$FA,24)</f>
        <v>70.55</v>
      </c>
      <c r="G70" s="144">
        <f>VLOOKUP($A70,'Data shares'!$C:$FA,25)</f>
        <v>59</v>
      </c>
    </row>
    <row r="71" spans="1:7" x14ac:dyDescent="0.25">
      <c r="A71" s="101" t="str">
        <f>'Data shares'!C67</f>
        <v>FORCEMOT</v>
      </c>
      <c r="B71" s="144">
        <f>VLOOKUP($A71,'Data shares'!$C:$FA,7)</f>
        <v>19833</v>
      </c>
      <c r="C71" s="144">
        <f>VLOOKUP($A71,'Data shares'!$C:$FA,3)</f>
        <v>19900</v>
      </c>
      <c r="D71" s="144">
        <f>VLOOKUP($A71,'Data shares'!$C:$FA,23)</f>
        <v>67</v>
      </c>
      <c r="E71" s="145">
        <f>VLOOKUP($A71,'Data shares'!$C:$FA,26)*100</f>
        <v>0.33999999999999997</v>
      </c>
      <c r="F71" s="144">
        <f>VLOOKUP($A71,'Data shares'!$C:$FA,24)</f>
        <v>1</v>
      </c>
      <c r="G71" s="144">
        <f>VLOOKUP($A71,'Data shares'!$C:$FA,25)</f>
        <v>66</v>
      </c>
    </row>
    <row r="72" spans="1:7" x14ac:dyDescent="0.25">
      <c r="A72" s="101" t="str">
        <f>'Data shares'!C68</f>
        <v>FORTIS</v>
      </c>
      <c r="B72" s="144">
        <f>VLOOKUP($A72,'Data shares'!$C:$FA,7)</f>
        <v>966.6</v>
      </c>
      <c r="C72" s="144">
        <f>VLOOKUP($A72,'Data shares'!$C:$FA,3)</f>
        <v>974.2</v>
      </c>
      <c r="D72" s="144">
        <f>VLOOKUP($A72,'Data shares'!$C:$FA,23)</f>
        <v>7.6</v>
      </c>
      <c r="E72" s="145">
        <f>VLOOKUP($A72,'Data shares'!$C:$FA,26)*100</f>
        <v>0.79</v>
      </c>
      <c r="F72" s="144">
        <f>VLOOKUP($A72,'Data shares'!$C:$FA,24)</f>
        <v>0.5</v>
      </c>
      <c r="G72" s="144">
        <f>VLOOKUP($A72,'Data shares'!$C:$FA,25)</f>
        <v>7.1</v>
      </c>
    </row>
    <row r="73" spans="1:7" x14ac:dyDescent="0.25">
      <c r="A73" s="101" t="str">
        <f>'Data shares'!C69</f>
        <v>GAIL</v>
      </c>
      <c r="B73" s="144">
        <f>VLOOKUP($A73,'Data shares'!$C:$FA,7)</f>
        <v>167.63</v>
      </c>
      <c r="C73" s="144">
        <f>VLOOKUP($A73,'Data shares'!$C:$FA,3)</f>
        <v>168.94</v>
      </c>
      <c r="D73" s="144">
        <f>VLOOKUP($A73,'Data shares'!$C:$FA,23)</f>
        <v>1.31</v>
      </c>
      <c r="E73" s="145">
        <f>VLOOKUP($A73,'Data shares'!$C:$FA,26)*100</f>
        <v>0.77999999999999992</v>
      </c>
      <c r="F73" s="144">
        <f>VLOOKUP($A73,'Data shares'!$C:$FA,24)</f>
        <v>-0.2</v>
      </c>
      <c r="G73" s="144">
        <f>VLOOKUP($A73,'Data shares'!$C:$FA,25)</f>
        <v>1.51</v>
      </c>
    </row>
    <row r="74" spans="1:7" x14ac:dyDescent="0.25">
      <c r="A74" s="101" t="str">
        <f>'Data shares'!C70</f>
        <v>GLENMARK</v>
      </c>
      <c r="B74" s="144">
        <f>VLOOKUP($A74,'Data shares'!$C:$FA,7)</f>
        <v>2351.4</v>
      </c>
      <c r="C74" s="144">
        <f>VLOOKUP($A74,'Data shares'!$C:$FA,3)</f>
        <v>2372.1999999999998</v>
      </c>
      <c r="D74" s="144">
        <f>VLOOKUP($A74,'Data shares'!$C:$FA,23)</f>
        <v>20.8</v>
      </c>
      <c r="E74" s="145">
        <f>VLOOKUP($A74,'Data shares'!$C:$FA,26)*100</f>
        <v>0.88</v>
      </c>
      <c r="F74" s="144">
        <f>VLOOKUP($A74,'Data shares'!$C:$FA,24)</f>
        <v>1.9</v>
      </c>
      <c r="G74" s="144">
        <f>VLOOKUP($A74,'Data shares'!$C:$FA,25)</f>
        <v>18.899999999999999</v>
      </c>
    </row>
    <row r="75" spans="1:7" x14ac:dyDescent="0.25">
      <c r="A75" s="101" t="str">
        <f>'Data shares'!C71</f>
        <v>GMRAIRPORT</v>
      </c>
      <c r="B75" s="144">
        <f>VLOOKUP($A75,'Data shares'!$C:$FA,7)</f>
        <v>96.23</v>
      </c>
      <c r="C75" s="144">
        <f>VLOOKUP($A75,'Data shares'!$C:$FA,3)</f>
        <v>96.88</v>
      </c>
      <c r="D75" s="144">
        <f>VLOOKUP($A75,'Data shares'!$C:$FA,23)</f>
        <v>0.65</v>
      </c>
      <c r="E75" s="145">
        <f>VLOOKUP($A75,'Data shares'!$C:$FA,26)*100</f>
        <v>0.67999999999999994</v>
      </c>
      <c r="F75" s="144">
        <f>VLOOKUP($A75,'Data shares'!$C:$FA,24)</f>
        <v>0.12</v>
      </c>
      <c r="G75" s="144">
        <f>VLOOKUP($A75,'Data shares'!$C:$FA,25)</f>
        <v>0.53</v>
      </c>
    </row>
    <row r="76" spans="1:7" x14ac:dyDescent="0.25">
      <c r="A76" s="101" t="str">
        <f>'Data shares'!C72</f>
        <v>GODFRYPHLP</v>
      </c>
      <c r="B76" s="144">
        <f>VLOOKUP($A76,'Data shares'!$C:$FA,7)</f>
        <v>2298.4</v>
      </c>
      <c r="C76" s="144">
        <f>VLOOKUP($A76,'Data shares'!$C:$FA,3)</f>
        <v>2310.9</v>
      </c>
      <c r="D76" s="144">
        <f>VLOOKUP($A76,'Data shares'!$C:$FA,23)</f>
        <v>12.5</v>
      </c>
      <c r="E76" s="145">
        <f>VLOOKUP($A76,'Data shares'!$C:$FA,26)*100</f>
        <v>0.54</v>
      </c>
      <c r="F76" s="144">
        <f>VLOOKUP($A76,'Data shares'!$C:$FA,24)</f>
        <v>10.7</v>
      </c>
      <c r="G76" s="144">
        <f>VLOOKUP($A76,'Data shares'!$C:$FA,25)</f>
        <v>1.8</v>
      </c>
    </row>
    <row r="77" spans="1:7" x14ac:dyDescent="0.25">
      <c r="A77" s="101" t="str">
        <f>'Data shares'!C73</f>
        <v>GODREJCP</v>
      </c>
      <c r="B77" s="144">
        <f>VLOOKUP($A77,'Data shares'!$C:$FA,7)</f>
        <v>1031.8</v>
      </c>
      <c r="C77" s="144">
        <f>VLOOKUP($A77,'Data shares'!$C:$FA,3)</f>
        <v>1037.2</v>
      </c>
      <c r="D77" s="144">
        <f>VLOOKUP($A77,'Data shares'!$C:$FA,23)</f>
        <v>5.4</v>
      </c>
      <c r="E77" s="145">
        <f>VLOOKUP($A77,'Data shares'!$C:$FA,26)*100</f>
        <v>0.52</v>
      </c>
      <c r="F77" s="144">
        <f>VLOOKUP($A77,'Data shares'!$C:$FA,24)</f>
        <v>0.2</v>
      </c>
      <c r="G77" s="144">
        <f>VLOOKUP($A77,'Data shares'!$C:$FA,25)</f>
        <v>5.2</v>
      </c>
    </row>
    <row r="78" spans="1:7" x14ac:dyDescent="0.25">
      <c r="A78" s="101" t="str">
        <f>'Data shares'!C74</f>
        <v>GODREJPROP</v>
      </c>
      <c r="B78" s="144">
        <f>VLOOKUP($A78,'Data shares'!$C:$FA,7)</f>
        <v>1760.2</v>
      </c>
      <c r="C78" s="144">
        <f>VLOOKUP($A78,'Data shares'!$C:$FA,3)</f>
        <v>1771.7</v>
      </c>
      <c r="D78" s="144">
        <f>VLOOKUP($A78,'Data shares'!$C:$FA,23)</f>
        <v>11.5</v>
      </c>
      <c r="E78" s="145">
        <f>VLOOKUP($A78,'Data shares'!$C:$FA,26)*100</f>
        <v>0.65</v>
      </c>
      <c r="F78" s="144">
        <f>VLOOKUP($A78,'Data shares'!$C:$FA,24)</f>
        <v>1.4</v>
      </c>
      <c r="G78" s="144">
        <f>VLOOKUP($A78,'Data shares'!$C:$FA,25)</f>
        <v>10.1</v>
      </c>
    </row>
    <row r="79" spans="1:7" x14ac:dyDescent="0.25">
      <c r="A79" s="101" t="str">
        <f>'Data shares'!C75</f>
        <v>GRASIM</v>
      </c>
      <c r="B79" s="144">
        <f>VLOOKUP($A79,'Data shares'!$C:$FA,7)</f>
        <v>3165</v>
      </c>
      <c r="C79" s="144">
        <f>VLOOKUP($A79,'Data shares'!$C:$FA,3)</f>
        <v>3187.3</v>
      </c>
      <c r="D79" s="144">
        <f>VLOOKUP($A79,'Data shares'!$C:$FA,23)</f>
        <v>22.3</v>
      </c>
      <c r="E79" s="145">
        <f>VLOOKUP($A79,'Data shares'!$C:$FA,26)*100</f>
        <v>0.70000000000000007</v>
      </c>
      <c r="F79" s="144">
        <f>VLOOKUP($A79,'Data shares'!$C:$FA,24)</f>
        <v>0.6</v>
      </c>
      <c r="G79" s="144">
        <f>VLOOKUP($A79,'Data shares'!$C:$FA,25)</f>
        <v>21.7</v>
      </c>
    </row>
    <row r="80" spans="1:7" x14ac:dyDescent="0.25">
      <c r="A80" s="101" t="str">
        <f>'Data shares'!C76</f>
        <v>HAL</v>
      </c>
      <c r="B80" s="144">
        <f>VLOOKUP($A80,'Data shares'!$C:$FA,7)</f>
        <v>4427.7</v>
      </c>
      <c r="C80" s="144">
        <f>VLOOKUP($A80,'Data shares'!$C:$FA,3)</f>
        <v>4460.3999999999996</v>
      </c>
      <c r="D80" s="144">
        <f>VLOOKUP($A80,'Data shares'!$C:$FA,23)</f>
        <v>32.700000000000003</v>
      </c>
      <c r="E80" s="145">
        <f>VLOOKUP($A80,'Data shares'!$C:$FA,26)*100</f>
        <v>0.74</v>
      </c>
      <c r="F80" s="144">
        <f>VLOOKUP($A80,'Data shares'!$C:$FA,24)</f>
        <v>0.8</v>
      </c>
      <c r="G80" s="144">
        <f>VLOOKUP($A80,'Data shares'!$C:$FA,25)</f>
        <v>31.9</v>
      </c>
    </row>
    <row r="81" spans="1:7" x14ac:dyDescent="0.25">
      <c r="A81" s="101" t="str">
        <f>'Data shares'!C77</f>
        <v>HAVELLS</v>
      </c>
      <c r="B81" s="144">
        <f>VLOOKUP($A81,'Data shares'!$C:$FA,7)</f>
        <v>1201</v>
      </c>
      <c r="C81" s="144">
        <f>VLOOKUP($A81,'Data shares'!$C:$FA,3)</f>
        <v>1211</v>
      </c>
      <c r="D81" s="144">
        <f>VLOOKUP($A81,'Data shares'!$C:$FA,23)</f>
        <v>10</v>
      </c>
      <c r="E81" s="145">
        <f>VLOOKUP($A81,'Data shares'!$C:$FA,26)*100</f>
        <v>0.83</v>
      </c>
      <c r="F81" s="144">
        <f>VLOOKUP($A81,'Data shares'!$C:$FA,24)</f>
        <v>1.9</v>
      </c>
      <c r="G81" s="144">
        <f>VLOOKUP($A81,'Data shares'!$C:$FA,25)</f>
        <v>8.1</v>
      </c>
    </row>
    <row r="82" spans="1:7" x14ac:dyDescent="0.25">
      <c r="A82" s="101" t="str">
        <f>'Data shares'!C78</f>
        <v>HCLTECH</v>
      </c>
      <c r="B82" s="144">
        <f>VLOOKUP($A82,'Data shares'!$C:$FA,7)</f>
        <v>1161.9000000000001</v>
      </c>
      <c r="C82" s="144">
        <f>VLOOKUP($A82,'Data shares'!$C:$FA,3)</f>
        <v>1161.3</v>
      </c>
      <c r="D82" s="144">
        <f>VLOOKUP($A82,'Data shares'!$C:$FA,23)</f>
        <v>-0.6</v>
      </c>
      <c r="E82" s="145">
        <f>VLOOKUP($A82,'Data shares'!$C:$FA,26)*100</f>
        <v>-0.05</v>
      </c>
      <c r="F82" s="144">
        <f>VLOOKUP($A82,'Data shares'!$C:$FA,24)</f>
        <v>3.3</v>
      </c>
      <c r="G82" s="144">
        <f>VLOOKUP($A82,'Data shares'!$C:$FA,25)</f>
        <v>-3.9</v>
      </c>
    </row>
    <row r="83" spans="1:7" x14ac:dyDescent="0.25">
      <c r="A83" s="101" t="str">
        <f>'Data shares'!C79</f>
        <v>HDFCAMC</v>
      </c>
      <c r="B83" s="144">
        <f>VLOOKUP($A83,'Data shares'!$C:$FA,7)</f>
        <v>2739.8</v>
      </c>
      <c r="C83" s="144">
        <f>VLOOKUP($A83,'Data shares'!$C:$FA,3)</f>
        <v>2755.1</v>
      </c>
      <c r="D83" s="144">
        <f>VLOOKUP($A83,'Data shares'!$C:$FA,23)</f>
        <v>15.3</v>
      </c>
      <c r="E83" s="145">
        <f>VLOOKUP($A83,'Data shares'!$C:$FA,26)*100</f>
        <v>0.55999999999999994</v>
      </c>
      <c r="F83" s="144">
        <f>VLOOKUP($A83,'Data shares'!$C:$FA,24)</f>
        <v>5.0999999999999996</v>
      </c>
      <c r="G83" s="144">
        <f>VLOOKUP($A83,'Data shares'!$C:$FA,25)</f>
        <v>10.199999999999999</v>
      </c>
    </row>
    <row r="84" spans="1:7" x14ac:dyDescent="0.25">
      <c r="A84" s="101" t="str">
        <f>'Data shares'!C80</f>
        <v>HDFCBANK</v>
      </c>
      <c r="B84" s="144">
        <f>VLOOKUP($A84,'Data shares'!$C:$FA,7)</f>
        <v>778.9</v>
      </c>
      <c r="C84" s="144">
        <f>VLOOKUP($A84,'Data shares'!$C:$FA,3)</f>
        <v>771.85</v>
      </c>
      <c r="D84" s="144">
        <f>VLOOKUP($A84,'Data shares'!$C:$FA,23)</f>
        <v>-7.05</v>
      </c>
      <c r="E84" s="145">
        <f>VLOOKUP($A84,'Data shares'!$C:$FA,26)*100</f>
        <v>-0.91</v>
      </c>
      <c r="F84" s="144">
        <f>VLOOKUP($A84,'Data shares'!$C:$FA,24)</f>
        <v>0.7</v>
      </c>
      <c r="G84" s="144">
        <f>VLOOKUP($A84,'Data shares'!$C:$FA,25)</f>
        <v>-7.75</v>
      </c>
    </row>
    <row r="85" spans="1:7" x14ac:dyDescent="0.25">
      <c r="A85" s="101" t="str">
        <f>'Data shares'!C81</f>
        <v>HDFCLIFE</v>
      </c>
      <c r="B85" s="144">
        <f>VLOOKUP($A85,'Data shares'!$C:$FA,7)</f>
        <v>618.85</v>
      </c>
      <c r="C85" s="144">
        <f>VLOOKUP($A85,'Data shares'!$C:$FA,3)</f>
        <v>620.25</v>
      </c>
      <c r="D85" s="144">
        <f>VLOOKUP($A85,'Data shares'!$C:$FA,23)</f>
        <v>1.4</v>
      </c>
      <c r="E85" s="145">
        <f>VLOOKUP($A85,'Data shares'!$C:$FA,26)*100</f>
        <v>0.22999999999999998</v>
      </c>
      <c r="F85" s="144">
        <f>VLOOKUP($A85,'Data shares'!$C:$FA,24)</f>
        <v>-0.75</v>
      </c>
      <c r="G85" s="144">
        <f>VLOOKUP($A85,'Data shares'!$C:$FA,25)</f>
        <v>2.15</v>
      </c>
    </row>
    <row r="86" spans="1:7" x14ac:dyDescent="0.25">
      <c r="A86" s="101" t="str">
        <f>'Data shares'!C82</f>
        <v>HEROMOTOCO</v>
      </c>
      <c r="B86" s="144">
        <f>VLOOKUP($A86,'Data shares'!$C:$FA,7)</f>
        <v>4983</v>
      </c>
      <c r="C86" s="144">
        <f>VLOOKUP($A86,'Data shares'!$C:$FA,3)</f>
        <v>5014</v>
      </c>
      <c r="D86" s="144">
        <f>VLOOKUP($A86,'Data shares'!$C:$FA,23)</f>
        <v>31</v>
      </c>
      <c r="E86" s="145">
        <f>VLOOKUP($A86,'Data shares'!$C:$FA,26)*100</f>
        <v>0.62</v>
      </c>
      <c r="F86" s="144">
        <f>VLOOKUP($A86,'Data shares'!$C:$FA,24)</f>
        <v>8.5</v>
      </c>
      <c r="G86" s="144">
        <f>VLOOKUP($A86,'Data shares'!$C:$FA,25)</f>
        <v>22.5</v>
      </c>
    </row>
    <row r="87" spans="1:7" x14ac:dyDescent="0.25">
      <c r="A87" s="101" t="str">
        <f>'Data shares'!C83</f>
        <v>HINDALCO</v>
      </c>
      <c r="B87" s="144">
        <f>VLOOKUP($A87,'Data shares'!$C:$FA,7)</f>
        <v>1103.8</v>
      </c>
      <c r="C87" s="144">
        <f>VLOOKUP($A87,'Data shares'!$C:$FA,3)</f>
        <v>1114</v>
      </c>
      <c r="D87" s="144">
        <f>VLOOKUP($A87,'Data shares'!$C:$FA,23)</f>
        <v>10.199999999999999</v>
      </c>
      <c r="E87" s="145">
        <f>VLOOKUP($A87,'Data shares'!$C:$FA,26)*100</f>
        <v>0.91999999999999993</v>
      </c>
      <c r="F87" s="144">
        <f>VLOOKUP($A87,'Data shares'!$C:$FA,24)</f>
        <v>0</v>
      </c>
      <c r="G87" s="144">
        <f>VLOOKUP($A87,'Data shares'!$C:$FA,25)</f>
        <v>10.199999999999999</v>
      </c>
    </row>
    <row r="88" spans="1:7" x14ac:dyDescent="0.25">
      <c r="A88" s="101" t="str">
        <f>'Data shares'!C84</f>
        <v>HINDPETRO</v>
      </c>
      <c r="B88" s="144">
        <f>VLOOKUP($A88,'Data shares'!$C:$FA,7)</f>
        <v>398</v>
      </c>
      <c r="C88" s="144">
        <f>VLOOKUP($A88,'Data shares'!$C:$FA,3)</f>
        <v>400.55</v>
      </c>
      <c r="D88" s="144">
        <f>VLOOKUP($A88,'Data shares'!$C:$FA,23)</f>
        <v>2.5499999999999998</v>
      </c>
      <c r="E88" s="145">
        <f>VLOOKUP($A88,'Data shares'!$C:$FA,26)*100</f>
        <v>0.64</v>
      </c>
      <c r="F88" s="144">
        <f>VLOOKUP($A88,'Data shares'!$C:$FA,24)</f>
        <v>1.75</v>
      </c>
      <c r="G88" s="144">
        <f>VLOOKUP($A88,'Data shares'!$C:$FA,25)</f>
        <v>0.8</v>
      </c>
    </row>
    <row r="89" spans="1:7" x14ac:dyDescent="0.25">
      <c r="A89" s="101" t="str">
        <f>'Data shares'!C85</f>
        <v>HINDUNILVR</v>
      </c>
      <c r="B89" s="144">
        <f>VLOOKUP($A89,'Data shares'!$C:$FA,7)</f>
        <v>2209.4</v>
      </c>
      <c r="C89" s="144">
        <f>VLOOKUP($A89,'Data shares'!$C:$FA,3)</f>
        <v>2195.1</v>
      </c>
      <c r="D89" s="144">
        <f>VLOOKUP($A89,'Data shares'!$C:$FA,23)</f>
        <v>-14.3</v>
      </c>
      <c r="E89" s="145">
        <f>VLOOKUP($A89,'Data shares'!$C:$FA,26)*100</f>
        <v>-0.65</v>
      </c>
      <c r="F89" s="144">
        <f>VLOOKUP($A89,'Data shares'!$C:$FA,24)</f>
        <v>5.9</v>
      </c>
      <c r="G89" s="144">
        <f>VLOOKUP($A89,'Data shares'!$C:$FA,25)</f>
        <v>-20.2</v>
      </c>
    </row>
    <row r="90" spans="1:7" x14ac:dyDescent="0.25">
      <c r="A90" s="101" t="str">
        <f>'Data shares'!C86</f>
        <v>HINDZINC</v>
      </c>
      <c r="B90" s="144">
        <f>VLOOKUP($A90,'Data shares'!$C:$FA,7)</f>
        <v>647.4</v>
      </c>
      <c r="C90" s="144">
        <f>VLOOKUP($A90,'Data shares'!$C:$FA,3)</f>
        <v>650.70000000000005</v>
      </c>
      <c r="D90" s="144">
        <f>VLOOKUP($A90,'Data shares'!$C:$FA,23)</f>
        <v>3.3</v>
      </c>
      <c r="E90" s="145">
        <f>VLOOKUP($A90,'Data shares'!$C:$FA,26)*100</f>
        <v>0.51</v>
      </c>
      <c r="F90" s="144">
        <f>VLOOKUP($A90,'Data shares'!$C:$FA,24)</f>
        <v>1.5</v>
      </c>
      <c r="G90" s="144">
        <f>VLOOKUP($A90,'Data shares'!$C:$FA,25)</f>
        <v>1.8</v>
      </c>
    </row>
    <row r="91" spans="1:7" x14ac:dyDescent="0.25">
      <c r="A91" s="101" t="str">
        <f>'Data shares'!C87</f>
        <v>HYUNDAI</v>
      </c>
      <c r="B91" s="144">
        <f>VLOOKUP($A91,'Data shares'!$C:$FA,7)</f>
        <v>1884</v>
      </c>
      <c r="C91" s="144">
        <f>VLOOKUP($A91,'Data shares'!$C:$FA,3)</f>
        <v>1897.4</v>
      </c>
      <c r="D91" s="144">
        <f>VLOOKUP($A91,'Data shares'!$C:$FA,23)</f>
        <v>13.4</v>
      </c>
      <c r="E91" s="145">
        <f>VLOOKUP($A91,'Data shares'!$C:$FA,26)*100</f>
        <v>0.71000000000000008</v>
      </c>
      <c r="F91" s="144">
        <f>VLOOKUP($A91,'Data shares'!$C:$FA,24)</f>
        <v>1.6</v>
      </c>
      <c r="G91" s="144">
        <f>VLOOKUP($A91,'Data shares'!$C:$FA,25)</f>
        <v>11.8</v>
      </c>
    </row>
    <row r="92" spans="1:7" x14ac:dyDescent="0.25">
      <c r="A92" s="101" t="str">
        <f>'Data shares'!C88</f>
        <v>ICICIBANK</v>
      </c>
      <c r="B92" s="144">
        <f>VLOOKUP($A92,'Data shares'!$C:$FA,7)</f>
        <v>1279.0999999999999</v>
      </c>
      <c r="C92" s="144">
        <f>VLOOKUP($A92,'Data shares'!$C:$FA,3)</f>
        <v>1290.2</v>
      </c>
      <c r="D92" s="144">
        <f>VLOOKUP($A92,'Data shares'!$C:$FA,23)</f>
        <v>11.1</v>
      </c>
      <c r="E92" s="145">
        <f>VLOOKUP($A92,'Data shares'!$C:$FA,26)*100</f>
        <v>0.86999999999999988</v>
      </c>
      <c r="F92" s="144">
        <f>VLOOKUP($A92,'Data shares'!$C:$FA,24)</f>
        <v>-0.9</v>
      </c>
      <c r="G92" s="144">
        <f>VLOOKUP($A92,'Data shares'!$C:$FA,25)</f>
        <v>12</v>
      </c>
    </row>
    <row r="93" spans="1:7" x14ac:dyDescent="0.25">
      <c r="A93" s="101" t="str">
        <f>'Data shares'!C89</f>
        <v>ICICIGI</v>
      </c>
      <c r="B93" s="144">
        <f>VLOOKUP($A93,'Data shares'!$C:$FA,7)</f>
        <v>1860.3</v>
      </c>
      <c r="C93" s="144">
        <f>VLOOKUP($A93,'Data shares'!$C:$FA,3)</f>
        <v>1866.6</v>
      </c>
      <c r="D93" s="144">
        <f>VLOOKUP($A93,'Data shares'!$C:$FA,23)</f>
        <v>6.3</v>
      </c>
      <c r="E93" s="145">
        <f>VLOOKUP($A93,'Data shares'!$C:$FA,26)*100</f>
        <v>0.33999999999999997</v>
      </c>
      <c r="F93" s="144">
        <f>VLOOKUP($A93,'Data shares'!$C:$FA,24)</f>
        <v>3.8</v>
      </c>
      <c r="G93" s="144">
        <f>VLOOKUP($A93,'Data shares'!$C:$FA,25)</f>
        <v>2.5</v>
      </c>
    </row>
    <row r="94" spans="1:7" x14ac:dyDescent="0.25">
      <c r="A94" s="101" t="str">
        <f>'Data shares'!C90</f>
        <v>ICICIPRULI</v>
      </c>
      <c r="B94" s="144">
        <f>VLOOKUP($A94,'Data shares'!$C:$FA,7)</f>
        <v>522.70000000000005</v>
      </c>
      <c r="C94" s="144">
        <f>VLOOKUP($A94,'Data shares'!$C:$FA,3)</f>
        <v>524.1</v>
      </c>
      <c r="D94" s="144">
        <f>VLOOKUP($A94,'Data shares'!$C:$FA,23)</f>
        <v>1.4</v>
      </c>
      <c r="E94" s="145">
        <f>VLOOKUP($A94,'Data shares'!$C:$FA,26)*100</f>
        <v>0.27</v>
      </c>
      <c r="F94" s="144">
        <f>VLOOKUP($A94,'Data shares'!$C:$FA,24)</f>
        <v>0.3</v>
      </c>
      <c r="G94" s="144">
        <f>VLOOKUP($A94,'Data shares'!$C:$FA,25)</f>
        <v>1.1000000000000001</v>
      </c>
    </row>
    <row r="95" spans="1:7" x14ac:dyDescent="0.25">
      <c r="A95" s="101" t="str">
        <f>'Data shares'!C91</f>
        <v>IDEA</v>
      </c>
      <c r="B95" s="144">
        <f>VLOOKUP($A95,'Data shares'!$C:$FA,7)</f>
        <v>14.14</v>
      </c>
      <c r="C95" s="144">
        <f>VLOOKUP($A95,'Data shares'!$C:$FA,3)</f>
        <v>14.22</v>
      </c>
      <c r="D95" s="144">
        <f>VLOOKUP($A95,'Data shares'!$C:$FA,23)</f>
        <v>0.08</v>
      </c>
      <c r="E95" s="145">
        <f>VLOOKUP($A95,'Data shares'!$C:$FA,26)*100</f>
        <v>0.57000000000000006</v>
      </c>
      <c r="F95" s="144">
        <f>VLOOKUP($A95,'Data shares'!$C:$FA,24)</f>
        <v>0.03</v>
      </c>
      <c r="G95" s="144">
        <f>VLOOKUP($A95,'Data shares'!$C:$FA,25)</f>
        <v>0.05</v>
      </c>
    </row>
    <row r="96" spans="1:7" x14ac:dyDescent="0.25">
      <c r="A96" s="101" t="str">
        <f>'Data shares'!C92</f>
        <v>IDFCFIRSTB</v>
      </c>
      <c r="B96" s="144">
        <f>VLOOKUP($A96,'Data shares'!$C:$FA,7)</f>
        <v>70.22</v>
      </c>
      <c r="C96" s="144">
        <f>VLOOKUP($A96,'Data shares'!$C:$FA,3)</f>
        <v>70.650000000000006</v>
      </c>
      <c r="D96" s="144">
        <f>VLOOKUP($A96,'Data shares'!$C:$FA,23)</f>
        <v>0.43</v>
      </c>
      <c r="E96" s="145">
        <f>VLOOKUP($A96,'Data shares'!$C:$FA,26)*100</f>
        <v>0.61</v>
      </c>
      <c r="F96" s="144">
        <f>VLOOKUP($A96,'Data shares'!$C:$FA,24)</f>
        <v>0.21</v>
      </c>
      <c r="G96" s="144">
        <f>VLOOKUP($A96,'Data shares'!$C:$FA,25)</f>
        <v>0.22</v>
      </c>
    </row>
    <row r="97" spans="1:7" x14ac:dyDescent="0.25">
      <c r="A97" s="101" t="str">
        <f>'Data shares'!C93</f>
        <v>IEX</v>
      </c>
      <c r="B97" s="144">
        <f>VLOOKUP($A97,'Data shares'!$C:$FA,7)</f>
        <v>127.47</v>
      </c>
      <c r="C97" s="144">
        <f>VLOOKUP($A97,'Data shares'!$C:$FA,3)</f>
        <v>128.47</v>
      </c>
      <c r="D97" s="144">
        <f>VLOOKUP($A97,'Data shares'!$C:$FA,23)</f>
        <v>1</v>
      </c>
      <c r="E97" s="145">
        <f>VLOOKUP($A97,'Data shares'!$C:$FA,26)*100</f>
        <v>0.77999999999999992</v>
      </c>
      <c r="F97" s="144">
        <f>VLOOKUP($A97,'Data shares'!$C:$FA,24)</f>
        <v>0.25</v>
      </c>
      <c r="G97" s="144">
        <f>VLOOKUP($A97,'Data shares'!$C:$FA,25)</f>
        <v>0.75</v>
      </c>
    </row>
    <row r="98" spans="1:7" x14ac:dyDescent="0.25">
      <c r="A98" s="101" t="str">
        <f>'Data shares'!C94</f>
        <v>INDHOTEL</v>
      </c>
      <c r="B98" s="144">
        <f>VLOOKUP($A98,'Data shares'!$C:$FA,7)</f>
        <v>657.15</v>
      </c>
      <c r="C98" s="144">
        <f>VLOOKUP($A98,'Data shares'!$C:$FA,3)</f>
        <v>659.3</v>
      </c>
      <c r="D98" s="144">
        <f>VLOOKUP($A98,'Data shares'!$C:$FA,23)</f>
        <v>2.15</v>
      </c>
      <c r="E98" s="145">
        <f>VLOOKUP($A98,'Data shares'!$C:$FA,26)*100</f>
        <v>0.33</v>
      </c>
      <c r="F98" s="144">
        <f>VLOOKUP($A98,'Data shares'!$C:$FA,24)</f>
        <v>0.35</v>
      </c>
      <c r="G98" s="144">
        <f>VLOOKUP($A98,'Data shares'!$C:$FA,25)</f>
        <v>1.8</v>
      </c>
    </row>
    <row r="99" spans="1:7" x14ac:dyDescent="0.25">
      <c r="A99" s="101" t="str">
        <f>'Data shares'!C95</f>
        <v>INDIANB</v>
      </c>
      <c r="B99" s="144">
        <f>VLOOKUP($A99,'Data shares'!$C:$FA,7)</f>
        <v>833.55</v>
      </c>
      <c r="C99" s="144">
        <f>VLOOKUP($A99,'Data shares'!$C:$FA,3)</f>
        <v>838.05</v>
      </c>
      <c r="D99" s="144">
        <f>VLOOKUP($A99,'Data shares'!$C:$FA,23)</f>
        <v>4.5</v>
      </c>
      <c r="E99" s="145">
        <f>VLOOKUP($A99,'Data shares'!$C:$FA,26)*100</f>
        <v>0.54</v>
      </c>
      <c r="F99" s="144">
        <f>VLOOKUP($A99,'Data shares'!$C:$FA,24)</f>
        <v>0.15</v>
      </c>
      <c r="G99" s="144">
        <f>VLOOKUP($A99,'Data shares'!$C:$FA,25)</f>
        <v>4.3499999999999996</v>
      </c>
    </row>
    <row r="100" spans="1:7" x14ac:dyDescent="0.25">
      <c r="A100" s="101" t="str">
        <f>'Data shares'!C96</f>
        <v>INDIAVIX</v>
      </c>
      <c r="B100" s="144">
        <f>VLOOKUP($A100,'Data shares'!$C:$FA,7)</f>
        <v>16.13</v>
      </c>
      <c r="C100" s="144">
        <f>VLOOKUP($A100,'Data shares'!$C:$FA,3)</f>
        <v>0</v>
      </c>
      <c r="D100" s="144">
        <f>VLOOKUP($A100,'Data shares'!$C:$FA,23)</f>
        <v>0</v>
      </c>
      <c r="E100" s="145">
        <f>VLOOKUP($A100,'Data shares'!$C:$FA,26)*100</f>
        <v>0</v>
      </c>
      <c r="F100" s="144">
        <f>VLOOKUP($A100,'Data shares'!$C:$FA,24)</f>
        <v>0</v>
      </c>
      <c r="G100" s="144">
        <f>VLOOKUP($A100,'Data shares'!$C:$FA,25)</f>
        <v>0</v>
      </c>
    </row>
    <row r="101" spans="1:7" x14ac:dyDescent="0.25">
      <c r="A101" s="101" t="str">
        <f>'Data shares'!C97</f>
        <v>INDIGO</v>
      </c>
      <c r="B101" s="144">
        <f>VLOOKUP($A101,'Data shares'!$C:$FA,7)</f>
        <v>4480.8</v>
      </c>
      <c r="C101" s="144">
        <f>VLOOKUP($A101,'Data shares'!$C:$FA,3)</f>
        <v>4507.3</v>
      </c>
      <c r="D101" s="144">
        <f>VLOOKUP($A101,'Data shares'!$C:$FA,23)</f>
        <v>26.5</v>
      </c>
      <c r="E101" s="145">
        <f>VLOOKUP($A101,'Data shares'!$C:$FA,26)*100</f>
        <v>0.59</v>
      </c>
      <c r="F101" s="144">
        <f>VLOOKUP($A101,'Data shares'!$C:$FA,24)</f>
        <v>-20.3</v>
      </c>
      <c r="G101" s="144">
        <f>VLOOKUP($A101,'Data shares'!$C:$FA,25)</f>
        <v>46.8</v>
      </c>
    </row>
    <row r="102" spans="1:7" x14ac:dyDescent="0.25">
      <c r="A102" s="101" t="str">
        <f>'Data shares'!C98</f>
        <v>INDUSINDBK</v>
      </c>
      <c r="B102" s="144">
        <f>VLOOKUP($A102,'Data shares'!$C:$FA,7)</f>
        <v>932.3</v>
      </c>
      <c r="C102" s="144">
        <f>VLOOKUP($A102,'Data shares'!$C:$FA,3)</f>
        <v>937.35</v>
      </c>
      <c r="D102" s="144">
        <f>VLOOKUP($A102,'Data shares'!$C:$FA,23)</f>
        <v>5.05</v>
      </c>
      <c r="E102" s="145">
        <f>VLOOKUP($A102,'Data shares'!$C:$FA,26)*100</f>
        <v>0.54</v>
      </c>
      <c r="F102" s="144">
        <f>VLOOKUP($A102,'Data shares'!$C:$FA,24)</f>
        <v>2.25</v>
      </c>
      <c r="G102" s="144">
        <f>VLOOKUP($A102,'Data shares'!$C:$FA,25)</f>
        <v>2.8</v>
      </c>
    </row>
    <row r="103" spans="1:7" x14ac:dyDescent="0.25">
      <c r="A103" s="101" t="str">
        <f>'Data shares'!C99</f>
        <v>INDUSTOWER</v>
      </c>
      <c r="B103" s="144">
        <f>VLOOKUP($A103,'Data shares'!$C:$FA,7)</f>
        <v>433.25</v>
      </c>
      <c r="C103" s="144">
        <f>VLOOKUP($A103,'Data shares'!$C:$FA,3)</f>
        <v>437.05</v>
      </c>
      <c r="D103" s="144">
        <f>VLOOKUP($A103,'Data shares'!$C:$FA,23)</f>
        <v>3.8</v>
      </c>
      <c r="E103" s="145">
        <f>VLOOKUP($A103,'Data shares'!$C:$FA,26)*100</f>
        <v>0.88</v>
      </c>
      <c r="F103" s="144">
        <f>VLOOKUP($A103,'Data shares'!$C:$FA,24)</f>
        <v>0.5</v>
      </c>
      <c r="G103" s="144">
        <f>VLOOKUP($A103,'Data shares'!$C:$FA,25)</f>
        <v>3.3</v>
      </c>
    </row>
    <row r="104" spans="1:7" x14ac:dyDescent="0.25">
      <c r="A104" s="101" t="str">
        <f>'Data shares'!C100</f>
        <v>INFY</v>
      </c>
      <c r="B104" s="144">
        <f>VLOOKUP($A104,'Data shares'!$C:$FA,7)</f>
        <v>1167.7</v>
      </c>
      <c r="C104" s="144">
        <f>VLOOKUP($A104,'Data shares'!$C:$FA,3)</f>
        <v>1166</v>
      </c>
      <c r="D104" s="144">
        <f>VLOOKUP($A104,'Data shares'!$C:$FA,23)</f>
        <v>-1.7</v>
      </c>
      <c r="E104" s="145">
        <f>VLOOKUP($A104,'Data shares'!$C:$FA,26)*100</f>
        <v>-0.15</v>
      </c>
      <c r="F104" s="144">
        <f>VLOOKUP($A104,'Data shares'!$C:$FA,24)</f>
        <v>1.2</v>
      </c>
      <c r="G104" s="144">
        <f>VLOOKUP($A104,'Data shares'!$C:$FA,25)</f>
        <v>-2.9</v>
      </c>
    </row>
    <row r="105" spans="1:7" x14ac:dyDescent="0.25">
      <c r="A105" s="101" t="str">
        <f>'Data shares'!C101</f>
        <v>INOXWIND</v>
      </c>
      <c r="B105" s="144">
        <f>VLOOKUP($A105,'Data shares'!$C:$FA,7)</f>
        <v>96.22</v>
      </c>
      <c r="C105" s="144">
        <f>VLOOKUP($A105,'Data shares'!$C:$FA,3)</f>
        <v>96.95</v>
      </c>
      <c r="D105" s="144">
        <f>VLOOKUP($A105,'Data shares'!$C:$FA,23)</f>
        <v>0.73</v>
      </c>
      <c r="E105" s="145">
        <f>VLOOKUP($A105,'Data shares'!$C:$FA,26)*100</f>
        <v>0.76</v>
      </c>
      <c r="F105" s="144">
        <f>VLOOKUP($A105,'Data shares'!$C:$FA,24)</f>
        <v>0.18</v>
      </c>
      <c r="G105" s="144">
        <f>VLOOKUP($A105,'Data shares'!$C:$FA,25)</f>
        <v>0.55000000000000004</v>
      </c>
    </row>
    <row r="106" spans="1:7" x14ac:dyDescent="0.25">
      <c r="A106" s="101" t="str">
        <f>'Data shares'!C102</f>
        <v>IOC</v>
      </c>
      <c r="B106" s="144">
        <f>VLOOKUP($A106,'Data shares'!$C:$FA,7)</f>
        <v>142.38</v>
      </c>
      <c r="C106" s="144">
        <f>VLOOKUP($A106,'Data shares'!$C:$FA,3)</f>
        <v>143.44</v>
      </c>
      <c r="D106" s="144">
        <f>VLOOKUP($A106,'Data shares'!$C:$FA,23)</f>
        <v>1.06</v>
      </c>
      <c r="E106" s="145">
        <f>VLOOKUP($A106,'Data shares'!$C:$FA,26)*100</f>
        <v>0.74</v>
      </c>
      <c r="F106" s="144">
        <f>VLOOKUP($A106,'Data shares'!$C:$FA,24)</f>
        <v>0.28000000000000003</v>
      </c>
      <c r="G106" s="144">
        <f>VLOOKUP($A106,'Data shares'!$C:$FA,25)</f>
        <v>0.78</v>
      </c>
    </row>
    <row r="107" spans="1:7" x14ac:dyDescent="0.25">
      <c r="A107" s="101" t="str">
        <f>'Data shares'!C103</f>
        <v>IREDA</v>
      </c>
      <c r="B107" s="144">
        <f>VLOOKUP($A107,'Data shares'!$C:$FA,7)</f>
        <v>129.54</v>
      </c>
      <c r="C107" s="144">
        <f>VLOOKUP($A107,'Data shares'!$C:$FA,3)</f>
        <v>127.33</v>
      </c>
      <c r="D107" s="144">
        <f>VLOOKUP($A107,'Data shares'!$C:$FA,23)</f>
        <v>-2.21</v>
      </c>
      <c r="E107" s="145">
        <f>VLOOKUP($A107,'Data shares'!$C:$FA,26)*100</f>
        <v>-1.71</v>
      </c>
      <c r="F107" s="144">
        <f>VLOOKUP($A107,'Data shares'!$C:$FA,24)</f>
        <v>0.09</v>
      </c>
      <c r="G107" s="144">
        <f>VLOOKUP($A107,'Data shares'!$C:$FA,25)</f>
        <v>-2.2999999999999998</v>
      </c>
    </row>
    <row r="108" spans="1:7" x14ac:dyDescent="0.25">
      <c r="A108" s="101" t="str">
        <f>'Data shares'!C104</f>
        <v>IRFC</v>
      </c>
      <c r="B108" s="144">
        <f>VLOOKUP($A108,'Data shares'!$C:$FA,7)</f>
        <v>99.28</v>
      </c>
      <c r="C108" s="144">
        <f>VLOOKUP($A108,'Data shares'!$C:$FA,3)</f>
        <v>98.64</v>
      </c>
      <c r="D108" s="144">
        <f>VLOOKUP($A108,'Data shares'!$C:$FA,23)</f>
        <v>-0.64</v>
      </c>
      <c r="E108" s="145">
        <f>VLOOKUP($A108,'Data shares'!$C:$FA,26)*100</f>
        <v>-0.64</v>
      </c>
      <c r="F108" s="144">
        <f>VLOOKUP($A108,'Data shares'!$C:$FA,24)</f>
        <v>0.36</v>
      </c>
      <c r="G108" s="144">
        <f>VLOOKUP($A108,'Data shares'!$C:$FA,25)</f>
        <v>-1</v>
      </c>
    </row>
    <row r="109" spans="1:7" x14ac:dyDescent="0.25">
      <c r="A109" s="101" t="str">
        <f>'Data shares'!C105</f>
        <v>ITC</v>
      </c>
      <c r="B109" s="144">
        <f>VLOOKUP($A109,'Data shares'!$C:$FA,7)</f>
        <v>301.64999999999998</v>
      </c>
      <c r="C109" s="144">
        <f>VLOOKUP($A109,'Data shares'!$C:$FA,3)</f>
        <v>303.14999999999998</v>
      </c>
      <c r="D109" s="144">
        <f>VLOOKUP($A109,'Data shares'!$C:$FA,23)</f>
        <v>1.5</v>
      </c>
      <c r="E109" s="145">
        <f>VLOOKUP($A109,'Data shares'!$C:$FA,26)*100</f>
        <v>0.5</v>
      </c>
      <c r="F109" s="144">
        <f>VLOOKUP($A109,'Data shares'!$C:$FA,24)</f>
        <v>0</v>
      </c>
      <c r="G109" s="144">
        <f>VLOOKUP($A109,'Data shares'!$C:$FA,25)</f>
        <v>1.5</v>
      </c>
    </row>
    <row r="110" spans="1:7" x14ac:dyDescent="0.25">
      <c r="A110" s="101" t="str">
        <f>'Data shares'!C106</f>
        <v>JINDALSTEL</v>
      </c>
      <c r="B110" s="144">
        <f>VLOOKUP($A110,'Data shares'!$C:$FA,7)</f>
        <v>1222.9000000000001</v>
      </c>
      <c r="C110" s="144">
        <f>VLOOKUP($A110,'Data shares'!$C:$FA,3)</f>
        <v>1232</v>
      </c>
      <c r="D110" s="144">
        <f>VLOOKUP($A110,'Data shares'!$C:$FA,23)</f>
        <v>9.1</v>
      </c>
      <c r="E110" s="145">
        <f>VLOOKUP($A110,'Data shares'!$C:$FA,26)*100</f>
        <v>0.74</v>
      </c>
      <c r="F110" s="144">
        <f>VLOOKUP($A110,'Data shares'!$C:$FA,24)</f>
        <v>1.8</v>
      </c>
      <c r="G110" s="144">
        <f>VLOOKUP($A110,'Data shares'!$C:$FA,25)</f>
        <v>7.3</v>
      </c>
    </row>
    <row r="111" spans="1:7" x14ac:dyDescent="0.25">
      <c r="A111" s="101" t="str">
        <f>'Data shares'!C107</f>
        <v>JIOFIN</v>
      </c>
      <c r="B111" s="144">
        <f>VLOOKUP($A111,'Data shares'!$C:$FA,7)</f>
        <v>240.67</v>
      </c>
      <c r="C111" s="144">
        <f>VLOOKUP($A111,'Data shares'!$C:$FA,3)</f>
        <v>242.09</v>
      </c>
      <c r="D111" s="144">
        <f>VLOOKUP($A111,'Data shares'!$C:$FA,23)</f>
        <v>1.42</v>
      </c>
      <c r="E111" s="145">
        <f>VLOOKUP($A111,'Data shares'!$C:$FA,26)*100</f>
        <v>0.59</v>
      </c>
      <c r="F111" s="144">
        <f>VLOOKUP($A111,'Data shares'!$C:$FA,24)</f>
        <v>0.15</v>
      </c>
      <c r="G111" s="144">
        <f>VLOOKUP($A111,'Data shares'!$C:$FA,25)</f>
        <v>1.27</v>
      </c>
    </row>
    <row r="112" spans="1:7" x14ac:dyDescent="0.25">
      <c r="A112" s="101" t="str">
        <f>'Data shares'!C108</f>
        <v>JSWENERGY</v>
      </c>
      <c r="B112" s="144">
        <f>VLOOKUP($A112,'Data shares'!$C:$FA,7)</f>
        <v>576</v>
      </c>
      <c r="C112" s="144">
        <f>VLOOKUP($A112,'Data shares'!$C:$FA,3)</f>
        <v>578.5</v>
      </c>
      <c r="D112" s="144">
        <f>VLOOKUP($A112,'Data shares'!$C:$FA,23)</f>
        <v>2.5</v>
      </c>
      <c r="E112" s="145">
        <f>VLOOKUP($A112,'Data shares'!$C:$FA,26)*100</f>
        <v>0.43</v>
      </c>
      <c r="F112" s="144">
        <f>VLOOKUP($A112,'Data shares'!$C:$FA,24)</f>
        <v>-0.4</v>
      </c>
      <c r="G112" s="144">
        <f>VLOOKUP($A112,'Data shares'!$C:$FA,25)</f>
        <v>2.9</v>
      </c>
    </row>
    <row r="113" spans="1:7" x14ac:dyDescent="0.25">
      <c r="A113" s="101" t="str">
        <f>'Data shares'!C109</f>
        <v>JSWSTEEL</v>
      </c>
      <c r="B113" s="144">
        <f>VLOOKUP($A113,'Data shares'!$C:$FA,7)</f>
        <v>1293.5999999999999</v>
      </c>
      <c r="C113" s="144">
        <f>VLOOKUP($A113,'Data shares'!$C:$FA,3)</f>
        <v>1301.2</v>
      </c>
      <c r="D113" s="144">
        <f>VLOOKUP($A113,'Data shares'!$C:$FA,23)</f>
        <v>7.6</v>
      </c>
      <c r="E113" s="145">
        <f>VLOOKUP($A113,'Data shares'!$C:$FA,26)*100</f>
        <v>0.59</v>
      </c>
      <c r="F113" s="144">
        <f>VLOOKUP($A113,'Data shares'!$C:$FA,24)</f>
        <v>0</v>
      </c>
      <c r="G113" s="144">
        <f>VLOOKUP($A113,'Data shares'!$C:$FA,25)</f>
        <v>7.6</v>
      </c>
    </row>
    <row r="114" spans="1:7" x14ac:dyDescent="0.25">
      <c r="A114" s="101" t="str">
        <f>'Data shares'!C110</f>
        <v>JUBLFOOD</v>
      </c>
      <c r="B114" s="144">
        <f>VLOOKUP($A114,'Data shares'!$C:$FA,7)</f>
        <v>430.05</v>
      </c>
      <c r="C114" s="144">
        <f>VLOOKUP($A114,'Data shares'!$C:$FA,3)</f>
        <v>430.55</v>
      </c>
      <c r="D114" s="144">
        <f>VLOOKUP($A114,'Data shares'!$C:$FA,23)</f>
        <v>0.5</v>
      </c>
      <c r="E114" s="145">
        <f>VLOOKUP($A114,'Data shares'!$C:$FA,26)*100</f>
        <v>0.12</v>
      </c>
      <c r="F114" s="144">
        <f>VLOOKUP($A114,'Data shares'!$C:$FA,24)</f>
        <v>2.0499999999999998</v>
      </c>
      <c r="G114" s="144">
        <f>VLOOKUP($A114,'Data shares'!$C:$FA,25)</f>
        <v>-1.55</v>
      </c>
    </row>
    <row r="115" spans="1:7" x14ac:dyDescent="0.25">
      <c r="A115" s="101" t="str">
        <f>'Data shares'!C111</f>
        <v>KALYANKJIL</v>
      </c>
      <c r="B115" s="144">
        <f>VLOOKUP($A115,'Data shares'!$C:$FA,7)</f>
        <v>355.45</v>
      </c>
      <c r="C115" s="144">
        <f>VLOOKUP($A115,'Data shares'!$C:$FA,3)</f>
        <v>358.2</v>
      </c>
      <c r="D115" s="144">
        <f>VLOOKUP($A115,'Data shares'!$C:$FA,23)</f>
        <v>2.75</v>
      </c>
      <c r="E115" s="145">
        <f>VLOOKUP($A115,'Data shares'!$C:$FA,26)*100</f>
        <v>0.77</v>
      </c>
      <c r="F115" s="144">
        <f>VLOOKUP($A115,'Data shares'!$C:$FA,24)</f>
        <v>1.45</v>
      </c>
      <c r="G115" s="144">
        <f>VLOOKUP($A115,'Data shares'!$C:$FA,25)</f>
        <v>1.3</v>
      </c>
    </row>
    <row r="116" spans="1:7" x14ac:dyDescent="0.25">
      <c r="A116" s="101" t="str">
        <f>'Data shares'!C112</f>
        <v>KAYNES</v>
      </c>
      <c r="B116" s="144">
        <f>VLOOKUP($A116,'Data shares'!$C:$FA,7)</f>
        <v>3299</v>
      </c>
      <c r="C116" s="144">
        <f>VLOOKUP($A116,'Data shares'!$C:$FA,3)</f>
        <v>3212.1</v>
      </c>
      <c r="D116" s="144">
        <f>VLOOKUP($A116,'Data shares'!$C:$FA,23)</f>
        <v>-86.9</v>
      </c>
      <c r="E116" s="145">
        <f>VLOOKUP($A116,'Data shares'!$C:$FA,26)*100</f>
        <v>-2.63</v>
      </c>
      <c r="F116" s="144">
        <f>VLOOKUP($A116,'Data shares'!$C:$FA,24)</f>
        <v>17.600000000000001</v>
      </c>
      <c r="G116" s="144">
        <f>VLOOKUP($A116,'Data shares'!$C:$FA,25)</f>
        <v>-104.5</v>
      </c>
    </row>
    <row r="117" spans="1:7" x14ac:dyDescent="0.25">
      <c r="A117" s="101" t="str">
        <f>'Data shares'!C113</f>
        <v>KEI</v>
      </c>
      <c r="B117" s="144">
        <f>VLOOKUP($A117,'Data shares'!$C:$FA,7)</f>
        <v>5305.5</v>
      </c>
      <c r="C117" s="144">
        <f>VLOOKUP($A117,'Data shares'!$C:$FA,3)</f>
        <v>5338.2</v>
      </c>
      <c r="D117" s="144">
        <f>VLOOKUP($A117,'Data shares'!$C:$FA,23)</f>
        <v>32.700000000000003</v>
      </c>
      <c r="E117" s="145">
        <f>VLOOKUP($A117,'Data shares'!$C:$FA,26)*100</f>
        <v>0.62</v>
      </c>
      <c r="F117" s="144">
        <f>VLOOKUP($A117,'Data shares'!$C:$FA,24)</f>
        <v>5.7</v>
      </c>
      <c r="G117" s="144">
        <f>VLOOKUP($A117,'Data shares'!$C:$FA,25)</f>
        <v>27</v>
      </c>
    </row>
    <row r="118" spans="1:7" x14ac:dyDescent="0.25">
      <c r="A118" s="101" t="str">
        <f>'Data shares'!C114</f>
        <v>KFINTECH</v>
      </c>
      <c r="B118" s="144">
        <f>VLOOKUP($A118,'Data shares'!$C:$FA,7)</f>
        <v>837.05</v>
      </c>
      <c r="C118" s="144">
        <f>VLOOKUP($A118,'Data shares'!$C:$FA,3)</f>
        <v>841.55</v>
      </c>
      <c r="D118" s="144">
        <f>VLOOKUP($A118,'Data shares'!$C:$FA,23)</f>
        <v>4.5</v>
      </c>
      <c r="E118" s="145">
        <f>VLOOKUP($A118,'Data shares'!$C:$FA,26)*100</f>
        <v>0.54</v>
      </c>
      <c r="F118" s="144">
        <f>VLOOKUP($A118,'Data shares'!$C:$FA,24)</f>
        <v>0.8</v>
      </c>
      <c r="G118" s="144">
        <f>VLOOKUP($A118,'Data shares'!$C:$FA,25)</f>
        <v>3.7</v>
      </c>
    </row>
    <row r="119" spans="1:7" x14ac:dyDescent="0.25">
      <c r="A119" s="101" t="str">
        <f>'Data shares'!C115</f>
        <v>KOTAKBANK</v>
      </c>
      <c r="B119" s="144">
        <f>VLOOKUP($A119,'Data shares'!$C:$FA,7)</f>
        <v>388.65</v>
      </c>
      <c r="C119" s="144">
        <f>VLOOKUP($A119,'Data shares'!$C:$FA,3)</f>
        <v>390.9</v>
      </c>
      <c r="D119" s="144">
        <f>VLOOKUP($A119,'Data shares'!$C:$FA,23)</f>
        <v>2.25</v>
      </c>
      <c r="E119" s="145">
        <f>VLOOKUP($A119,'Data shares'!$C:$FA,26)*100</f>
        <v>0.57999999999999996</v>
      </c>
      <c r="F119" s="144">
        <f>VLOOKUP($A119,'Data shares'!$C:$FA,24)</f>
        <v>0.85</v>
      </c>
      <c r="G119" s="144">
        <f>VLOOKUP($A119,'Data shares'!$C:$FA,25)</f>
        <v>1.4</v>
      </c>
    </row>
    <row r="120" spans="1:7" x14ac:dyDescent="0.25">
      <c r="A120" s="101" t="str">
        <f>'Data shares'!C116</f>
        <v>KPITTECH</v>
      </c>
      <c r="B120" s="144">
        <f>VLOOKUP($A120,'Data shares'!$C:$FA,7)</f>
        <v>784.7</v>
      </c>
      <c r="C120" s="144">
        <f>VLOOKUP($A120,'Data shares'!$C:$FA,3)</f>
        <v>764.85</v>
      </c>
      <c r="D120" s="144">
        <f>VLOOKUP($A120,'Data shares'!$C:$FA,23)</f>
        <v>-19.850000000000001</v>
      </c>
      <c r="E120" s="145">
        <f>VLOOKUP($A120,'Data shares'!$C:$FA,26)*100</f>
        <v>-2.5299999999999998</v>
      </c>
      <c r="F120" s="144">
        <f>VLOOKUP($A120,'Data shares'!$C:$FA,24)</f>
        <v>3.3</v>
      </c>
      <c r="G120" s="144">
        <f>VLOOKUP($A120,'Data shares'!$C:$FA,25)</f>
        <v>-23.15</v>
      </c>
    </row>
    <row r="121" spans="1:7" x14ac:dyDescent="0.25">
      <c r="A121" s="101" t="str">
        <f>'Data shares'!C117</f>
        <v>LAURUSLABS</v>
      </c>
      <c r="B121" s="144">
        <f>VLOOKUP($A121,'Data shares'!$C:$FA,7)</f>
        <v>1373.9</v>
      </c>
      <c r="C121" s="144">
        <f>VLOOKUP($A121,'Data shares'!$C:$FA,3)</f>
        <v>1381</v>
      </c>
      <c r="D121" s="144">
        <f>VLOOKUP($A121,'Data shares'!$C:$FA,23)</f>
        <v>7.1</v>
      </c>
      <c r="E121" s="145">
        <f>VLOOKUP($A121,'Data shares'!$C:$FA,26)*100</f>
        <v>0.52</v>
      </c>
      <c r="F121" s="144">
        <f>VLOOKUP($A121,'Data shares'!$C:$FA,24)</f>
        <v>1.1000000000000001</v>
      </c>
      <c r="G121" s="144">
        <f>VLOOKUP($A121,'Data shares'!$C:$FA,25)</f>
        <v>6</v>
      </c>
    </row>
    <row r="122" spans="1:7" x14ac:dyDescent="0.25">
      <c r="A122" s="101" t="str">
        <f>'Data shares'!C118</f>
        <v>LICHSGFIN</v>
      </c>
      <c r="B122" s="144">
        <f>VLOOKUP($A122,'Data shares'!$C:$FA,7)</f>
        <v>544.15</v>
      </c>
      <c r="C122" s="144">
        <f>VLOOKUP($A122,'Data shares'!$C:$FA,3)</f>
        <v>548.45000000000005</v>
      </c>
      <c r="D122" s="144">
        <f>VLOOKUP($A122,'Data shares'!$C:$FA,23)</f>
        <v>4.3</v>
      </c>
      <c r="E122" s="145">
        <f>VLOOKUP($A122,'Data shares'!$C:$FA,26)*100</f>
        <v>0.79</v>
      </c>
      <c r="F122" s="144">
        <f>VLOOKUP($A122,'Data shares'!$C:$FA,24)</f>
        <v>-0.05</v>
      </c>
      <c r="G122" s="144">
        <f>VLOOKUP($A122,'Data shares'!$C:$FA,25)</f>
        <v>4.3499999999999996</v>
      </c>
    </row>
    <row r="123" spans="1:7" x14ac:dyDescent="0.25">
      <c r="A123" s="101" t="str">
        <f>'Data shares'!C119</f>
        <v>LICI</v>
      </c>
      <c r="B123" s="144">
        <f>VLOOKUP($A123,'Data shares'!$C:$FA,7)</f>
        <v>854.9</v>
      </c>
      <c r="C123" s="144">
        <f>VLOOKUP($A123,'Data shares'!$C:$FA,3)</f>
        <v>861.25</v>
      </c>
      <c r="D123" s="144">
        <f>VLOOKUP($A123,'Data shares'!$C:$FA,23)</f>
        <v>6.35</v>
      </c>
      <c r="E123" s="145">
        <f>VLOOKUP($A123,'Data shares'!$C:$FA,26)*100</f>
        <v>0.74</v>
      </c>
      <c r="F123" s="144">
        <f>VLOOKUP($A123,'Data shares'!$C:$FA,24)</f>
        <v>0</v>
      </c>
      <c r="G123" s="144">
        <f>VLOOKUP($A123,'Data shares'!$C:$FA,25)</f>
        <v>6.35</v>
      </c>
    </row>
    <row r="124" spans="1:7" x14ac:dyDescent="0.25">
      <c r="A124" s="101" t="str">
        <f>'Data shares'!C120</f>
        <v>LODHA</v>
      </c>
      <c r="B124" s="144">
        <f>VLOOKUP($A124,'Data shares'!$C:$FA,7)</f>
        <v>903.7</v>
      </c>
      <c r="C124" s="144">
        <f>VLOOKUP($A124,'Data shares'!$C:$FA,3)</f>
        <v>908.85</v>
      </c>
      <c r="D124" s="144">
        <f>VLOOKUP($A124,'Data shares'!$C:$FA,23)</f>
        <v>5.15</v>
      </c>
      <c r="E124" s="145">
        <f>VLOOKUP($A124,'Data shares'!$C:$FA,26)*100</f>
        <v>0.57000000000000006</v>
      </c>
      <c r="F124" s="144">
        <f>VLOOKUP($A124,'Data shares'!$C:$FA,24)</f>
        <v>-0.85</v>
      </c>
      <c r="G124" s="144">
        <f>VLOOKUP($A124,'Data shares'!$C:$FA,25)</f>
        <v>6</v>
      </c>
    </row>
    <row r="125" spans="1:7" x14ac:dyDescent="0.25">
      <c r="A125" s="101" t="str">
        <f>'Data shares'!C121</f>
        <v>LT</v>
      </c>
      <c r="B125" s="144">
        <f>VLOOKUP($A125,'Data shares'!$C:$FA,7)</f>
        <v>4037.8</v>
      </c>
      <c r="C125" s="144">
        <f>VLOOKUP($A125,'Data shares'!$C:$FA,3)</f>
        <v>4057.7</v>
      </c>
      <c r="D125" s="144">
        <f>VLOOKUP($A125,'Data shares'!$C:$FA,23)</f>
        <v>19.899999999999999</v>
      </c>
      <c r="E125" s="145">
        <f>VLOOKUP($A125,'Data shares'!$C:$FA,26)*100</f>
        <v>0.49</v>
      </c>
      <c r="F125" s="144">
        <f>VLOOKUP($A125,'Data shares'!$C:$FA,24)</f>
        <v>0.8</v>
      </c>
      <c r="G125" s="144">
        <f>VLOOKUP($A125,'Data shares'!$C:$FA,25)</f>
        <v>19.100000000000001</v>
      </c>
    </row>
    <row r="126" spans="1:7" x14ac:dyDescent="0.25">
      <c r="A126" s="101" t="str">
        <f>'Data shares'!C122</f>
        <v>LTF</v>
      </c>
      <c r="B126" s="144">
        <f>VLOOKUP($A126,'Data shares'!$C:$FA,7)</f>
        <v>282.7</v>
      </c>
      <c r="C126" s="144">
        <f>VLOOKUP($A126,'Data shares'!$C:$FA,3)</f>
        <v>283.64999999999998</v>
      </c>
      <c r="D126" s="144">
        <f>VLOOKUP($A126,'Data shares'!$C:$FA,23)</f>
        <v>0.95</v>
      </c>
      <c r="E126" s="145">
        <f>VLOOKUP($A126,'Data shares'!$C:$FA,26)*100</f>
        <v>0.33999999999999997</v>
      </c>
      <c r="F126" s="144">
        <f>VLOOKUP($A126,'Data shares'!$C:$FA,24)</f>
        <v>0.1</v>
      </c>
      <c r="G126" s="144">
        <f>VLOOKUP($A126,'Data shares'!$C:$FA,25)</f>
        <v>0.85</v>
      </c>
    </row>
    <row r="127" spans="1:7" x14ac:dyDescent="0.25">
      <c r="A127" s="101" t="str">
        <f>'Data shares'!C123</f>
        <v>LTM</v>
      </c>
      <c r="B127" s="144">
        <f>VLOOKUP($A127,'Data shares'!$C:$FA,7)</f>
        <v>3970.4</v>
      </c>
      <c r="C127" s="144">
        <f>VLOOKUP($A127,'Data shares'!$C:$FA,3)</f>
        <v>3972.6</v>
      </c>
      <c r="D127" s="144">
        <f>VLOOKUP($A127,'Data shares'!$C:$FA,23)</f>
        <v>2.2000000000000002</v>
      </c>
      <c r="E127" s="145">
        <f>VLOOKUP($A127,'Data shares'!$C:$FA,26)*100</f>
        <v>0.06</v>
      </c>
      <c r="F127" s="144">
        <f>VLOOKUP($A127,'Data shares'!$C:$FA,24)</f>
        <v>0.2</v>
      </c>
      <c r="G127" s="144">
        <f>VLOOKUP($A127,'Data shares'!$C:$FA,25)</f>
        <v>2</v>
      </c>
    </row>
    <row r="128" spans="1:7" x14ac:dyDescent="0.25">
      <c r="A128" s="101" t="str">
        <f>'Data shares'!C124</f>
        <v>LUPIN</v>
      </c>
      <c r="B128" s="144">
        <f>VLOOKUP($A128,'Data shares'!$C:$FA,7)</f>
        <v>2266</v>
      </c>
      <c r="C128" s="144">
        <f>VLOOKUP($A128,'Data shares'!$C:$FA,3)</f>
        <v>2279.3000000000002</v>
      </c>
      <c r="D128" s="144">
        <f>VLOOKUP($A128,'Data shares'!$C:$FA,23)</f>
        <v>13.3</v>
      </c>
      <c r="E128" s="145">
        <f>VLOOKUP($A128,'Data shares'!$C:$FA,26)*100</f>
        <v>0.59</v>
      </c>
      <c r="F128" s="144">
        <f>VLOOKUP($A128,'Data shares'!$C:$FA,24)</f>
        <v>-8.4</v>
      </c>
      <c r="G128" s="144">
        <f>VLOOKUP($A128,'Data shares'!$C:$FA,25)</f>
        <v>21.7</v>
      </c>
    </row>
    <row r="129" spans="1:7" x14ac:dyDescent="0.25">
      <c r="A129" s="101" t="str">
        <f>'Data shares'!C125</f>
        <v>M&amp;M</v>
      </c>
      <c r="B129" s="144">
        <f>VLOOKUP($A129,'Data shares'!$C:$FA,7)</f>
        <v>3107.3</v>
      </c>
      <c r="C129" s="144">
        <f>VLOOKUP($A129,'Data shares'!$C:$FA,3)</f>
        <v>3127.8</v>
      </c>
      <c r="D129" s="144">
        <f>VLOOKUP($A129,'Data shares'!$C:$FA,23)</f>
        <v>20.5</v>
      </c>
      <c r="E129" s="145">
        <f>VLOOKUP($A129,'Data shares'!$C:$FA,26)*100</f>
        <v>0.66</v>
      </c>
      <c r="F129" s="144">
        <f>VLOOKUP($A129,'Data shares'!$C:$FA,24)</f>
        <v>6.6</v>
      </c>
      <c r="G129" s="144">
        <f>VLOOKUP($A129,'Data shares'!$C:$FA,25)</f>
        <v>13.9</v>
      </c>
    </row>
    <row r="130" spans="1:7" x14ac:dyDescent="0.25">
      <c r="A130" s="101" t="str">
        <f>'Data shares'!C126</f>
        <v>MANAPPURAM</v>
      </c>
      <c r="B130" s="144">
        <f>VLOOKUP($A130,'Data shares'!$C:$FA,7)</f>
        <v>330.25</v>
      </c>
      <c r="C130" s="144">
        <f>VLOOKUP($A130,'Data shares'!$C:$FA,3)</f>
        <v>332.65</v>
      </c>
      <c r="D130" s="144">
        <f>VLOOKUP($A130,'Data shares'!$C:$FA,23)</f>
        <v>2.4</v>
      </c>
      <c r="E130" s="145">
        <f>VLOOKUP($A130,'Data shares'!$C:$FA,26)*100</f>
        <v>0.73</v>
      </c>
      <c r="F130" s="144">
        <f>VLOOKUP($A130,'Data shares'!$C:$FA,24)</f>
        <v>0.5</v>
      </c>
      <c r="G130" s="144">
        <f>VLOOKUP($A130,'Data shares'!$C:$FA,25)</f>
        <v>1.9</v>
      </c>
    </row>
    <row r="131" spans="1:7" x14ac:dyDescent="0.25">
      <c r="A131" s="101" t="str">
        <f>'Data shares'!C127</f>
        <v>MANKIND</v>
      </c>
      <c r="B131" s="144">
        <f>VLOOKUP($A131,'Data shares'!$C:$FA,7)</f>
        <v>2423.6</v>
      </c>
      <c r="C131" s="144">
        <f>VLOOKUP($A131,'Data shares'!$C:$FA,3)</f>
        <v>2440.6</v>
      </c>
      <c r="D131" s="144">
        <f>VLOOKUP($A131,'Data shares'!$C:$FA,23)</f>
        <v>17</v>
      </c>
      <c r="E131" s="145">
        <f>VLOOKUP($A131,'Data shares'!$C:$FA,26)*100</f>
        <v>0.70000000000000007</v>
      </c>
      <c r="F131" s="144">
        <f>VLOOKUP($A131,'Data shares'!$C:$FA,24)</f>
        <v>3.9</v>
      </c>
      <c r="G131" s="144">
        <f>VLOOKUP($A131,'Data shares'!$C:$FA,25)</f>
        <v>13.1</v>
      </c>
    </row>
    <row r="132" spans="1:7" x14ac:dyDescent="0.25">
      <c r="A132" s="101" t="str">
        <f>'Data shares'!C128</f>
        <v>MARICO</v>
      </c>
      <c r="B132" s="144">
        <f>VLOOKUP($A132,'Data shares'!$C:$FA,7)</f>
        <v>830</v>
      </c>
      <c r="C132" s="144">
        <f>VLOOKUP($A132,'Data shares'!$C:$FA,3)</f>
        <v>834.35</v>
      </c>
      <c r="D132" s="144">
        <f>VLOOKUP($A132,'Data shares'!$C:$FA,23)</f>
        <v>4.3499999999999996</v>
      </c>
      <c r="E132" s="145">
        <f>VLOOKUP($A132,'Data shares'!$C:$FA,26)*100</f>
        <v>0.52</v>
      </c>
      <c r="F132" s="144">
        <f>VLOOKUP($A132,'Data shares'!$C:$FA,24)</f>
        <v>-1</v>
      </c>
      <c r="G132" s="144">
        <f>VLOOKUP($A132,'Data shares'!$C:$FA,25)</f>
        <v>5.35</v>
      </c>
    </row>
    <row r="133" spans="1:7" x14ac:dyDescent="0.25">
      <c r="A133" s="101" t="str">
        <f>'Data shares'!C129</f>
        <v>MARUTI</v>
      </c>
      <c r="B133" s="144">
        <f>VLOOKUP($A133,'Data shares'!$C:$FA,7)</f>
        <v>13208</v>
      </c>
      <c r="C133" s="144">
        <f>VLOOKUP($A133,'Data shares'!$C:$FA,3)</f>
        <v>13279</v>
      </c>
      <c r="D133" s="144">
        <f>VLOOKUP($A133,'Data shares'!$C:$FA,23)</f>
        <v>71</v>
      </c>
      <c r="E133" s="145">
        <f>VLOOKUP($A133,'Data shares'!$C:$FA,26)*100</f>
        <v>0.54</v>
      </c>
      <c r="F133" s="144">
        <f>VLOOKUP($A133,'Data shares'!$C:$FA,24)</f>
        <v>11</v>
      </c>
      <c r="G133" s="144">
        <f>VLOOKUP($A133,'Data shares'!$C:$FA,25)</f>
        <v>60</v>
      </c>
    </row>
    <row r="134" spans="1:7" x14ac:dyDescent="0.25">
      <c r="A134" s="101" t="str">
        <f>'Data shares'!C130</f>
        <v>MAXHEALTH</v>
      </c>
      <c r="B134" s="144">
        <f>VLOOKUP($A134,'Data shares'!$C:$FA,7)</f>
        <v>993.95</v>
      </c>
      <c r="C134" s="144">
        <f>VLOOKUP($A134,'Data shares'!$C:$FA,3)</f>
        <v>1000</v>
      </c>
      <c r="D134" s="144">
        <f>VLOOKUP($A134,'Data shares'!$C:$FA,23)</f>
        <v>6.05</v>
      </c>
      <c r="E134" s="145">
        <f>VLOOKUP($A134,'Data shares'!$C:$FA,26)*100</f>
        <v>0.61</v>
      </c>
      <c r="F134" s="144">
        <f>VLOOKUP($A134,'Data shares'!$C:$FA,24)</f>
        <v>3.5</v>
      </c>
      <c r="G134" s="144">
        <f>VLOOKUP($A134,'Data shares'!$C:$FA,25)</f>
        <v>2.5499999999999998</v>
      </c>
    </row>
    <row r="135" spans="1:7" x14ac:dyDescent="0.25">
      <c r="A135" s="101" t="str">
        <f>'Data shares'!C131</f>
        <v>MAZDOCK</v>
      </c>
      <c r="B135" s="144">
        <f>VLOOKUP($A135,'Data shares'!$C:$FA,7)</f>
        <v>2460.1</v>
      </c>
      <c r="C135" s="144">
        <f>VLOOKUP($A135,'Data shares'!$C:$FA,3)</f>
        <v>2473.5</v>
      </c>
      <c r="D135" s="144">
        <f>VLOOKUP($A135,'Data shares'!$C:$FA,23)</f>
        <v>13.4</v>
      </c>
      <c r="E135" s="145">
        <f>VLOOKUP($A135,'Data shares'!$C:$FA,26)*100</f>
        <v>0.54</v>
      </c>
      <c r="F135" s="144">
        <f>VLOOKUP($A135,'Data shares'!$C:$FA,24)</f>
        <v>-1.3</v>
      </c>
      <c r="G135" s="144">
        <f>VLOOKUP($A135,'Data shares'!$C:$FA,25)</f>
        <v>14.7</v>
      </c>
    </row>
    <row r="136" spans="1:7" x14ac:dyDescent="0.25">
      <c r="A136" s="101" t="str">
        <f>'Data shares'!C132</f>
        <v>MCX</v>
      </c>
      <c r="B136" s="144">
        <f>VLOOKUP($A136,'Data shares'!$C:$FA,7)</f>
        <v>3307.3</v>
      </c>
      <c r="C136" s="144">
        <f>VLOOKUP($A136,'Data shares'!$C:$FA,3)</f>
        <v>3321.6</v>
      </c>
      <c r="D136" s="144">
        <f>VLOOKUP($A136,'Data shares'!$C:$FA,23)</f>
        <v>14.3</v>
      </c>
      <c r="E136" s="145">
        <f>VLOOKUP($A136,'Data shares'!$C:$FA,26)*100</f>
        <v>0.43</v>
      </c>
      <c r="F136" s="144">
        <f>VLOOKUP($A136,'Data shares'!$C:$FA,24)</f>
        <v>-2.8</v>
      </c>
      <c r="G136" s="144">
        <f>VLOOKUP($A136,'Data shares'!$C:$FA,25)</f>
        <v>17.100000000000001</v>
      </c>
    </row>
    <row r="137" spans="1:7" x14ac:dyDescent="0.25">
      <c r="A137" s="101" t="str">
        <f>'Data shares'!C133</f>
        <v>MFSL</v>
      </c>
      <c r="B137" s="144">
        <f>VLOOKUP($A137,'Data shares'!$C:$FA,7)</f>
        <v>1725.6</v>
      </c>
      <c r="C137" s="144">
        <f>VLOOKUP($A137,'Data shares'!$C:$FA,3)</f>
        <v>1739</v>
      </c>
      <c r="D137" s="144">
        <f>VLOOKUP($A137,'Data shares'!$C:$FA,23)</f>
        <v>13.4</v>
      </c>
      <c r="E137" s="145">
        <f>VLOOKUP($A137,'Data shares'!$C:$FA,26)*100</f>
        <v>0.77999999999999992</v>
      </c>
      <c r="F137" s="144">
        <f>VLOOKUP($A137,'Data shares'!$C:$FA,24)</f>
        <v>-0.8</v>
      </c>
      <c r="G137" s="144">
        <f>VLOOKUP($A137,'Data shares'!$C:$FA,25)</f>
        <v>14.2</v>
      </c>
    </row>
    <row r="138" spans="1:7" x14ac:dyDescent="0.25">
      <c r="A138" s="101" t="str">
        <f>'Data shares'!C134</f>
        <v>MIDCPNIFTY</v>
      </c>
      <c r="B138" s="144">
        <f>VLOOKUP($A138,'Data shares'!$C:$FA,7)</f>
        <v>14675.6</v>
      </c>
      <c r="C138" s="144">
        <f>VLOOKUP($A138,'Data shares'!$C:$FA,3)</f>
        <v>14777.15</v>
      </c>
      <c r="D138" s="144">
        <f>VLOOKUP($A138,'Data shares'!$C:$FA,23)</f>
        <v>101.55</v>
      </c>
      <c r="E138" s="145">
        <f>VLOOKUP($A138,'Data shares'!$C:$FA,26)*100</f>
        <v>0.69</v>
      </c>
      <c r="F138" s="144">
        <f>VLOOKUP($A138,'Data shares'!$C:$FA,24)</f>
        <v>3.5</v>
      </c>
      <c r="G138" s="144">
        <f>VLOOKUP($A138,'Data shares'!$C:$FA,25)</f>
        <v>98.05</v>
      </c>
    </row>
    <row r="139" spans="1:7" x14ac:dyDescent="0.25">
      <c r="A139" s="101" t="str">
        <f>'Data shares'!C135</f>
        <v>MOTHERSON</v>
      </c>
      <c r="B139" s="144">
        <f>VLOOKUP($A139,'Data shares'!$C:$FA,7)</f>
        <v>135.82</v>
      </c>
      <c r="C139" s="144">
        <f>VLOOKUP($A139,'Data shares'!$C:$FA,3)</f>
        <v>136.74</v>
      </c>
      <c r="D139" s="144">
        <f>VLOOKUP($A139,'Data shares'!$C:$FA,23)</f>
        <v>0.92</v>
      </c>
      <c r="E139" s="145">
        <f>VLOOKUP($A139,'Data shares'!$C:$FA,26)*100</f>
        <v>0.67999999999999994</v>
      </c>
      <c r="F139" s="144">
        <f>VLOOKUP($A139,'Data shares'!$C:$FA,24)</f>
        <v>0.26</v>
      </c>
      <c r="G139" s="144">
        <f>VLOOKUP($A139,'Data shares'!$C:$FA,25)</f>
        <v>0.66</v>
      </c>
    </row>
    <row r="140" spans="1:7" x14ac:dyDescent="0.25">
      <c r="A140" s="101" t="str">
        <f>'Data shares'!C136</f>
        <v>MOTILALOFS</v>
      </c>
      <c r="B140" s="144">
        <f>VLOOKUP($A140,'Data shares'!$C:$FA,7)</f>
        <v>870.55</v>
      </c>
      <c r="C140" s="144">
        <f>VLOOKUP($A140,'Data shares'!$C:$FA,3)</f>
        <v>874.6</v>
      </c>
      <c r="D140" s="144">
        <f>VLOOKUP($A140,'Data shares'!$C:$FA,23)</f>
        <v>4.05</v>
      </c>
      <c r="E140" s="145">
        <f>VLOOKUP($A140,'Data shares'!$C:$FA,26)*100</f>
        <v>0.47000000000000003</v>
      </c>
      <c r="F140" s="144">
        <f>VLOOKUP($A140,'Data shares'!$C:$FA,24)</f>
        <v>-1</v>
      </c>
      <c r="G140" s="144">
        <f>VLOOKUP($A140,'Data shares'!$C:$FA,25)</f>
        <v>5.05</v>
      </c>
    </row>
    <row r="141" spans="1:7" x14ac:dyDescent="0.25">
      <c r="A141" s="101" t="str">
        <f>'Data shares'!C137</f>
        <v>MPHASIS</v>
      </c>
      <c r="B141" s="144">
        <f>VLOOKUP($A141,'Data shares'!$C:$FA,7)</f>
        <v>2265.3000000000002</v>
      </c>
      <c r="C141" s="144">
        <f>VLOOKUP($A141,'Data shares'!$C:$FA,3)</f>
        <v>2287.4</v>
      </c>
      <c r="D141" s="144">
        <f>VLOOKUP($A141,'Data shares'!$C:$FA,23)</f>
        <v>22.1</v>
      </c>
      <c r="E141" s="145">
        <f>VLOOKUP($A141,'Data shares'!$C:$FA,26)*100</f>
        <v>0.98</v>
      </c>
      <c r="F141" s="144">
        <f>VLOOKUP($A141,'Data shares'!$C:$FA,24)</f>
        <v>1.7</v>
      </c>
      <c r="G141" s="144">
        <f>VLOOKUP($A141,'Data shares'!$C:$FA,25)</f>
        <v>20.399999999999999</v>
      </c>
    </row>
    <row r="142" spans="1:7" x14ac:dyDescent="0.25">
      <c r="A142" s="101" t="str">
        <f>'Data shares'!C138</f>
        <v>MUTHOOTFIN</v>
      </c>
      <c r="B142" s="144">
        <f>VLOOKUP($A142,'Data shares'!$C:$FA,7)</f>
        <v>3331.5</v>
      </c>
      <c r="C142" s="144">
        <f>VLOOKUP($A142,'Data shares'!$C:$FA,3)</f>
        <v>3336.8</v>
      </c>
      <c r="D142" s="144">
        <f>VLOOKUP($A142,'Data shares'!$C:$FA,23)</f>
        <v>5.3</v>
      </c>
      <c r="E142" s="145">
        <f>VLOOKUP($A142,'Data shares'!$C:$FA,26)*100</f>
        <v>0.16</v>
      </c>
      <c r="F142" s="144">
        <f>VLOOKUP($A142,'Data shares'!$C:$FA,24)</f>
        <v>6.2</v>
      </c>
      <c r="G142" s="144">
        <f>VLOOKUP($A142,'Data shares'!$C:$FA,25)</f>
        <v>-0.9</v>
      </c>
    </row>
    <row r="143" spans="1:7" x14ac:dyDescent="0.25">
      <c r="A143" s="101" t="str">
        <f>'Data shares'!C139</f>
        <v>NAM-INDIA</v>
      </c>
      <c r="B143" s="144">
        <f>VLOOKUP($A143,'Data shares'!$C:$FA,7)</f>
        <v>1095.7</v>
      </c>
      <c r="C143" s="144">
        <f>VLOOKUP($A143,'Data shares'!$C:$FA,3)</f>
        <v>1091.2</v>
      </c>
      <c r="D143" s="144">
        <f>VLOOKUP($A143,'Data shares'!$C:$FA,23)</f>
        <v>-4.5</v>
      </c>
      <c r="E143" s="145">
        <f>VLOOKUP($A143,'Data shares'!$C:$FA,26)*100</f>
        <v>-0.41000000000000003</v>
      </c>
      <c r="F143" s="144">
        <f>VLOOKUP($A143,'Data shares'!$C:$FA,24)</f>
        <v>0.9</v>
      </c>
      <c r="G143" s="144">
        <f>VLOOKUP($A143,'Data shares'!$C:$FA,25)</f>
        <v>-5.4</v>
      </c>
    </row>
    <row r="144" spans="1:7" x14ac:dyDescent="0.25">
      <c r="A144" s="101" t="str">
        <f>'Data shares'!C140</f>
        <v>NATIONALUM</v>
      </c>
      <c r="B144" s="144">
        <f>VLOOKUP($A144,'Data shares'!$C:$FA,7)</f>
        <v>416.2</v>
      </c>
      <c r="C144" s="144">
        <f>VLOOKUP($A144,'Data shares'!$C:$FA,3)</f>
        <v>418.45</v>
      </c>
      <c r="D144" s="144">
        <f>VLOOKUP($A144,'Data shares'!$C:$FA,23)</f>
        <v>2.25</v>
      </c>
      <c r="E144" s="145">
        <f>VLOOKUP($A144,'Data shares'!$C:$FA,26)*100</f>
        <v>0.54</v>
      </c>
      <c r="F144" s="144">
        <f>VLOOKUP($A144,'Data shares'!$C:$FA,24)</f>
        <v>-0.2</v>
      </c>
      <c r="G144" s="144">
        <f>VLOOKUP($A144,'Data shares'!$C:$FA,25)</f>
        <v>2.4500000000000002</v>
      </c>
    </row>
    <row r="145" spans="1:7" x14ac:dyDescent="0.25">
      <c r="A145" s="101" t="str">
        <f>'Data shares'!C141</f>
        <v>NAUKRI</v>
      </c>
      <c r="B145" s="144">
        <f>VLOOKUP($A145,'Data shares'!$C:$FA,7)</f>
        <v>980.7</v>
      </c>
      <c r="C145" s="144">
        <f>VLOOKUP($A145,'Data shares'!$C:$FA,3)</f>
        <v>988.75</v>
      </c>
      <c r="D145" s="144">
        <f>VLOOKUP($A145,'Data shares'!$C:$FA,23)</f>
        <v>8.0500000000000007</v>
      </c>
      <c r="E145" s="145">
        <f>VLOOKUP($A145,'Data shares'!$C:$FA,26)*100</f>
        <v>0.82000000000000006</v>
      </c>
      <c r="F145" s="144">
        <f>VLOOKUP($A145,'Data shares'!$C:$FA,24)</f>
        <v>-0.15</v>
      </c>
      <c r="G145" s="144">
        <f>VLOOKUP($A145,'Data shares'!$C:$FA,25)</f>
        <v>8.1999999999999993</v>
      </c>
    </row>
    <row r="146" spans="1:7" x14ac:dyDescent="0.25">
      <c r="A146" s="101" t="str">
        <f>'Data shares'!C142</f>
        <v>NBCC</v>
      </c>
      <c r="B146" s="144">
        <f>VLOOKUP($A146,'Data shares'!$C:$FA,7)</f>
        <v>95.55</v>
      </c>
      <c r="C146" s="144">
        <f>VLOOKUP($A146,'Data shares'!$C:$FA,3)</f>
        <v>96.5</v>
      </c>
      <c r="D146" s="144">
        <f>VLOOKUP($A146,'Data shares'!$C:$FA,23)</f>
        <v>0.95</v>
      </c>
      <c r="E146" s="145">
        <f>VLOOKUP($A146,'Data shares'!$C:$FA,26)*100</f>
        <v>0.9900000000000001</v>
      </c>
      <c r="F146" s="144">
        <f>VLOOKUP($A146,'Data shares'!$C:$FA,24)</f>
        <v>0.11</v>
      </c>
      <c r="G146" s="144">
        <f>VLOOKUP($A146,'Data shares'!$C:$FA,25)</f>
        <v>0.84</v>
      </c>
    </row>
    <row r="147" spans="1:7" x14ac:dyDescent="0.25">
      <c r="A147" s="101" t="str">
        <f>'Data shares'!C143</f>
        <v>NESTLEIND</v>
      </c>
      <c r="B147" s="144">
        <f>VLOOKUP($A147,'Data shares'!$C:$FA,7)</f>
        <v>1428.6</v>
      </c>
      <c r="C147" s="144">
        <f>VLOOKUP($A147,'Data shares'!$C:$FA,3)</f>
        <v>1437</v>
      </c>
      <c r="D147" s="144">
        <f>VLOOKUP($A147,'Data shares'!$C:$FA,23)</f>
        <v>8.4</v>
      </c>
      <c r="E147" s="145">
        <f>VLOOKUP($A147,'Data shares'!$C:$FA,26)*100</f>
        <v>0.59</v>
      </c>
      <c r="F147" s="144">
        <f>VLOOKUP($A147,'Data shares'!$C:$FA,24)</f>
        <v>2.4</v>
      </c>
      <c r="G147" s="144">
        <f>VLOOKUP($A147,'Data shares'!$C:$FA,25)</f>
        <v>6</v>
      </c>
    </row>
    <row r="148" spans="1:7" x14ac:dyDescent="0.25">
      <c r="A148" s="101" t="str">
        <f>'Data shares'!C144</f>
        <v>NHPC</v>
      </c>
      <c r="B148" s="144">
        <f>VLOOKUP($A148,'Data shares'!$C:$FA,7)</f>
        <v>78.44</v>
      </c>
      <c r="C148" s="144">
        <f>VLOOKUP($A148,'Data shares'!$C:$FA,3)</f>
        <v>78.319999999999993</v>
      </c>
      <c r="D148" s="144">
        <f>VLOOKUP($A148,'Data shares'!$C:$FA,23)</f>
        <v>-0.12</v>
      </c>
      <c r="E148" s="145">
        <f>VLOOKUP($A148,'Data shares'!$C:$FA,26)*100</f>
        <v>-0.15</v>
      </c>
      <c r="F148" s="144">
        <f>VLOOKUP($A148,'Data shares'!$C:$FA,24)</f>
        <v>7.0000000000000007E-2</v>
      </c>
      <c r="G148" s="144">
        <f>VLOOKUP($A148,'Data shares'!$C:$FA,25)</f>
        <v>-0.19</v>
      </c>
    </row>
    <row r="149" spans="1:7" x14ac:dyDescent="0.25">
      <c r="A149" s="101" t="str">
        <f>'Data shares'!C145</f>
        <v>NIFTY</v>
      </c>
      <c r="B149" s="144">
        <f>VLOOKUP($A149,'Data shares'!$C:$FA,7)</f>
        <v>23913.7</v>
      </c>
      <c r="C149" s="144">
        <f>VLOOKUP($A149,'Data shares'!$C:$FA,3)</f>
        <v>23978.9</v>
      </c>
      <c r="D149" s="144">
        <f>VLOOKUP($A149,'Data shares'!$C:$FA,23)</f>
        <v>65.2</v>
      </c>
      <c r="E149" s="145">
        <f>VLOOKUP($A149,'Data shares'!$C:$FA,26)*100</f>
        <v>0.27</v>
      </c>
      <c r="F149" s="144">
        <f>VLOOKUP($A149,'Data shares'!$C:$FA,24)</f>
        <v>31.3</v>
      </c>
      <c r="G149" s="144">
        <f>VLOOKUP($A149,'Data shares'!$C:$FA,25)</f>
        <v>33.9</v>
      </c>
    </row>
    <row r="150" spans="1:7" x14ac:dyDescent="0.25">
      <c r="A150" s="101" t="str">
        <f>'Data shares'!C146</f>
        <v>NIFTYNXT50</v>
      </c>
      <c r="B150" s="144">
        <f>VLOOKUP($A150,'Data shares'!$C:$FA,7)</f>
        <v>70945.100000000006</v>
      </c>
      <c r="C150" s="144">
        <f>VLOOKUP($A150,'Data shares'!$C:$FA,3)</f>
        <v>71323.600000000006</v>
      </c>
      <c r="D150" s="144">
        <f>VLOOKUP($A150,'Data shares'!$C:$FA,23)</f>
        <v>378.5</v>
      </c>
      <c r="E150" s="145">
        <f>VLOOKUP($A150,'Data shares'!$C:$FA,26)*100</f>
        <v>0.53</v>
      </c>
      <c r="F150" s="144">
        <f>VLOOKUP($A150,'Data shares'!$C:$FA,24)</f>
        <v>105.15</v>
      </c>
      <c r="G150" s="144">
        <f>VLOOKUP($A150,'Data shares'!$C:$FA,25)</f>
        <v>273.35000000000002</v>
      </c>
    </row>
    <row r="151" spans="1:7" x14ac:dyDescent="0.25">
      <c r="A151" s="101" t="str">
        <f>'Data shares'!C147</f>
        <v>NMDC</v>
      </c>
      <c r="B151" s="144">
        <f>VLOOKUP($A151,'Data shares'!$C:$FA,7)</f>
        <v>90.67</v>
      </c>
      <c r="C151" s="144">
        <f>VLOOKUP($A151,'Data shares'!$C:$FA,3)</f>
        <v>91.36</v>
      </c>
      <c r="D151" s="144">
        <f>VLOOKUP($A151,'Data shares'!$C:$FA,23)</f>
        <v>0.69</v>
      </c>
      <c r="E151" s="145">
        <f>VLOOKUP($A151,'Data shares'!$C:$FA,26)*100</f>
        <v>0.76</v>
      </c>
      <c r="F151" s="144">
        <f>VLOOKUP($A151,'Data shares'!$C:$FA,24)</f>
        <v>0.23</v>
      </c>
      <c r="G151" s="144">
        <f>VLOOKUP($A151,'Data shares'!$C:$FA,25)</f>
        <v>0.46</v>
      </c>
    </row>
    <row r="152" spans="1:7" x14ac:dyDescent="0.25">
      <c r="A152" s="101" t="str">
        <f>'Data shares'!C148</f>
        <v>NTPC</v>
      </c>
      <c r="B152" s="144">
        <f>VLOOKUP($A152,'Data shares'!$C:$FA,7)</f>
        <v>389.7</v>
      </c>
      <c r="C152" s="144">
        <f>VLOOKUP($A152,'Data shares'!$C:$FA,3)</f>
        <v>392.65</v>
      </c>
      <c r="D152" s="144">
        <f>VLOOKUP($A152,'Data shares'!$C:$FA,23)</f>
        <v>2.95</v>
      </c>
      <c r="E152" s="145">
        <f>VLOOKUP($A152,'Data shares'!$C:$FA,26)*100</f>
        <v>0.76</v>
      </c>
      <c r="F152" s="144">
        <f>VLOOKUP($A152,'Data shares'!$C:$FA,24)</f>
        <v>0.2</v>
      </c>
      <c r="G152" s="144">
        <f>VLOOKUP($A152,'Data shares'!$C:$FA,25)</f>
        <v>2.75</v>
      </c>
    </row>
    <row r="153" spans="1:7" x14ac:dyDescent="0.25">
      <c r="A153" s="101" t="str">
        <f>'Data shares'!C149</f>
        <v>NUVAMA</v>
      </c>
      <c r="B153" s="144">
        <f>VLOOKUP($A153,'Data shares'!$C:$FA,7)</f>
        <v>1513.4</v>
      </c>
      <c r="C153" s="144">
        <f>VLOOKUP($A153,'Data shares'!$C:$FA,3)</f>
        <v>1523.8</v>
      </c>
      <c r="D153" s="144">
        <f>VLOOKUP($A153,'Data shares'!$C:$FA,23)</f>
        <v>10.4</v>
      </c>
      <c r="E153" s="145">
        <f>VLOOKUP($A153,'Data shares'!$C:$FA,26)*100</f>
        <v>0.69</v>
      </c>
      <c r="F153" s="144">
        <f>VLOOKUP($A153,'Data shares'!$C:$FA,24)</f>
        <v>0.4</v>
      </c>
      <c r="G153" s="144">
        <f>VLOOKUP($A153,'Data shares'!$C:$FA,25)</f>
        <v>10</v>
      </c>
    </row>
    <row r="154" spans="1:7" x14ac:dyDescent="0.25">
      <c r="A154" s="101" t="str">
        <f>'Data shares'!C150</f>
        <v>NYKAA</v>
      </c>
      <c r="B154" s="144">
        <f>VLOOKUP($A154,'Data shares'!$C:$FA,7)</f>
        <v>266.35000000000002</v>
      </c>
      <c r="C154" s="144">
        <f>VLOOKUP($A154,'Data shares'!$C:$FA,3)</f>
        <v>268.14999999999998</v>
      </c>
      <c r="D154" s="144">
        <f>VLOOKUP($A154,'Data shares'!$C:$FA,23)</f>
        <v>1.8</v>
      </c>
      <c r="E154" s="145">
        <f>VLOOKUP($A154,'Data shares'!$C:$FA,26)*100</f>
        <v>0.67999999999999994</v>
      </c>
      <c r="F154" s="144">
        <f>VLOOKUP($A154,'Data shares'!$C:$FA,24)</f>
        <v>0.05</v>
      </c>
      <c r="G154" s="144">
        <f>VLOOKUP($A154,'Data shares'!$C:$FA,25)</f>
        <v>1.75</v>
      </c>
    </row>
    <row r="155" spans="1:7" x14ac:dyDescent="0.25">
      <c r="A155" s="101" t="str">
        <f>'Data shares'!C151</f>
        <v>OBEROIRLTY</v>
      </c>
      <c r="B155" s="144">
        <f>VLOOKUP($A155,'Data shares'!$C:$FA,7)</f>
        <v>1693.7</v>
      </c>
      <c r="C155" s="144">
        <f>VLOOKUP($A155,'Data shares'!$C:$FA,3)</f>
        <v>1685.7</v>
      </c>
      <c r="D155" s="144">
        <f>VLOOKUP($A155,'Data shares'!$C:$FA,23)</f>
        <v>-8</v>
      </c>
      <c r="E155" s="145">
        <f>VLOOKUP($A155,'Data shares'!$C:$FA,26)*100</f>
        <v>-0.47000000000000003</v>
      </c>
      <c r="F155" s="144">
        <f>VLOOKUP($A155,'Data shares'!$C:$FA,24)</f>
        <v>8.5</v>
      </c>
      <c r="G155" s="144">
        <f>VLOOKUP($A155,'Data shares'!$C:$FA,25)</f>
        <v>-16.5</v>
      </c>
    </row>
    <row r="156" spans="1:7" x14ac:dyDescent="0.25">
      <c r="A156" s="101" t="str">
        <f>'Data shares'!C152</f>
        <v>OFSS</v>
      </c>
      <c r="B156" s="144">
        <f>VLOOKUP($A156,'Data shares'!$C:$FA,7)</f>
        <v>9882</v>
      </c>
      <c r="C156" s="144">
        <f>VLOOKUP($A156,'Data shares'!$C:$FA,3)</f>
        <v>9783</v>
      </c>
      <c r="D156" s="144">
        <f>VLOOKUP($A156,'Data shares'!$C:$FA,23)</f>
        <v>-99</v>
      </c>
      <c r="E156" s="145">
        <f>VLOOKUP($A156,'Data shares'!$C:$FA,26)*100</f>
        <v>-1</v>
      </c>
      <c r="F156" s="144">
        <f>VLOOKUP($A156,'Data shares'!$C:$FA,24)</f>
        <v>5</v>
      </c>
      <c r="G156" s="144">
        <f>VLOOKUP($A156,'Data shares'!$C:$FA,25)</f>
        <v>-104</v>
      </c>
    </row>
    <row r="157" spans="1:7" x14ac:dyDescent="0.25">
      <c r="A157" s="101" t="str">
        <f>'Data shares'!C153</f>
        <v>OIL</v>
      </c>
      <c r="B157" s="144">
        <f>VLOOKUP($A157,'Data shares'!$C:$FA,7)</f>
        <v>492.1</v>
      </c>
      <c r="C157" s="144">
        <f>VLOOKUP($A157,'Data shares'!$C:$FA,3)</f>
        <v>496.35</v>
      </c>
      <c r="D157" s="144">
        <f>VLOOKUP($A157,'Data shares'!$C:$FA,23)</f>
        <v>4.25</v>
      </c>
      <c r="E157" s="145">
        <f>VLOOKUP($A157,'Data shares'!$C:$FA,26)*100</f>
        <v>0.86</v>
      </c>
      <c r="F157" s="144">
        <f>VLOOKUP($A157,'Data shares'!$C:$FA,24)</f>
        <v>0.9</v>
      </c>
      <c r="G157" s="144">
        <f>VLOOKUP($A157,'Data shares'!$C:$FA,25)</f>
        <v>3.35</v>
      </c>
    </row>
    <row r="158" spans="1:7" x14ac:dyDescent="0.25">
      <c r="A158" s="101" t="str">
        <f>'Data shares'!C154</f>
        <v>ONGC</v>
      </c>
      <c r="B158" s="144">
        <f>VLOOKUP($A158,'Data shares'!$C:$FA,7)</f>
        <v>287.5</v>
      </c>
      <c r="C158" s="144">
        <f>VLOOKUP($A158,'Data shares'!$C:$FA,3)</f>
        <v>289.85000000000002</v>
      </c>
      <c r="D158" s="144">
        <f>VLOOKUP($A158,'Data shares'!$C:$FA,23)</f>
        <v>2.35</v>
      </c>
      <c r="E158" s="145">
        <f>VLOOKUP($A158,'Data shares'!$C:$FA,26)*100</f>
        <v>0.82000000000000006</v>
      </c>
      <c r="F158" s="144">
        <f>VLOOKUP($A158,'Data shares'!$C:$FA,24)</f>
        <v>0.3</v>
      </c>
      <c r="G158" s="144">
        <f>VLOOKUP($A158,'Data shares'!$C:$FA,25)</f>
        <v>2.0499999999999998</v>
      </c>
    </row>
    <row r="159" spans="1:7" x14ac:dyDescent="0.25">
      <c r="A159" s="101" t="str">
        <f>'Data shares'!C155</f>
        <v>PAGEIND</v>
      </c>
      <c r="B159" s="144">
        <f>VLOOKUP($A159,'Data shares'!$C:$FA,7)</f>
        <v>38305</v>
      </c>
      <c r="C159" s="144">
        <f>VLOOKUP($A159,'Data shares'!$C:$FA,3)</f>
        <v>38375</v>
      </c>
      <c r="D159" s="144">
        <f>VLOOKUP($A159,'Data shares'!$C:$FA,23)</f>
        <v>70</v>
      </c>
      <c r="E159" s="145">
        <f>VLOOKUP($A159,'Data shares'!$C:$FA,26)*100</f>
        <v>0.18</v>
      </c>
      <c r="F159" s="144">
        <f>VLOOKUP($A159,'Data shares'!$C:$FA,24)</f>
        <v>0</v>
      </c>
      <c r="G159" s="144">
        <f>VLOOKUP($A159,'Data shares'!$C:$FA,25)</f>
        <v>70</v>
      </c>
    </row>
    <row r="160" spans="1:7" x14ac:dyDescent="0.25">
      <c r="A160" s="101" t="str">
        <f>'Data shares'!C156</f>
        <v>PATANJALI</v>
      </c>
      <c r="B160" s="144">
        <f>VLOOKUP($A160,'Data shares'!$C:$FA,7)</f>
        <v>465.75</v>
      </c>
      <c r="C160" s="144">
        <f>VLOOKUP($A160,'Data shares'!$C:$FA,3)</f>
        <v>467.35</v>
      </c>
      <c r="D160" s="144">
        <f>VLOOKUP($A160,'Data shares'!$C:$FA,23)</f>
        <v>1.6</v>
      </c>
      <c r="E160" s="145">
        <f>VLOOKUP($A160,'Data shares'!$C:$FA,26)*100</f>
        <v>0.33999999999999997</v>
      </c>
      <c r="F160" s="144">
        <f>VLOOKUP($A160,'Data shares'!$C:$FA,24)</f>
        <v>-0.2</v>
      </c>
      <c r="G160" s="144">
        <f>VLOOKUP($A160,'Data shares'!$C:$FA,25)</f>
        <v>1.8</v>
      </c>
    </row>
    <row r="161" spans="1:7" x14ac:dyDescent="0.25">
      <c r="A161" s="101" t="str">
        <f>'Data shares'!C157</f>
        <v>PAYTM</v>
      </c>
      <c r="B161" s="144">
        <f>VLOOKUP($A161,'Data shares'!$C:$FA,7)</f>
        <v>1131.5999999999999</v>
      </c>
      <c r="C161" s="144">
        <f>VLOOKUP($A161,'Data shares'!$C:$FA,3)</f>
        <v>1141.3</v>
      </c>
      <c r="D161" s="144">
        <f>VLOOKUP($A161,'Data shares'!$C:$FA,23)</f>
        <v>9.6999999999999993</v>
      </c>
      <c r="E161" s="145">
        <f>VLOOKUP($A161,'Data shares'!$C:$FA,26)*100</f>
        <v>0.86</v>
      </c>
      <c r="F161" s="144">
        <f>VLOOKUP($A161,'Data shares'!$C:$FA,24)</f>
        <v>0</v>
      </c>
      <c r="G161" s="144">
        <f>VLOOKUP($A161,'Data shares'!$C:$FA,25)</f>
        <v>9.6999999999999993</v>
      </c>
    </row>
    <row r="162" spans="1:7" x14ac:dyDescent="0.25">
      <c r="A162" s="101" t="str">
        <f>'Data shares'!C158</f>
        <v>PERSISTENT</v>
      </c>
      <c r="B162" s="144">
        <f>VLOOKUP($A162,'Data shares'!$C:$FA,7)</f>
        <v>5105.8</v>
      </c>
      <c r="C162" s="144">
        <f>VLOOKUP($A162,'Data shares'!$C:$FA,3)</f>
        <v>5111.8</v>
      </c>
      <c r="D162" s="144">
        <f>VLOOKUP($A162,'Data shares'!$C:$FA,23)</f>
        <v>6</v>
      </c>
      <c r="E162" s="145">
        <f>VLOOKUP($A162,'Data shares'!$C:$FA,26)*100</f>
        <v>0.12</v>
      </c>
      <c r="F162" s="144">
        <f>VLOOKUP($A162,'Data shares'!$C:$FA,24)</f>
        <v>21.2</v>
      </c>
      <c r="G162" s="144">
        <f>VLOOKUP($A162,'Data shares'!$C:$FA,25)</f>
        <v>-15.2</v>
      </c>
    </row>
    <row r="163" spans="1:7" x14ac:dyDescent="0.25">
      <c r="A163" s="101" t="str">
        <f>'Data shares'!C159</f>
        <v>PETRONET</v>
      </c>
      <c r="B163" s="144">
        <f>VLOOKUP($A163,'Data shares'!$C:$FA,7)</f>
        <v>280.2</v>
      </c>
      <c r="C163" s="144">
        <f>VLOOKUP($A163,'Data shares'!$C:$FA,3)</f>
        <v>281.85000000000002</v>
      </c>
      <c r="D163" s="144">
        <f>VLOOKUP($A163,'Data shares'!$C:$FA,23)</f>
        <v>1.65</v>
      </c>
      <c r="E163" s="145">
        <f>VLOOKUP($A163,'Data shares'!$C:$FA,26)*100</f>
        <v>0.59</v>
      </c>
      <c r="F163" s="144">
        <f>VLOOKUP($A163,'Data shares'!$C:$FA,24)</f>
        <v>0.15</v>
      </c>
      <c r="G163" s="144">
        <f>VLOOKUP($A163,'Data shares'!$C:$FA,25)</f>
        <v>1.5</v>
      </c>
    </row>
    <row r="164" spans="1:7" x14ac:dyDescent="0.25">
      <c r="A164" s="101" t="str">
        <f>'Data shares'!C160</f>
        <v>PFC</v>
      </c>
      <c r="B164" s="144">
        <f>VLOOKUP($A164,'Data shares'!$C:$FA,7)</f>
        <v>433.7</v>
      </c>
      <c r="C164" s="144">
        <f>VLOOKUP($A164,'Data shares'!$C:$FA,3)</f>
        <v>434.5</v>
      </c>
      <c r="D164" s="144">
        <f>VLOOKUP($A164,'Data shares'!$C:$FA,23)</f>
        <v>0.8</v>
      </c>
      <c r="E164" s="145">
        <f>VLOOKUP($A164,'Data shares'!$C:$FA,26)*100</f>
        <v>0.18</v>
      </c>
      <c r="F164" s="144">
        <f>VLOOKUP($A164,'Data shares'!$C:$FA,24)</f>
        <v>0.6</v>
      </c>
      <c r="G164" s="144">
        <f>VLOOKUP($A164,'Data shares'!$C:$FA,25)</f>
        <v>0.2</v>
      </c>
    </row>
    <row r="165" spans="1:7" x14ac:dyDescent="0.25">
      <c r="A165" s="101" t="str">
        <f>'Data shares'!C161</f>
        <v>PGEL</v>
      </c>
      <c r="B165" s="144">
        <f>VLOOKUP($A165,'Data shares'!$C:$FA,7)</f>
        <v>466.95</v>
      </c>
      <c r="C165" s="144">
        <f>VLOOKUP($A165,'Data shares'!$C:$FA,3)</f>
        <v>468.3</v>
      </c>
      <c r="D165" s="144">
        <f>VLOOKUP($A165,'Data shares'!$C:$FA,23)</f>
        <v>1.35</v>
      </c>
      <c r="E165" s="145">
        <f>VLOOKUP($A165,'Data shares'!$C:$FA,26)*100</f>
        <v>0.28999999999999998</v>
      </c>
      <c r="F165" s="144">
        <f>VLOOKUP($A165,'Data shares'!$C:$FA,24)</f>
        <v>1.6</v>
      </c>
      <c r="G165" s="144">
        <f>VLOOKUP($A165,'Data shares'!$C:$FA,25)</f>
        <v>-0.25</v>
      </c>
    </row>
    <row r="166" spans="1:7" x14ac:dyDescent="0.25">
      <c r="A166" s="101" t="str">
        <f>'Data shares'!C162</f>
        <v>PHOENIXLTD</v>
      </c>
      <c r="B166" s="144">
        <f>VLOOKUP($A166,'Data shares'!$C:$FA,7)</f>
        <v>1785.4</v>
      </c>
      <c r="C166" s="144">
        <f>VLOOKUP($A166,'Data shares'!$C:$FA,3)</f>
        <v>1796.1</v>
      </c>
      <c r="D166" s="144">
        <f>VLOOKUP($A166,'Data shares'!$C:$FA,23)</f>
        <v>10.7</v>
      </c>
      <c r="E166" s="145">
        <f>VLOOKUP($A166,'Data shares'!$C:$FA,26)*100</f>
        <v>0.6</v>
      </c>
      <c r="F166" s="144">
        <f>VLOOKUP($A166,'Data shares'!$C:$FA,24)</f>
        <v>4.2</v>
      </c>
      <c r="G166" s="144">
        <f>VLOOKUP($A166,'Data shares'!$C:$FA,25)</f>
        <v>6.5</v>
      </c>
    </row>
    <row r="167" spans="1:7" x14ac:dyDescent="0.25">
      <c r="A167" s="101" t="str">
        <f>'Data shares'!C163</f>
        <v>PIDILITIND</v>
      </c>
      <c r="B167" s="144">
        <f>VLOOKUP($A167,'Data shares'!$C:$FA,7)</f>
        <v>1478.5</v>
      </c>
      <c r="C167" s="144">
        <f>VLOOKUP($A167,'Data shares'!$C:$FA,3)</f>
        <v>1485.6</v>
      </c>
      <c r="D167" s="144">
        <f>VLOOKUP($A167,'Data shares'!$C:$FA,23)</f>
        <v>7.1</v>
      </c>
      <c r="E167" s="145">
        <f>VLOOKUP($A167,'Data shares'!$C:$FA,26)*100</f>
        <v>0.48</v>
      </c>
      <c r="F167" s="144">
        <f>VLOOKUP($A167,'Data shares'!$C:$FA,24)</f>
        <v>0.9</v>
      </c>
      <c r="G167" s="144">
        <f>VLOOKUP($A167,'Data shares'!$C:$FA,25)</f>
        <v>6.2</v>
      </c>
    </row>
    <row r="168" spans="1:7" s="175" customFormat="1" x14ac:dyDescent="0.25">
      <c r="A168" s="101" t="str">
        <f>'Data shares'!C164</f>
        <v>PIIND</v>
      </c>
      <c r="B168" s="144">
        <f>VLOOKUP($A168,'Data shares'!$C:$FA,7)</f>
        <v>2837.9</v>
      </c>
      <c r="C168" s="144">
        <f>VLOOKUP($A168,'Data shares'!$C:$FA,3)</f>
        <v>2807.2</v>
      </c>
      <c r="D168" s="144">
        <f>VLOOKUP($A168,'Data shares'!$C:$FA,23)</f>
        <v>-30.7</v>
      </c>
      <c r="E168" s="145">
        <f>VLOOKUP($A168,'Data shares'!$C:$FA,26)*100</f>
        <v>-1.08</v>
      </c>
      <c r="F168" s="144">
        <f>VLOOKUP($A168,'Data shares'!$C:$FA,24)</f>
        <v>13.8</v>
      </c>
      <c r="G168" s="144">
        <f>VLOOKUP($A168,'Data shares'!$C:$FA,25)</f>
        <v>-44.5</v>
      </c>
    </row>
    <row r="169" spans="1:7" x14ac:dyDescent="0.25">
      <c r="A169" s="101" t="str">
        <f>'Data shares'!C165</f>
        <v>PNB</v>
      </c>
      <c r="B169" s="144">
        <f>VLOOKUP($A169,'Data shares'!$C:$FA,7)</f>
        <v>105.91</v>
      </c>
      <c r="C169" s="144">
        <f>VLOOKUP($A169,'Data shares'!$C:$FA,3)</f>
        <v>106.79</v>
      </c>
      <c r="D169" s="144">
        <f>VLOOKUP($A169,'Data shares'!$C:$FA,23)</f>
        <v>0.88</v>
      </c>
      <c r="E169" s="145">
        <f>VLOOKUP($A169,'Data shares'!$C:$FA,26)*100</f>
        <v>0.83</v>
      </c>
      <c r="F169" s="144">
        <f>VLOOKUP($A169,'Data shares'!$C:$FA,24)</f>
        <v>0.17</v>
      </c>
      <c r="G169" s="144">
        <f>VLOOKUP($A169,'Data shares'!$C:$FA,25)</f>
        <v>0.71</v>
      </c>
    </row>
    <row r="170" spans="1:7" x14ac:dyDescent="0.25">
      <c r="A170" s="101" t="str">
        <f>'Data shares'!C166</f>
        <v>PNBHOUSING</v>
      </c>
      <c r="B170" s="144">
        <f>VLOOKUP($A170,'Data shares'!$C:$FA,7)</f>
        <v>1092.5999999999999</v>
      </c>
      <c r="C170" s="144">
        <f>VLOOKUP($A170,'Data shares'!$C:$FA,3)</f>
        <v>1100.7</v>
      </c>
      <c r="D170" s="144">
        <f>VLOOKUP($A170,'Data shares'!$C:$FA,23)</f>
        <v>8.1</v>
      </c>
      <c r="E170" s="145">
        <f>VLOOKUP($A170,'Data shares'!$C:$FA,26)*100</f>
        <v>0.74</v>
      </c>
      <c r="F170" s="144">
        <f>VLOOKUP($A170,'Data shares'!$C:$FA,24)</f>
        <v>1.3</v>
      </c>
      <c r="G170" s="144">
        <f>VLOOKUP($A170,'Data shares'!$C:$FA,25)</f>
        <v>6.8</v>
      </c>
    </row>
    <row r="171" spans="1:7" x14ac:dyDescent="0.25">
      <c r="A171" s="101" t="str">
        <f>'Data shares'!C167</f>
        <v>POLICYBZR</v>
      </c>
      <c r="B171" s="144">
        <f>VLOOKUP($A171,'Data shares'!$C:$FA,7)</f>
        <v>1789</v>
      </c>
      <c r="C171" s="144">
        <f>VLOOKUP($A171,'Data shares'!$C:$FA,3)</f>
        <v>1797.9</v>
      </c>
      <c r="D171" s="144">
        <f>VLOOKUP($A171,'Data shares'!$C:$FA,23)</f>
        <v>8.9</v>
      </c>
      <c r="E171" s="145">
        <f>VLOOKUP($A171,'Data shares'!$C:$FA,26)*100</f>
        <v>0.5</v>
      </c>
      <c r="F171" s="144">
        <f>VLOOKUP($A171,'Data shares'!$C:$FA,24)</f>
        <v>5.0999999999999996</v>
      </c>
      <c r="G171" s="144">
        <f>VLOOKUP($A171,'Data shares'!$C:$FA,25)</f>
        <v>3.8</v>
      </c>
    </row>
    <row r="172" spans="1:7" x14ac:dyDescent="0.25">
      <c r="A172" s="101" t="str">
        <f>'Data shares'!C168</f>
        <v>POLYCAB</v>
      </c>
      <c r="B172" s="144">
        <f>VLOOKUP($A172,'Data shares'!$C:$FA,7)</f>
        <v>9613.5</v>
      </c>
      <c r="C172" s="144">
        <f>VLOOKUP($A172,'Data shares'!$C:$FA,3)</f>
        <v>9617.5</v>
      </c>
      <c r="D172" s="144">
        <f>VLOOKUP($A172,'Data shares'!$C:$FA,23)</f>
        <v>4</v>
      </c>
      <c r="E172" s="145">
        <f>VLOOKUP($A172,'Data shares'!$C:$FA,26)*100</f>
        <v>0.04</v>
      </c>
      <c r="F172" s="144">
        <f>VLOOKUP($A172,'Data shares'!$C:$FA,24)</f>
        <v>-0.5</v>
      </c>
      <c r="G172" s="144">
        <f>VLOOKUP($A172,'Data shares'!$C:$FA,25)</f>
        <v>4.5</v>
      </c>
    </row>
    <row r="173" spans="1:7" x14ac:dyDescent="0.25">
      <c r="A173" s="101" t="str">
        <f>'Data shares'!C169</f>
        <v>POWERGRID</v>
      </c>
      <c r="B173" s="144">
        <f>VLOOKUP($A173,'Data shares'!$C:$FA,7)</f>
        <v>292.55</v>
      </c>
      <c r="C173" s="144">
        <f>VLOOKUP($A173,'Data shares'!$C:$FA,3)</f>
        <v>294.7</v>
      </c>
      <c r="D173" s="144">
        <f>VLOOKUP($A173,'Data shares'!$C:$FA,23)</f>
        <v>2.15</v>
      </c>
      <c r="E173" s="145">
        <f>VLOOKUP($A173,'Data shares'!$C:$FA,26)*100</f>
        <v>0.73</v>
      </c>
      <c r="F173" s="144">
        <f>VLOOKUP($A173,'Data shares'!$C:$FA,24)</f>
        <v>0.05</v>
      </c>
      <c r="G173" s="144">
        <f>VLOOKUP($A173,'Data shares'!$C:$FA,25)</f>
        <v>2.1</v>
      </c>
    </row>
    <row r="174" spans="1:7" x14ac:dyDescent="0.25">
      <c r="A174" s="101" t="str">
        <f>'Data shares'!C170</f>
        <v>POWERINDIA</v>
      </c>
      <c r="B174" s="144">
        <f>VLOOKUP($A174,'Data shares'!$C:$FA,7)</f>
        <v>35995</v>
      </c>
      <c r="C174" s="144">
        <f>VLOOKUP($A174,'Data shares'!$C:$FA,3)</f>
        <v>36250</v>
      </c>
      <c r="D174" s="144">
        <f>VLOOKUP($A174,'Data shares'!$C:$FA,23)</f>
        <v>255</v>
      </c>
      <c r="E174" s="145">
        <f>VLOOKUP($A174,'Data shares'!$C:$FA,26)*100</f>
        <v>0.71000000000000008</v>
      </c>
      <c r="F174" s="144">
        <f>VLOOKUP($A174,'Data shares'!$C:$FA,24)</f>
        <v>-5</v>
      </c>
      <c r="G174" s="144">
        <f>VLOOKUP($A174,'Data shares'!$C:$FA,25)</f>
        <v>260</v>
      </c>
    </row>
    <row r="175" spans="1:7" x14ac:dyDescent="0.25">
      <c r="A175" s="101" t="str">
        <f>'Data shares'!C171</f>
        <v>PREMIERENE</v>
      </c>
      <c r="B175" s="144">
        <f>VLOOKUP($A175,'Data shares'!$C:$FA,7)</f>
        <v>1016.8</v>
      </c>
      <c r="C175" s="144">
        <f>VLOOKUP($A175,'Data shares'!$C:$FA,3)</f>
        <v>1024.8</v>
      </c>
      <c r="D175" s="144">
        <f>VLOOKUP($A175,'Data shares'!$C:$FA,23)</f>
        <v>8</v>
      </c>
      <c r="E175" s="145">
        <f>VLOOKUP($A175,'Data shares'!$C:$FA,26)*100</f>
        <v>0.79</v>
      </c>
      <c r="F175" s="144">
        <f>VLOOKUP($A175,'Data shares'!$C:$FA,24)</f>
        <v>-0.2</v>
      </c>
      <c r="G175" s="144">
        <f>VLOOKUP($A175,'Data shares'!$C:$FA,25)</f>
        <v>8.1999999999999993</v>
      </c>
    </row>
    <row r="176" spans="1:7" x14ac:dyDescent="0.25">
      <c r="A176" s="101" t="str">
        <f>'Data shares'!C172</f>
        <v>PRESTIGE</v>
      </c>
      <c r="B176" s="144">
        <f>VLOOKUP($A176,'Data shares'!$C:$FA,7)</f>
        <v>1402.2</v>
      </c>
      <c r="C176" s="144">
        <f>VLOOKUP($A176,'Data shares'!$C:$FA,3)</f>
        <v>1414.2</v>
      </c>
      <c r="D176" s="144">
        <f>VLOOKUP($A176,'Data shares'!$C:$FA,23)</f>
        <v>12</v>
      </c>
      <c r="E176" s="145">
        <f>VLOOKUP($A176,'Data shares'!$C:$FA,26)*100</f>
        <v>0.86</v>
      </c>
      <c r="F176" s="144">
        <f>VLOOKUP($A176,'Data shares'!$C:$FA,24)</f>
        <v>3.1</v>
      </c>
      <c r="G176" s="144">
        <f>VLOOKUP($A176,'Data shares'!$C:$FA,25)</f>
        <v>8.9</v>
      </c>
    </row>
    <row r="177" spans="1:7" x14ac:dyDescent="0.25">
      <c r="A177" s="101" t="str">
        <f>'Data shares'!C173</f>
        <v>RBLBANK</v>
      </c>
      <c r="B177" s="144">
        <f>VLOOKUP($A177,'Data shares'!$C:$FA,7)</f>
        <v>344.25</v>
      </c>
      <c r="C177" s="144">
        <f>VLOOKUP($A177,'Data shares'!$C:$FA,3)</f>
        <v>347.15</v>
      </c>
      <c r="D177" s="144">
        <f>VLOOKUP($A177,'Data shares'!$C:$FA,23)</f>
        <v>2.9</v>
      </c>
      <c r="E177" s="145">
        <f>VLOOKUP($A177,'Data shares'!$C:$FA,26)*100</f>
        <v>0.84</v>
      </c>
      <c r="F177" s="144">
        <f>VLOOKUP($A177,'Data shares'!$C:$FA,24)</f>
        <v>0.95</v>
      </c>
      <c r="G177" s="144">
        <f>VLOOKUP($A177,'Data shares'!$C:$FA,25)</f>
        <v>1.95</v>
      </c>
    </row>
    <row r="178" spans="1:7" x14ac:dyDescent="0.25">
      <c r="A178" s="101" t="str">
        <f>'Data shares'!C174</f>
        <v>RECLTD</v>
      </c>
      <c r="B178" s="144">
        <f>VLOOKUP($A178,'Data shares'!$C:$FA,7)</f>
        <v>337.6</v>
      </c>
      <c r="C178" s="144">
        <f>VLOOKUP($A178,'Data shares'!$C:$FA,3)</f>
        <v>340.1</v>
      </c>
      <c r="D178" s="144">
        <f>VLOOKUP($A178,'Data shares'!$C:$FA,23)</f>
        <v>2.5</v>
      </c>
      <c r="E178" s="145">
        <f>VLOOKUP($A178,'Data shares'!$C:$FA,26)*100</f>
        <v>0.74</v>
      </c>
      <c r="F178" s="144">
        <f>VLOOKUP($A178,'Data shares'!$C:$FA,24)</f>
        <v>0.75</v>
      </c>
      <c r="G178" s="144">
        <f>VLOOKUP($A178,'Data shares'!$C:$FA,25)</f>
        <v>1.75</v>
      </c>
    </row>
    <row r="179" spans="1:7" x14ac:dyDescent="0.25">
      <c r="A179" s="101" t="str">
        <f>'Data shares'!C175</f>
        <v>RELIANCE</v>
      </c>
      <c r="B179" s="144">
        <f>VLOOKUP($A179,'Data shares'!$C:$FA,7)</f>
        <v>1356.3</v>
      </c>
      <c r="C179" s="144">
        <f>VLOOKUP($A179,'Data shares'!$C:$FA,3)</f>
        <v>1363.9</v>
      </c>
      <c r="D179" s="144">
        <f>VLOOKUP($A179,'Data shares'!$C:$FA,23)</f>
        <v>7.6</v>
      </c>
      <c r="E179" s="145">
        <f>VLOOKUP($A179,'Data shares'!$C:$FA,26)*100</f>
        <v>0.55999999999999994</v>
      </c>
      <c r="F179" s="144">
        <f>VLOOKUP($A179,'Data shares'!$C:$FA,24)</f>
        <v>-0.4</v>
      </c>
      <c r="G179" s="144">
        <f>VLOOKUP($A179,'Data shares'!$C:$FA,25)</f>
        <v>8</v>
      </c>
    </row>
    <row r="180" spans="1:7" x14ac:dyDescent="0.25">
      <c r="A180" s="101" t="str">
        <f>'Data shares'!C176</f>
        <v>RVNL</v>
      </c>
      <c r="B180" s="144">
        <f>VLOOKUP($A180,'Data shares'!$C:$FA,7)</f>
        <v>259.75</v>
      </c>
      <c r="C180" s="144">
        <f>VLOOKUP($A180,'Data shares'!$C:$FA,3)</f>
        <v>256.60000000000002</v>
      </c>
      <c r="D180" s="144">
        <f>VLOOKUP($A180,'Data shares'!$C:$FA,23)</f>
        <v>-3.15</v>
      </c>
      <c r="E180" s="145">
        <f>VLOOKUP($A180,'Data shares'!$C:$FA,26)*100</f>
        <v>-1.21</v>
      </c>
      <c r="F180" s="144">
        <f>VLOOKUP($A180,'Data shares'!$C:$FA,24)</f>
        <v>0.85</v>
      </c>
      <c r="G180" s="144">
        <f>VLOOKUP($A180,'Data shares'!$C:$FA,25)</f>
        <v>-4</v>
      </c>
    </row>
    <row r="181" spans="1:7" x14ac:dyDescent="0.25">
      <c r="A181" s="101" t="str">
        <f>'Data shares'!C177</f>
        <v>SAIL</v>
      </c>
      <c r="B181" s="144">
        <f>VLOOKUP($A181,'Data shares'!$C:$FA,7)</f>
        <v>203.84</v>
      </c>
      <c r="C181" s="144">
        <f>VLOOKUP($A181,'Data shares'!$C:$FA,3)</f>
        <v>205.65</v>
      </c>
      <c r="D181" s="144">
        <f>VLOOKUP($A181,'Data shares'!$C:$FA,23)</f>
        <v>1.81</v>
      </c>
      <c r="E181" s="145">
        <f>VLOOKUP($A181,'Data shares'!$C:$FA,26)*100</f>
        <v>0.89</v>
      </c>
      <c r="F181" s="144">
        <f>VLOOKUP($A181,'Data shares'!$C:$FA,24)</f>
        <v>0.44</v>
      </c>
      <c r="G181" s="144">
        <f>VLOOKUP($A181,'Data shares'!$C:$FA,25)</f>
        <v>1.37</v>
      </c>
    </row>
    <row r="182" spans="1:7" x14ac:dyDescent="0.25">
      <c r="A182" s="101" t="str">
        <f>'Data shares'!C178</f>
        <v>SAMMAANCAP</v>
      </c>
      <c r="B182" s="144">
        <f>VLOOKUP($A182,'Data shares'!$C:$FA,7)</f>
        <v>167.71</v>
      </c>
      <c r="C182" s="144">
        <f>VLOOKUP($A182,'Data shares'!$C:$FA,3)</f>
        <v>169.05</v>
      </c>
      <c r="D182" s="144">
        <f>VLOOKUP($A182,'Data shares'!$C:$FA,23)</f>
        <v>1.34</v>
      </c>
      <c r="E182" s="145">
        <f>VLOOKUP($A182,'Data shares'!$C:$FA,26)*100</f>
        <v>0.8</v>
      </c>
      <c r="F182" s="144">
        <f>VLOOKUP($A182,'Data shares'!$C:$FA,24)</f>
        <v>0.25</v>
      </c>
      <c r="G182" s="144">
        <f>VLOOKUP($A182,'Data shares'!$C:$FA,25)</f>
        <v>1.0900000000000001</v>
      </c>
    </row>
    <row r="183" spans="1:7" x14ac:dyDescent="0.25">
      <c r="A183" s="101" t="str">
        <f>'Data shares'!C179</f>
        <v>SBICARD</v>
      </c>
      <c r="B183" s="144">
        <f>VLOOKUP($A183,'Data shares'!$C:$FA,7)</f>
        <v>628.70000000000005</v>
      </c>
      <c r="C183" s="144">
        <f>VLOOKUP($A183,'Data shares'!$C:$FA,3)</f>
        <v>620.4</v>
      </c>
      <c r="D183" s="144">
        <f>VLOOKUP($A183,'Data shares'!$C:$FA,23)</f>
        <v>-8.3000000000000007</v>
      </c>
      <c r="E183" s="145">
        <f>VLOOKUP($A183,'Data shares'!$C:$FA,26)*100</f>
        <v>-1.32</v>
      </c>
      <c r="F183" s="144">
        <f>VLOOKUP($A183,'Data shares'!$C:$FA,24)</f>
        <v>1.85</v>
      </c>
      <c r="G183" s="144">
        <f>VLOOKUP($A183,'Data shares'!$C:$FA,25)</f>
        <v>-10.15</v>
      </c>
    </row>
    <row r="184" spans="1:7" x14ac:dyDescent="0.25">
      <c r="A184" s="101" t="str">
        <f>'Data shares'!C180</f>
        <v>SBILIFE</v>
      </c>
      <c r="B184" s="144">
        <f>VLOOKUP($A184,'Data shares'!$C:$FA,7)</f>
        <v>1883.2</v>
      </c>
      <c r="C184" s="144">
        <f>VLOOKUP($A184,'Data shares'!$C:$FA,3)</f>
        <v>1892</v>
      </c>
      <c r="D184" s="144">
        <f>VLOOKUP($A184,'Data shares'!$C:$FA,23)</f>
        <v>8.8000000000000007</v>
      </c>
      <c r="E184" s="145">
        <f>VLOOKUP($A184,'Data shares'!$C:$FA,26)*100</f>
        <v>0.47000000000000003</v>
      </c>
      <c r="F184" s="144">
        <f>VLOOKUP($A184,'Data shares'!$C:$FA,24)</f>
        <v>-7.6</v>
      </c>
      <c r="G184" s="144">
        <f>VLOOKUP($A184,'Data shares'!$C:$FA,25)</f>
        <v>16.399999999999999</v>
      </c>
    </row>
    <row r="185" spans="1:7" x14ac:dyDescent="0.25">
      <c r="A185" s="101" t="str">
        <f>'Data shares'!C181</f>
        <v>SBIN</v>
      </c>
      <c r="B185" s="144">
        <f>VLOOKUP($A185,'Data shares'!$C:$FA,7)</f>
        <v>968.5</v>
      </c>
      <c r="C185" s="144">
        <f>VLOOKUP($A185,'Data shares'!$C:$FA,3)</f>
        <v>974.2</v>
      </c>
      <c r="D185" s="144">
        <f>VLOOKUP($A185,'Data shares'!$C:$FA,23)</f>
        <v>5.7</v>
      </c>
      <c r="E185" s="145">
        <f>VLOOKUP($A185,'Data shares'!$C:$FA,26)*100</f>
        <v>0.59</v>
      </c>
      <c r="F185" s="144">
        <f>VLOOKUP($A185,'Data shares'!$C:$FA,24)</f>
        <v>1.3</v>
      </c>
      <c r="G185" s="144">
        <f>VLOOKUP($A185,'Data shares'!$C:$FA,25)</f>
        <v>4.4000000000000004</v>
      </c>
    </row>
    <row r="186" spans="1:7" x14ac:dyDescent="0.25">
      <c r="A186" s="101" t="str">
        <f>'Data shares'!C182</f>
        <v>SHREECEM</v>
      </c>
      <c r="B186" s="144">
        <f>VLOOKUP($A186,'Data shares'!$C:$FA,7)</f>
        <v>25180</v>
      </c>
      <c r="C186" s="144">
        <f>VLOOKUP($A186,'Data shares'!$C:$FA,3)</f>
        <v>24905</v>
      </c>
      <c r="D186" s="144">
        <f>VLOOKUP($A186,'Data shares'!$C:$FA,23)</f>
        <v>-275</v>
      </c>
      <c r="E186" s="145">
        <f>VLOOKUP($A186,'Data shares'!$C:$FA,26)*100</f>
        <v>-1.0900000000000001</v>
      </c>
      <c r="F186" s="144">
        <f>VLOOKUP($A186,'Data shares'!$C:$FA,24)</f>
        <v>5</v>
      </c>
      <c r="G186" s="144">
        <f>VLOOKUP($A186,'Data shares'!$C:$FA,25)</f>
        <v>-280</v>
      </c>
    </row>
    <row r="187" spans="1:7" x14ac:dyDescent="0.25">
      <c r="A187" s="101" t="str">
        <f>'Data shares'!C183</f>
        <v>SHRIRAMFIN</v>
      </c>
      <c r="B187" s="144">
        <f>VLOOKUP($A187,'Data shares'!$C:$FA,7)</f>
        <v>952.15</v>
      </c>
      <c r="C187" s="144">
        <f>VLOOKUP($A187,'Data shares'!$C:$FA,3)</f>
        <v>959.25</v>
      </c>
      <c r="D187" s="144">
        <f>VLOOKUP($A187,'Data shares'!$C:$FA,23)</f>
        <v>7.1</v>
      </c>
      <c r="E187" s="145">
        <f>VLOOKUP($A187,'Data shares'!$C:$FA,26)*100</f>
        <v>0.75</v>
      </c>
      <c r="F187" s="144">
        <f>VLOOKUP($A187,'Data shares'!$C:$FA,24)</f>
        <v>-0.35</v>
      </c>
      <c r="G187" s="144">
        <f>VLOOKUP($A187,'Data shares'!$C:$FA,25)</f>
        <v>7.45</v>
      </c>
    </row>
    <row r="188" spans="1:7" x14ac:dyDescent="0.25">
      <c r="A188" s="101" t="str">
        <f>'Data shares'!C184</f>
        <v>SIEMENS</v>
      </c>
      <c r="B188" s="144">
        <f>VLOOKUP($A188,'Data shares'!$C:$FA,7)</f>
        <v>3677.2</v>
      </c>
      <c r="C188" s="144">
        <f>VLOOKUP($A188,'Data shares'!$C:$FA,3)</f>
        <v>3680.8</v>
      </c>
      <c r="D188" s="144">
        <f>VLOOKUP($A188,'Data shares'!$C:$FA,23)</f>
        <v>3.6</v>
      </c>
      <c r="E188" s="145">
        <f>VLOOKUP($A188,'Data shares'!$C:$FA,26)*100</f>
        <v>0.1</v>
      </c>
      <c r="F188" s="144">
        <f>VLOOKUP($A188,'Data shares'!$C:$FA,24)</f>
        <v>-3.2</v>
      </c>
      <c r="G188" s="144">
        <f>VLOOKUP($A188,'Data shares'!$C:$FA,25)</f>
        <v>6.8</v>
      </c>
    </row>
    <row r="189" spans="1:7" x14ac:dyDescent="0.25">
      <c r="A189" s="101" t="str">
        <f>'Data shares'!C185</f>
        <v>SOLARINDS</v>
      </c>
      <c r="B189" s="144">
        <f>VLOOKUP($A189,'Data shares'!$C:$FA,7)</f>
        <v>18479</v>
      </c>
      <c r="C189" s="144">
        <f>VLOOKUP($A189,'Data shares'!$C:$FA,3)</f>
        <v>18632</v>
      </c>
      <c r="D189" s="144">
        <f>VLOOKUP($A189,'Data shares'!$C:$FA,23)</f>
        <v>153</v>
      </c>
      <c r="E189" s="145">
        <f>VLOOKUP($A189,'Data shares'!$C:$FA,26)*100</f>
        <v>0.83</v>
      </c>
      <c r="F189" s="144">
        <f>VLOOKUP($A189,'Data shares'!$C:$FA,24)</f>
        <v>10</v>
      </c>
      <c r="G189" s="144">
        <f>VLOOKUP($A189,'Data shares'!$C:$FA,25)</f>
        <v>143</v>
      </c>
    </row>
    <row r="190" spans="1:7" x14ac:dyDescent="0.25">
      <c r="A190" s="101" t="str">
        <f>'Data shares'!C186</f>
        <v>SONACOMS</v>
      </c>
      <c r="B190" s="144">
        <f>VLOOKUP($A190,'Data shares'!$C:$FA,7)</f>
        <v>608</v>
      </c>
      <c r="C190" s="144">
        <f>VLOOKUP($A190,'Data shares'!$C:$FA,3)</f>
        <v>609.25</v>
      </c>
      <c r="D190" s="144">
        <f>VLOOKUP($A190,'Data shares'!$C:$FA,23)</f>
        <v>1.25</v>
      </c>
      <c r="E190" s="145">
        <f>VLOOKUP($A190,'Data shares'!$C:$FA,26)*100</f>
        <v>0.21</v>
      </c>
      <c r="F190" s="144">
        <f>VLOOKUP($A190,'Data shares'!$C:$FA,24)</f>
        <v>1.45</v>
      </c>
      <c r="G190" s="144">
        <f>VLOOKUP($A190,'Data shares'!$C:$FA,25)</f>
        <v>-0.2</v>
      </c>
    </row>
    <row r="191" spans="1:7" x14ac:dyDescent="0.25">
      <c r="A191" s="101" t="str">
        <f>'Data shares'!C187</f>
        <v>SRF</v>
      </c>
      <c r="B191" s="144">
        <f>VLOOKUP($A191,'Data shares'!$C:$FA,7)</f>
        <v>2749.7</v>
      </c>
      <c r="C191" s="144">
        <f>VLOOKUP($A191,'Data shares'!$C:$FA,3)</f>
        <v>2762.1</v>
      </c>
      <c r="D191" s="144">
        <f>VLOOKUP($A191,'Data shares'!$C:$FA,23)</f>
        <v>12.4</v>
      </c>
      <c r="E191" s="145">
        <f>VLOOKUP($A191,'Data shares'!$C:$FA,26)*100</f>
        <v>0.44999999999999996</v>
      </c>
      <c r="F191" s="144">
        <f>VLOOKUP($A191,'Data shares'!$C:$FA,24)</f>
        <v>2.9</v>
      </c>
      <c r="G191" s="144">
        <f>VLOOKUP($A191,'Data shares'!$C:$FA,25)</f>
        <v>9.5</v>
      </c>
    </row>
    <row r="192" spans="1:7" x14ac:dyDescent="0.25">
      <c r="A192" s="101" t="str">
        <f>'Data shares'!C188</f>
        <v>SUNPHARMA</v>
      </c>
      <c r="B192" s="144">
        <f>VLOOKUP($A192,'Data shares'!$C:$FA,7)</f>
        <v>1840.8</v>
      </c>
      <c r="C192" s="144">
        <f>VLOOKUP($A192,'Data shares'!$C:$FA,3)</f>
        <v>1855</v>
      </c>
      <c r="D192" s="144">
        <f>VLOOKUP($A192,'Data shares'!$C:$FA,23)</f>
        <v>14.2</v>
      </c>
      <c r="E192" s="145">
        <f>VLOOKUP($A192,'Data shares'!$C:$FA,26)*100</f>
        <v>0.77</v>
      </c>
      <c r="F192" s="144">
        <f>VLOOKUP($A192,'Data shares'!$C:$FA,24)</f>
        <v>2.9</v>
      </c>
      <c r="G192" s="144">
        <f>VLOOKUP($A192,'Data shares'!$C:$FA,25)</f>
        <v>11.3</v>
      </c>
    </row>
    <row r="193" spans="1:7" x14ac:dyDescent="0.25">
      <c r="A193" s="101" t="str">
        <f>'Data shares'!C189</f>
        <v>SUPREMEIND</v>
      </c>
      <c r="B193" s="144">
        <f>VLOOKUP($A193,'Data shares'!$C:$FA,7)</f>
        <v>3570.9</v>
      </c>
      <c r="C193" s="144">
        <f>VLOOKUP($A193,'Data shares'!$C:$FA,3)</f>
        <v>3572.6</v>
      </c>
      <c r="D193" s="144">
        <f>VLOOKUP($A193,'Data shares'!$C:$FA,23)</f>
        <v>1.7</v>
      </c>
      <c r="E193" s="145">
        <f>VLOOKUP($A193,'Data shares'!$C:$FA,26)*100</f>
        <v>0.05</v>
      </c>
      <c r="F193" s="144">
        <f>VLOOKUP($A193,'Data shares'!$C:$FA,24)</f>
        <v>-2.1</v>
      </c>
      <c r="G193" s="144">
        <f>VLOOKUP($A193,'Data shares'!$C:$FA,25)</f>
        <v>3.8</v>
      </c>
    </row>
    <row r="194" spans="1:7" x14ac:dyDescent="0.25">
      <c r="A194" s="101" t="str">
        <f>'Data shares'!C190</f>
        <v>SUZLON</v>
      </c>
      <c r="B194" s="144">
        <f>VLOOKUP($A194,'Data shares'!$C:$FA,7)</f>
        <v>54.58</v>
      </c>
      <c r="C194" s="144">
        <f>VLOOKUP($A194,'Data shares'!$C:$FA,3)</f>
        <v>55.02</v>
      </c>
      <c r="D194" s="144">
        <f>VLOOKUP($A194,'Data shares'!$C:$FA,23)</f>
        <v>0.44</v>
      </c>
      <c r="E194" s="145">
        <f>VLOOKUP($A194,'Data shares'!$C:$FA,26)*100</f>
        <v>0.80999999999999994</v>
      </c>
      <c r="F194" s="144">
        <f>VLOOKUP($A194,'Data shares'!$C:$FA,24)</f>
        <v>0.19</v>
      </c>
      <c r="G194" s="144">
        <f>VLOOKUP($A194,'Data shares'!$C:$FA,25)</f>
        <v>0.25</v>
      </c>
    </row>
    <row r="195" spans="1:7" x14ac:dyDescent="0.25">
      <c r="A195" s="101" t="str">
        <f>'Data shares'!C191</f>
        <v>SWIGGY</v>
      </c>
      <c r="B195" s="144">
        <f>VLOOKUP($A195,'Data shares'!$C:$FA,7)</f>
        <v>253.9</v>
      </c>
      <c r="C195" s="144">
        <f>VLOOKUP($A195,'Data shares'!$C:$FA,3)</f>
        <v>256.10000000000002</v>
      </c>
      <c r="D195" s="144">
        <f>VLOOKUP($A195,'Data shares'!$C:$FA,23)</f>
        <v>2.2000000000000002</v>
      </c>
      <c r="E195" s="145">
        <f>VLOOKUP($A195,'Data shares'!$C:$FA,26)*100</f>
        <v>0.86999999999999988</v>
      </c>
      <c r="F195" s="144">
        <f>VLOOKUP($A195,'Data shares'!$C:$FA,24)</f>
        <v>0.65</v>
      </c>
      <c r="G195" s="144">
        <f>VLOOKUP($A195,'Data shares'!$C:$FA,25)</f>
        <v>1.55</v>
      </c>
    </row>
    <row r="196" spans="1:7" x14ac:dyDescent="0.25">
      <c r="A196" s="101" t="str">
        <f>'Data shares'!C192</f>
        <v>TATACONSUM</v>
      </c>
      <c r="B196" s="144">
        <f>VLOOKUP($A196,'Data shares'!$C:$FA,7)</f>
        <v>1187.5999999999999</v>
      </c>
      <c r="C196" s="144">
        <f>VLOOKUP($A196,'Data shares'!$C:$FA,3)</f>
        <v>1197.7</v>
      </c>
      <c r="D196" s="144">
        <f>VLOOKUP($A196,'Data shares'!$C:$FA,23)</f>
        <v>10.1</v>
      </c>
      <c r="E196" s="145">
        <f>VLOOKUP($A196,'Data shares'!$C:$FA,26)*100</f>
        <v>0.85000000000000009</v>
      </c>
      <c r="F196" s="144">
        <f>VLOOKUP($A196,'Data shares'!$C:$FA,24)</f>
        <v>2.2000000000000002</v>
      </c>
      <c r="G196" s="144">
        <f>VLOOKUP($A196,'Data shares'!$C:$FA,25)</f>
        <v>7.9</v>
      </c>
    </row>
    <row r="197" spans="1:7" x14ac:dyDescent="0.25">
      <c r="A197" s="101" t="str">
        <f>'Data shares'!C193</f>
        <v>TATAELXSI</v>
      </c>
      <c r="B197" s="144">
        <f>VLOOKUP($A197,'Data shares'!$C:$FA,7)</f>
        <v>4335.6000000000004</v>
      </c>
      <c r="C197" s="144">
        <f>VLOOKUP($A197,'Data shares'!$C:$FA,3)</f>
        <v>4247.2</v>
      </c>
      <c r="D197" s="144">
        <f>VLOOKUP($A197,'Data shares'!$C:$FA,23)</f>
        <v>-88.4</v>
      </c>
      <c r="E197" s="145">
        <f>VLOOKUP($A197,'Data shares'!$C:$FA,26)*100</f>
        <v>-2.04</v>
      </c>
      <c r="F197" s="144">
        <f>VLOOKUP($A197,'Data shares'!$C:$FA,24)</f>
        <v>9</v>
      </c>
      <c r="G197" s="144">
        <f>VLOOKUP($A197,'Data shares'!$C:$FA,25)</f>
        <v>-97.4</v>
      </c>
    </row>
    <row r="198" spans="1:7" x14ac:dyDescent="0.25">
      <c r="A198" s="101" t="str">
        <f>'Data shares'!C194</f>
        <v>TATAPOWER</v>
      </c>
      <c r="B198" s="144">
        <f>VLOOKUP($A198,'Data shares'!$C:$FA,7)</f>
        <v>420.95</v>
      </c>
      <c r="C198" s="144">
        <f>VLOOKUP($A198,'Data shares'!$C:$FA,3)</f>
        <v>421.95</v>
      </c>
      <c r="D198" s="144">
        <f>VLOOKUP($A198,'Data shares'!$C:$FA,23)</f>
        <v>1</v>
      </c>
      <c r="E198" s="145">
        <f>VLOOKUP($A198,'Data shares'!$C:$FA,26)*100</f>
        <v>0.24</v>
      </c>
      <c r="F198" s="144">
        <f>VLOOKUP($A198,'Data shares'!$C:$FA,24)</f>
        <v>0.8</v>
      </c>
      <c r="G198" s="144">
        <f>VLOOKUP($A198,'Data shares'!$C:$FA,25)</f>
        <v>0.2</v>
      </c>
    </row>
    <row r="199" spans="1:7" x14ac:dyDescent="0.25">
      <c r="A199" s="101" t="str">
        <f>'Data shares'!C195</f>
        <v>TATASTEEL</v>
      </c>
      <c r="B199" s="144">
        <f>VLOOKUP($A199,'Data shares'!$C:$FA,7)</f>
        <v>210.47</v>
      </c>
      <c r="C199" s="144">
        <f>VLOOKUP($A199,'Data shares'!$C:$FA,3)</f>
        <v>208.1</v>
      </c>
      <c r="D199" s="144">
        <f>VLOOKUP($A199,'Data shares'!$C:$FA,23)</f>
        <v>-2.37</v>
      </c>
      <c r="E199" s="145">
        <f>VLOOKUP($A199,'Data shares'!$C:$FA,26)*100</f>
        <v>-1.1299999999999999</v>
      </c>
      <c r="F199" s="144">
        <f>VLOOKUP($A199,'Data shares'!$C:$FA,24)</f>
        <v>0.43</v>
      </c>
      <c r="G199" s="144">
        <f>VLOOKUP($A199,'Data shares'!$C:$FA,25)</f>
        <v>-2.8</v>
      </c>
    </row>
    <row r="200" spans="1:7" x14ac:dyDescent="0.25">
      <c r="A200" s="101" t="str">
        <f>'Data shares'!C196</f>
        <v>TCS</v>
      </c>
      <c r="B200" s="144">
        <f>VLOOKUP($A200,'Data shares'!$C:$FA,7)</f>
        <v>2276.1999999999998</v>
      </c>
      <c r="C200" s="144">
        <f>VLOOKUP($A200,'Data shares'!$C:$FA,3)</f>
        <v>2287.5</v>
      </c>
      <c r="D200" s="144">
        <f>VLOOKUP($A200,'Data shares'!$C:$FA,23)</f>
        <v>11.3</v>
      </c>
      <c r="E200" s="145">
        <f>VLOOKUP($A200,'Data shares'!$C:$FA,26)*100</f>
        <v>0.5</v>
      </c>
      <c r="F200" s="144">
        <f>VLOOKUP($A200,'Data shares'!$C:$FA,24)</f>
        <v>8.1999999999999993</v>
      </c>
      <c r="G200" s="144">
        <f>VLOOKUP($A200,'Data shares'!$C:$FA,25)</f>
        <v>3.1</v>
      </c>
    </row>
    <row r="201" spans="1:7" x14ac:dyDescent="0.25">
      <c r="A201" s="101" t="str">
        <f>'Data shares'!C197</f>
        <v>TECHM</v>
      </c>
      <c r="B201" s="144">
        <f>VLOOKUP($A201,'Data shares'!$C:$FA,7)</f>
        <v>1458.7</v>
      </c>
      <c r="C201" s="144">
        <f>VLOOKUP($A201,'Data shares'!$C:$FA,3)</f>
        <v>1452.3</v>
      </c>
      <c r="D201" s="144">
        <f>VLOOKUP($A201,'Data shares'!$C:$FA,23)</f>
        <v>-6.4</v>
      </c>
      <c r="E201" s="145">
        <f>VLOOKUP($A201,'Data shares'!$C:$FA,26)*100</f>
        <v>-0.44</v>
      </c>
      <c r="F201" s="144">
        <f>VLOOKUP($A201,'Data shares'!$C:$FA,24)</f>
        <v>-3.5</v>
      </c>
      <c r="G201" s="144">
        <f>VLOOKUP($A201,'Data shares'!$C:$FA,25)</f>
        <v>-2.9</v>
      </c>
    </row>
    <row r="202" spans="1:7" x14ac:dyDescent="0.25">
      <c r="A202" s="101" t="str">
        <f>'Data shares'!C198</f>
        <v>TIINDIA</v>
      </c>
      <c r="B202" s="144">
        <f>VLOOKUP($A202,'Data shares'!$C:$FA,7)</f>
        <v>3039.1</v>
      </c>
      <c r="C202" s="144">
        <f>VLOOKUP($A202,'Data shares'!$C:$FA,3)</f>
        <v>3053.8</v>
      </c>
      <c r="D202" s="144">
        <f>VLOOKUP($A202,'Data shares'!$C:$FA,23)</f>
        <v>14.7</v>
      </c>
      <c r="E202" s="145">
        <f>VLOOKUP($A202,'Data shares'!$C:$FA,26)*100</f>
        <v>0.48</v>
      </c>
      <c r="F202" s="144">
        <f>VLOOKUP($A202,'Data shares'!$C:$FA,24)</f>
        <v>-0.6</v>
      </c>
      <c r="G202" s="144">
        <f>VLOOKUP($A202,'Data shares'!$C:$FA,25)</f>
        <v>15.3</v>
      </c>
    </row>
    <row r="203" spans="1:7" x14ac:dyDescent="0.25">
      <c r="A203" s="101" t="str">
        <f>'Data shares'!C199</f>
        <v>TITAN</v>
      </c>
      <c r="B203" s="144">
        <f>VLOOKUP($A203,'Data shares'!$C:$FA,7)</f>
        <v>4105.8999999999996</v>
      </c>
      <c r="C203" s="144">
        <f>VLOOKUP($A203,'Data shares'!$C:$FA,3)</f>
        <v>4133.3999999999996</v>
      </c>
      <c r="D203" s="144">
        <f>VLOOKUP($A203,'Data shares'!$C:$FA,23)</f>
        <v>27.5</v>
      </c>
      <c r="E203" s="145">
        <f>VLOOKUP($A203,'Data shares'!$C:$FA,26)*100</f>
        <v>0.67</v>
      </c>
      <c r="F203" s="144">
        <f>VLOOKUP($A203,'Data shares'!$C:$FA,24)</f>
        <v>-1.5</v>
      </c>
      <c r="G203" s="144">
        <f>VLOOKUP($A203,'Data shares'!$C:$FA,25)</f>
        <v>29</v>
      </c>
    </row>
    <row r="204" spans="1:7" x14ac:dyDescent="0.25">
      <c r="A204" s="101" t="str">
        <f>'Data shares'!C200</f>
        <v>TMPV</v>
      </c>
      <c r="B204" s="144">
        <f>VLOOKUP($A204,'Data shares'!$C:$FA,7)</f>
        <v>385.6</v>
      </c>
      <c r="C204" s="144">
        <f>VLOOKUP($A204,'Data shares'!$C:$FA,3)</f>
        <v>385.35</v>
      </c>
      <c r="D204" s="144">
        <f>VLOOKUP($A204,'Data shares'!$C:$FA,23)</f>
        <v>-0.25</v>
      </c>
      <c r="E204" s="145">
        <f>VLOOKUP($A204,'Data shares'!$C:$FA,26)*100</f>
        <v>-0.06</v>
      </c>
      <c r="F204" s="144">
        <f>VLOOKUP($A204,'Data shares'!$C:$FA,24)</f>
        <v>-0.45</v>
      </c>
      <c r="G204" s="144">
        <f>VLOOKUP($A204,'Data shares'!$C:$FA,25)</f>
        <v>0.2</v>
      </c>
    </row>
    <row r="205" spans="1:7" x14ac:dyDescent="0.25">
      <c r="A205" s="101" t="str">
        <f>'Data shares'!C201</f>
        <v>TORNTPHARM</v>
      </c>
      <c r="B205" s="144">
        <f>VLOOKUP($A205,'Data shares'!$C:$FA,7)</f>
        <v>4452.1000000000004</v>
      </c>
      <c r="C205" s="144">
        <f>VLOOKUP($A205,'Data shares'!$C:$FA,3)</f>
        <v>4459.7</v>
      </c>
      <c r="D205" s="144">
        <f>VLOOKUP($A205,'Data shares'!$C:$FA,23)</f>
        <v>7.6</v>
      </c>
      <c r="E205" s="145">
        <f>VLOOKUP($A205,'Data shares'!$C:$FA,26)*100</f>
        <v>0.16999999999999998</v>
      </c>
      <c r="F205" s="144">
        <f>VLOOKUP($A205,'Data shares'!$C:$FA,24)</f>
        <v>-17.8</v>
      </c>
      <c r="G205" s="144">
        <f>VLOOKUP($A205,'Data shares'!$C:$FA,25)</f>
        <v>25.4</v>
      </c>
    </row>
    <row r="206" spans="1:7" x14ac:dyDescent="0.25">
      <c r="A206" s="101" t="str">
        <f>'Data shares'!C202</f>
        <v>TRENT</v>
      </c>
      <c r="B206" s="144">
        <f>VLOOKUP($A206,'Data shares'!$C:$FA,7)</f>
        <v>4239.6000000000004</v>
      </c>
      <c r="C206" s="144">
        <f>VLOOKUP($A206,'Data shares'!$C:$FA,3)</f>
        <v>4228.3999999999996</v>
      </c>
      <c r="D206" s="144">
        <f>VLOOKUP($A206,'Data shares'!$C:$FA,23)</f>
        <v>-11.2</v>
      </c>
      <c r="E206" s="145">
        <f>VLOOKUP($A206,'Data shares'!$C:$FA,26)*100</f>
        <v>-0.26</v>
      </c>
      <c r="F206" s="144">
        <f>VLOOKUP($A206,'Data shares'!$C:$FA,24)</f>
        <v>3.8</v>
      </c>
      <c r="G206" s="144">
        <f>VLOOKUP($A206,'Data shares'!$C:$FA,25)</f>
        <v>-15</v>
      </c>
    </row>
    <row r="207" spans="1:7" x14ac:dyDescent="0.25">
      <c r="A207" s="101" t="str">
        <f>'Data shares'!C203</f>
        <v>TVSMOTOR</v>
      </c>
      <c r="B207" s="144">
        <f>VLOOKUP($A207,'Data shares'!$C:$FA,7)</f>
        <v>3454.9</v>
      </c>
      <c r="C207" s="144">
        <f>VLOOKUP($A207,'Data shares'!$C:$FA,3)</f>
        <v>3470.1</v>
      </c>
      <c r="D207" s="144">
        <f>VLOOKUP($A207,'Data shares'!$C:$FA,23)</f>
        <v>15.2</v>
      </c>
      <c r="E207" s="145">
        <f>VLOOKUP($A207,'Data shares'!$C:$FA,26)*100</f>
        <v>0.44</v>
      </c>
      <c r="F207" s="144">
        <f>VLOOKUP($A207,'Data shares'!$C:$FA,24)</f>
        <v>8</v>
      </c>
      <c r="G207" s="144">
        <f>VLOOKUP($A207,'Data shares'!$C:$FA,25)</f>
        <v>7.2</v>
      </c>
    </row>
    <row r="208" spans="1:7" x14ac:dyDescent="0.25">
      <c r="A208" s="101" t="str">
        <f>'Data shares'!C204</f>
        <v>ULTRACEMCO</v>
      </c>
      <c r="B208" s="144">
        <f>VLOOKUP($A208,'Data shares'!$C:$FA,7)</f>
        <v>11623</v>
      </c>
      <c r="C208" s="144">
        <f>VLOOKUP($A208,'Data shares'!$C:$FA,3)</f>
        <v>11700</v>
      </c>
      <c r="D208" s="144">
        <f>VLOOKUP($A208,'Data shares'!$C:$FA,23)</f>
        <v>77</v>
      </c>
      <c r="E208" s="145">
        <f>VLOOKUP($A208,'Data shares'!$C:$FA,26)*100</f>
        <v>0.66</v>
      </c>
      <c r="F208" s="144">
        <f>VLOOKUP($A208,'Data shares'!$C:$FA,24)</f>
        <v>21</v>
      </c>
      <c r="G208" s="144">
        <f>VLOOKUP($A208,'Data shares'!$C:$FA,25)</f>
        <v>56</v>
      </c>
    </row>
    <row r="209" spans="1:7" x14ac:dyDescent="0.25">
      <c r="A209" s="101" t="str">
        <f>'Data shares'!C205</f>
        <v>UNIONBANK</v>
      </c>
      <c r="B209" s="144">
        <f>VLOOKUP($A209,'Data shares'!$C:$FA,7)</f>
        <v>167.56</v>
      </c>
      <c r="C209" s="144">
        <f>VLOOKUP($A209,'Data shares'!$C:$FA,3)</f>
        <v>168.99</v>
      </c>
      <c r="D209" s="144">
        <f>VLOOKUP($A209,'Data shares'!$C:$FA,23)</f>
        <v>1.43</v>
      </c>
      <c r="E209" s="145">
        <f>VLOOKUP($A209,'Data shares'!$C:$FA,26)*100</f>
        <v>0.85000000000000009</v>
      </c>
      <c r="F209" s="144">
        <f>VLOOKUP($A209,'Data shares'!$C:$FA,24)</f>
        <v>-0.03</v>
      </c>
      <c r="G209" s="144">
        <f>VLOOKUP($A209,'Data shares'!$C:$FA,25)</f>
        <v>1.46</v>
      </c>
    </row>
    <row r="210" spans="1:7" x14ac:dyDescent="0.25">
      <c r="A210" s="101" t="str">
        <f>'Data shares'!C206</f>
        <v>UNITDSPR</v>
      </c>
      <c r="B210" s="144">
        <f>VLOOKUP($A210,'Data shares'!$C:$FA,7)</f>
        <v>1293.4000000000001</v>
      </c>
      <c r="C210" s="144">
        <f>VLOOKUP($A210,'Data shares'!$C:$FA,3)</f>
        <v>1301.5</v>
      </c>
      <c r="D210" s="144">
        <f>VLOOKUP($A210,'Data shares'!$C:$FA,23)</f>
        <v>8.1</v>
      </c>
      <c r="E210" s="145">
        <f>VLOOKUP($A210,'Data shares'!$C:$FA,26)*100</f>
        <v>0.63</v>
      </c>
      <c r="F210" s="144">
        <f>VLOOKUP($A210,'Data shares'!$C:$FA,24)</f>
        <v>3.6</v>
      </c>
      <c r="G210" s="144">
        <f>VLOOKUP($A210,'Data shares'!$C:$FA,25)</f>
        <v>4.5</v>
      </c>
    </row>
    <row r="211" spans="1:7" x14ac:dyDescent="0.25">
      <c r="A211" s="101" t="str">
        <f>'Data shares'!C207</f>
        <v>UNOMINDA</v>
      </c>
      <c r="B211" s="144">
        <f>VLOOKUP($A211,'Data shares'!$C:$FA,7)</f>
        <v>1114.9000000000001</v>
      </c>
      <c r="C211" s="144">
        <f>VLOOKUP($A211,'Data shares'!$C:$FA,3)</f>
        <v>1121</v>
      </c>
      <c r="D211" s="144">
        <f>VLOOKUP($A211,'Data shares'!$C:$FA,23)</f>
        <v>6.1</v>
      </c>
      <c r="E211" s="145">
        <f>VLOOKUP($A211,'Data shares'!$C:$FA,26)*100</f>
        <v>0.54999999999999993</v>
      </c>
      <c r="F211" s="144">
        <f>VLOOKUP($A211,'Data shares'!$C:$FA,24)</f>
        <v>-1.4</v>
      </c>
      <c r="G211" s="144">
        <f>VLOOKUP($A211,'Data shares'!$C:$FA,25)</f>
        <v>7.5</v>
      </c>
    </row>
    <row r="212" spans="1:7" x14ac:dyDescent="0.25">
      <c r="A212" s="101" t="str">
        <f>'Data shares'!C208</f>
        <v>UPL</v>
      </c>
      <c r="B212" s="144">
        <f>VLOOKUP($A212,'Data shares'!$C:$FA,7)</f>
        <v>655</v>
      </c>
      <c r="C212" s="144">
        <f>VLOOKUP($A212,'Data shares'!$C:$FA,3)</f>
        <v>659.45</v>
      </c>
      <c r="D212" s="144">
        <f>VLOOKUP($A212,'Data shares'!$C:$FA,23)</f>
        <v>4.45</v>
      </c>
      <c r="E212" s="145">
        <f>VLOOKUP($A212,'Data shares'!$C:$FA,26)*100</f>
        <v>0.67999999999999994</v>
      </c>
      <c r="F212" s="144">
        <f>VLOOKUP($A212,'Data shares'!$C:$FA,24)</f>
        <v>0.3</v>
      </c>
      <c r="G212" s="144">
        <f>VLOOKUP($A212,'Data shares'!$C:$FA,25)</f>
        <v>4.1500000000000004</v>
      </c>
    </row>
    <row r="213" spans="1:7" x14ac:dyDescent="0.25">
      <c r="A213" s="101" t="str">
        <f>'Data shares'!C209</f>
        <v>VBL</v>
      </c>
      <c r="B213" s="144">
        <f>VLOOKUP($A213,'Data shares'!$C:$FA,7)</f>
        <v>531.29999999999995</v>
      </c>
      <c r="C213" s="144">
        <f>VLOOKUP($A213,'Data shares'!$C:$FA,3)</f>
        <v>535.35</v>
      </c>
      <c r="D213" s="144">
        <f>VLOOKUP($A213,'Data shares'!$C:$FA,23)</f>
        <v>4.05</v>
      </c>
      <c r="E213" s="145">
        <f>VLOOKUP($A213,'Data shares'!$C:$FA,26)*100</f>
        <v>0.76</v>
      </c>
      <c r="F213" s="144">
        <f>VLOOKUP($A213,'Data shares'!$C:$FA,24)</f>
        <v>-0.15</v>
      </c>
      <c r="G213" s="144">
        <f>VLOOKUP($A213,'Data shares'!$C:$FA,25)</f>
        <v>4.2</v>
      </c>
    </row>
    <row r="214" spans="1:7" x14ac:dyDescent="0.25">
      <c r="A214" s="101" t="str">
        <f>'Data shares'!C210</f>
        <v>VEDL</v>
      </c>
      <c r="B214" s="144">
        <f>VLOOKUP($A214,'Data shares'!$C:$FA,7)</f>
        <v>344.9</v>
      </c>
      <c r="C214" s="144">
        <f>VLOOKUP($A214,'Data shares'!$C:$FA,3)</f>
        <v>347.1</v>
      </c>
      <c r="D214" s="144">
        <f>VLOOKUP($A214,'Data shares'!$C:$FA,23)</f>
        <v>2.2000000000000002</v>
      </c>
      <c r="E214" s="145">
        <f>VLOOKUP($A214,'Data shares'!$C:$FA,26)*100</f>
        <v>0.64</v>
      </c>
      <c r="F214" s="144">
        <f>VLOOKUP($A214,'Data shares'!$C:$FA,24)</f>
        <v>0</v>
      </c>
      <c r="G214" s="144">
        <f>VLOOKUP($A214,'Data shares'!$C:$FA,25)</f>
        <v>2.2000000000000002</v>
      </c>
    </row>
    <row r="215" spans="1:7" x14ac:dyDescent="0.25">
      <c r="A215" s="101" t="str">
        <f>'Data shares'!C211</f>
        <v>VMM</v>
      </c>
      <c r="B215" s="144">
        <f>VLOOKUP($A215,'Data shares'!$C:$FA,7)</f>
        <v>121.08</v>
      </c>
      <c r="C215" s="144">
        <f>VLOOKUP($A215,'Data shares'!$C:$FA,3)</f>
        <v>121.82</v>
      </c>
      <c r="D215" s="144">
        <f>VLOOKUP($A215,'Data shares'!$C:$FA,23)</f>
        <v>0.74</v>
      </c>
      <c r="E215" s="145">
        <f>VLOOKUP($A215,'Data shares'!$C:$FA,26)*100</f>
        <v>0.61</v>
      </c>
      <c r="F215" s="144">
        <f>VLOOKUP($A215,'Data shares'!$C:$FA,24)</f>
        <v>0.2</v>
      </c>
      <c r="G215" s="144">
        <f>VLOOKUP($A215,'Data shares'!$C:$FA,25)</f>
        <v>0.54</v>
      </c>
    </row>
    <row r="216" spans="1:7" x14ac:dyDescent="0.25">
      <c r="A216" s="101" t="str">
        <f>'Data shares'!C212</f>
        <v>VOLTAS</v>
      </c>
      <c r="B216" s="144">
        <f>VLOOKUP($A216,'Data shares'!$C:$FA,7)</f>
        <v>1271.4000000000001</v>
      </c>
      <c r="C216" s="144">
        <f>VLOOKUP($A216,'Data shares'!$C:$FA,3)</f>
        <v>1261.8</v>
      </c>
      <c r="D216" s="144">
        <f>VLOOKUP($A216,'Data shares'!$C:$FA,23)</f>
        <v>-9.6</v>
      </c>
      <c r="E216" s="145">
        <f>VLOOKUP($A216,'Data shares'!$C:$FA,26)*100</f>
        <v>-0.76</v>
      </c>
      <c r="F216" s="144">
        <f>VLOOKUP($A216,'Data shares'!$C:$FA,24)</f>
        <v>5.6</v>
      </c>
      <c r="G216" s="144">
        <f>VLOOKUP($A216,'Data shares'!$C:$FA,25)</f>
        <v>-15.2</v>
      </c>
    </row>
    <row r="217" spans="1:7" x14ac:dyDescent="0.25">
      <c r="A217" s="101" t="str">
        <f>'Data shares'!C213</f>
        <v>WAAREEENER</v>
      </c>
      <c r="B217" s="144">
        <f>VLOOKUP($A217,'Data shares'!$C:$FA,7)</f>
        <v>3088.1</v>
      </c>
      <c r="C217" s="144">
        <f>VLOOKUP($A217,'Data shares'!$C:$FA,3)</f>
        <v>3107.6</v>
      </c>
      <c r="D217" s="144">
        <f>VLOOKUP($A217,'Data shares'!$C:$FA,23)</f>
        <v>19.5</v>
      </c>
      <c r="E217" s="145">
        <f>VLOOKUP($A217,'Data shares'!$C:$FA,26)*100</f>
        <v>0.63</v>
      </c>
      <c r="F217" s="144">
        <f>VLOOKUP($A217,'Data shares'!$C:$FA,24)</f>
        <v>3.6</v>
      </c>
      <c r="G217" s="144">
        <f>VLOOKUP($A217,'Data shares'!$C:$FA,25)</f>
        <v>15.9</v>
      </c>
    </row>
    <row r="218" spans="1:7" x14ac:dyDescent="0.25">
      <c r="A218" s="101" t="str">
        <f>'Data shares'!C214</f>
        <v>WIPRO</v>
      </c>
      <c r="B218" s="144">
        <f>VLOOKUP($A218,'Data shares'!$C:$FA,7)</f>
        <v>203.73</v>
      </c>
      <c r="C218" s="144">
        <f>VLOOKUP($A218,'Data shares'!$C:$FA,3)</f>
        <v>181.41</v>
      </c>
      <c r="D218" s="144">
        <f>VLOOKUP($A218,'Data shares'!$C:$FA,23)</f>
        <v>-22.32</v>
      </c>
      <c r="E218" s="145">
        <f>VLOOKUP($A218,'Data shares'!$C:$FA,26)*100</f>
        <v>-10.96</v>
      </c>
      <c r="F218" s="144">
        <f>VLOOKUP($A218,'Data shares'!$C:$FA,24)</f>
        <v>0.2</v>
      </c>
      <c r="G218" s="144">
        <f>VLOOKUP($A218,'Data shares'!$C:$FA,25)</f>
        <v>-22.52</v>
      </c>
    </row>
    <row r="219" spans="1:7" x14ac:dyDescent="0.25">
      <c r="A219" s="101" t="str">
        <f>'Data shares'!C215</f>
        <v>YESBANK</v>
      </c>
      <c r="B219" s="144">
        <f>VLOOKUP($A219,'Data shares'!$C:$FA,7)</f>
        <v>22.83</v>
      </c>
      <c r="C219" s="144">
        <f>VLOOKUP($A219,'Data shares'!$C:$FA,3)</f>
        <v>23.01</v>
      </c>
      <c r="D219" s="144">
        <f>VLOOKUP($A219,'Data shares'!$C:$FA,23)</f>
        <v>0.18</v>
      </c>
      <c r="E219" s="145">
        <f>VLOOKUP($A219,'Data shares'!$C:$FA,26)*100</f>
        <v>0.79</v>
      </c>
      <c r="F219" s="144">
        <f>VLOOKUP($A219,'Data shares'!$C:$FA,24)</f>
        <v>0.03</v>
      </c>
      <c r="G219" s="144">
        <f>VLOOKUP($A219,'Data shares'!$C:$FA,25)</f>
        <v>0.15</v>
      </c>
    </row>
    <row r="220" spans="1:7" x14ac:dyDescent="0.25">
      <c r="A220" s="101" t="str">
        <f>'Data shares'!C216</f>
        <v>ZYDUSLIFE</v>
      </c>
      <c r="B220" s="144">
        <f>VLOOKUP($A220,'Data shares'!$C:$FA,7)</f>
        <v>1079.05</v>
      </c>
      <c r="C220" s="144">
        <f>VLOOKUP($A220,'Data shares'!$C:$FA,3)</f>
        <v>1084.55</v>
      </c>
      <c r="D220" s="144">
        <f>VLOOKUP($A220,'Data shares'!$C:$FA,23)</f>
        <v>5.5</v>
      </c>
      <c r="E220" s="145">
        <f>VLOOKUP($A220,'Data shares'!$C:$FA,26)*100</f>
        <v>0.51</v>
      </c>
      <c r="F220" s="144">
        <f>VLOOKUP($A220,'Data shares'!$C:$FA,24)</f>
        <v>-0.9</v>
      </c>
      <c r="G220" s="144">
        <f>VLOOKUP($A220,'Data shares'!$C:$FA,25)</f>
        <v>6.4</v>
      </c>
    </row>
    <row r="221" spans="1:7" x14ac:dyDescent="0.25">
      <c r="A221" s="101"/>
      <c r="B221" s="144"/>
      <c r="C221" s="144"/>
      <c r="D221" s="144"/>
      <c r="E221" s="145"/>
      <c r="F221" s="144"/>
      <c r="G221" s="144"/>
    </row>
    <row r="222" spans="1:7" x14ac:dyDescent="0.25">
      <c r="A222" s="101"/>
      <c r="B222" s="144"/>
      <c r="C222" s="144"/>
      <c r="D222" s="144"/>
      <c r="E222" s="145"/>
      <c r="F222" s="144"/>
      <c r="G222" s="144"/>
    </row>
    <row r="223" spans="1:7" x14ac:dyDescent="0.25">
      <c r="A223" s="101"/>
      <c r="B223" s="144"/>
      <c r="C223" s="144"/>
      <c r="D223" s="144"/>
      <c r="E223" s="145"/>
      <c r="F223" s="144"/>
      <c r="G223" s="144"/>
    </row>
    <row r="224" spans="1:7" x14ac:dyDescent="0.25">
      <c r="A224" s="101"/>
      <c r="B224" s="144"/>
      <c r="C224" s="144"/>
      <c r="D224" s="144"/>
      <c r="E224" s="145"/>
      <c r="F224" s="144"/>
      <c r="G224" s="144"/>
    </row>
    <row r="225" spans="1:7" x14ac:dyDescent="0.25">
      <c r="A225" s="101"/>
      <c r="B225" s="144"/>
      <c r="C225" s="144"/>
      <c r="D225" s="144"/>
      <c r="E225" s="145"/>
      <c r="F225" s="144"/>
      <c r="G225" s="144"/>
    </row>
    <row r="226" spans="1:7" x14ac:dyDescent="0.25">
      <c r="A226" s="101"/>
      <c r="B226" s="144"/>
      <c r="C226" s="144"/>
      <c r="D226" s="144"/>
      <c r="E226" s="145"/>
      <c r="F226" s="144"/>
      <c r="G226"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9"/>
  <sheetViews>
    <sheetView workbookViewId="0">
      <pane ySplit="6" topLeftCell="A195" activePane="bottomLeft" state="frozen"/>
      <selection pane="bottomLeft" activeCell="N233" sqref="N233"/>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3" t="s">
        <v>370</v>
      </c>
      <c r="B3" s="314"/>
      <c r="C3" s="314"/>
      <c r="D3" s="314"/>
      <c r="E3" s="314"/>
      <c r="F3" s="314"/>
      <c r="G3" s="315"/>
    </row>
    <row r="4" spans="1:7" x14ac:dyDescent="0.25">
      <c r="A4" s="317" t="s">
        <v>318</v>
      </c>
      <c r="B4" s="241" t="s">
        <v>371</v>
      </c>
      <c r="C4" s="241"/>
      <c r="D4" s="241"/>
      <c r="E4" s="241"/>
      <c r="F4" s="241"/>
      <c r="G4" s="241"/>
    </row>
    <row r="5" spans="1:7" x14ac:dyDescent="0.25">
      <c r="A5" s="318"/>
      <c r="B5" s="316" t="s">
        <v>372</v>
      </c>
      <c r="C5" s="316"/>
      <c r="D5" s="316"/>
      <c r="E5" s="316" t="s">
        <v>373</v>
      </c>
      <c r="F5" s="316"/>
      <c r="G5" s="316"/>
    </row>
    <row r="6" spans="1:7" x14ac:dyDescent="0.25">
      <c r="A6" s="241"/>
      <c r="B6" s="2" t="s">
        <v>374</v>
      </c>
      <c r="C6" s="2" t="s">
        <v>375</v>
      </c>
      <c r="D6" s="2" t="s">
        <v>376</v>
      </c>
      <c r="E6" s="2" t="s">
        <v>377</v>
      </c>
      <c r="F6" s="2" t="s">
        <v>378</v>
      </c>
      <c r="G6" s="2" t="s">
        <v>379</v>
      </c>
    </row>
    <row r="7" spans="1:7" x14ac:dyDescent="0.25">
      <c r="A7" s="49" t="str">
        <f>'Data Vlaue (Cr)'!C2</f>
        <v>360ONE</v>
      </c>
      <c r="B7" s="50">
        <f>VLOOKUP($A7,'Data shares'!$C:$FM,102)</f>
        <v>31.44</v>
      </c>
      <c r="C7" s="50">
        <f>VLOOKUP($A7,'Data shares'!$C:$FM,110)</f>
        <v>31.46</v>
      </c>
      <c r="D7" s="50">
        <f>VLOOKUP($A7,'Data shares'!$C:$FM,114)</f>
        <v>31.34</v>
      </c>
      <c r="E7" s="50">
        <f>VLOOKUP($A7,'Data shares'!$C:$FM,106)</f>
        <v>41.13</v>
      </c>
      <c r="F7" s="50">
        <f>VLOOKUP($A7,'Data shares'!$C:$FM,108)</f>
        <v>-9.69</v>
      </c>
      <c r="G7" s="50">
        <f t="shared" ref="G7:G38" si="0">B7/E7</f>
        <v>0.76440554339897882</v>
      </c>
    </row>
    <row r="8" spans="1:7" x14ac:dyDescent="0.25">
      <c r="A8" s="49" t="str">
        <f>'Data Vlaue (Cr)'!C3</f>
        <v>ABB</v>
      </c>
      <c r="B8" s="50">
        <f>VLOOKUP($A8,'Data shares'!$C:$FM,102)</f>
        <v>28.34</v>
      </c>
      <c r="C8" s="50">
        <f>VLOOKUP($A8,'Data shares'!$C:$FM,110)</f>
        <v>28.33</v>
      </c>
      <c r="D8" s="50">
        <f>VLOOKUP($A8,'Data shares'!$C:$FM,114)</f>
        <v>28.36</v>
      </c>
      <c r="E8" s="50">
        <f>VLOOKUP($A8,'Data shares'!$C:$FM,106)</f>
        <v>38.76</v>
      </c>
      <c r="F8" s="50">
        <f>VLOOKUP($A8,'Data shares'!$C:$FM,108)</f>
        <v>-10.42</v>
      </c>
      <c r="G8" s="50">
        <f t="shared" si="0"/>
        <v>0.73116615067079471</v>
      </c>
    </row>
    <row r="9" spans="1:7" x14ac:dyDescent="0.25">
      <c r="A9" s="49" t="str">
        <f>'Data Vlaue (Cr)'!C4</f>
        <v>ABCAPITAL</v>
      </c>
      <c r="B9" s="50">
        <f>VLOOKUP($A9,'Data shares'!$C:$FM,102)</f>
        <v>29.39</v>
      </c>
      <c r="C9" s="50">
        <f>VLOOKUP($A9,'Data shares'!$C:$FM,110)</f>
        <v>29.08</v>
      </c>
      <c r="D9" s="50">
        <f>VLOOKUP($A9,'Data shares'!$C:$FM,114)</f>
        <v>29.84</v>
      </c>
      <c r="E9" s="50">
        <f>VLOOKUP($A9,'Data shares'!$C:$FM,106)</f>
        <v>40.83</v>
      </c>
      <c r="F9" s="50">
        <f>VLOOKUP($A9,'Data shares'!$C:$FM,108)</f>
        <v>-11.44</v>
      </c>
      <c r="G9" s="50">
        <f t="shared" si="0"/>
        <v>0.71981386235611078</v>
      </c>
    </row>
    <row r="10" spans="1:7" x14ac:dyDescent="0.25">
      <c r="A10" s="49" t="str">
        <f>'Data Vlaue (Cr)'!C5</f>
        <v>ADANIENSOL</v>
      </c>
      <c r="B10" s="50">
        <f>VLOOKUP($A10,'Data shares'!$C:$FM,102)</f>
        <v>48.7</v>
      </c>
      <c r="C10" s="50">
        <f>VLOOKUP($A10,'Data shares'!$C:$FM,110)</f>
        <v>48.02</v>
      </c>
      <c r="D10" s="50">
        <f>VLOOKUP($A10,'Data shares'!$C:$FM,114)</f>
        <v>50.66</v>
      </c>
      <c r="E10" s="50">
        <f>VLOOKUP($A10,'Data shares'!$C:$FM,106)</f>
        <v>55.25</v>
      </c>
      <c r="F10" s="50">
        <f>VLOOKUP($A10,'Data shares'!$C:$FM,108)</f>
        <v>-6.55</v>
      </c>
      <c r="G10" s="50">
        <f t="shared" si="0"/>
        <v>0.88144796380090507</v>
      </c>
    </row>
    <row r="11" spans="1:7" x14ac:dyDescent="0.25">
      <c r="A11" s="49" t="str">
        <f>'Data Vlaue (Cr)'!C6</f>
        <v>ADANIENT</v>
      </c>
      <c r="B11" s="50">
        <f>VLOOKUP($A11,'Data shares'!$C:$FM,102)</f>
        <v>35.130000000000003</v>
      </c>
      <c r="C11" s="50">
        <f>VLOOKUP($A11,'Data shares'!$C:$FM,110)</f>
        <v>34.86</v>
      </c>
      <c r="D11" s="50">
        <f>VLOOKUP($A11,'Data shares'!$C:$FM,114)</f>
        <v>35.69</v>
      </c>
      <c r="E11" s="50">
        <f>VLOOKUP($A11,'Data shares'!$C:$FM,106)</f>
        <v>49.71</v>
      </c>
      <c r="F11" s="50">
        <f>VLOOKUP($A11,'Data shares'!$C:$FM,108)</f>
        <v>-14.58</v>
      </c>
      <c r="G11" s="50">
        <f t="shared" si="0"/>
        <v>0.70669885334942673</v>
      </c>
    </row>
    <row r="12" spans="1:7" x14ac:dyDescent="0.25">
      <c r="A12" s="49" t="str">
        <f>'Data Vlaue (Cr)'!C7</f>
        <v>ADANIGREEN</v>
      </c>
      <c r="B12" s="50">
        <f>VLOOKUP($A12,'Data shares'!$C:$FM,102)</f>
        <v>46.47</v>
      </c>
      <c r="C12" s="50">
        <f>VLOOKUP($A12,'Data shares'!$C:$FM,110)</f>
        <v>45.34</v>
      </c>
      <c r="D12" s="50">
        <f>VLOOKUP($A12,'Data shares'!$C:$FM,114)</f>
        <v>48.89</v>
      </c>
      <c r="E12" s="50">
        <f>VLOOKUP($A12,'Data shares'!$C:$FM,106)</f>
        <v>58.09</v>
      </c>
      <c r="F12" s="50">
        <f>VLOOKUP($A12,'Data shares'!$C:$FM,108)</f>
        <v>-11.62</v>
      </c>
      <c r="G12" s="50">
        <f t="shared" si="0"/>
        <v>0.79996557066620755</v>
      </c>
    </row>
    <row r="13" spans="1:7" x14ac:dyDescent="0.25">
      <c r="A13" s="49" t="str">
        <f>'Data Vlaue (Cr)'!C8</f>
        <v>ADANIPORTS</v>
      </c>
      <c r="B13" s="50">
        <f>VLOOKUP($A13,'Data shares'!$C:$FM,102)</f>
        <v>25.35</v>
      </c>
      <c r="C13" s="50">
        <f>VLOOKUP($A13,'Data shares'!$C:$FM,110)</f>
        <v>25.17</v>
      </c>
      <c r="D13" s="50">
        <f>VLOOKUP($A13,'Data shares'!$C:$FM,114)</f>
        <v>25.81</v>
      </c>
      <c r="E13" s="50">
        <f>VLOOKUP($A13,'Data shares'!$C:$FM,106)</f>
        <v>39.619999999999997</v>
      </c>
      <c r="F13" s="50">
        <f>VLOOKUP($A13,'Data shares'!$C:$FM,108)</f>
        <v>-14.27</v>
      </c>
      <c r="G13" s="50">
        <f t="shared" si="0"/>
        <v>0.63982836951034838</v>
      </c>
    </row>
    <row r="14" spans="1:7" x14ac:dyDescent="0.25">
      <c r="A14" s="49" t="str">
        <f>'Data Vlaue (Cr)'!C9</f>
        <v>ADANIPOWER</v>
      </c>
      <c r="B14" s="50">
        <f>VLOOKUP($A14,'Data shares'!$C:$FM,102)</f>
        <v>44.76</v>
      </c>
      <c r="C14" s="50">
        <f>VLOOKUP($A14,'Data shares'!$C:$FM,110)</f>
        <v>44.18</v>
      </c>
      <c r="D14" s="50">
        <f>VLOOKUP($A14,'Data shares'!$C:$FM,114)</f>
        <v>46.46</v>
      </c>
      <c r="E14" s="50">
        <f>VLOOKUP($A14,'Data shares'!$C:$FM,106)</f>
        <v>52.65</v>
      </c>
      <c r="F14" s="50">
        <f>VLOOKUP($A14,'Data shares'!$C:$FM,108)</f>
        <v>-7.89</v>
      </c>
      <c r="G14" s="50">
        <f t="shared" si="0"/>
        <v>0.85014245014245016</v>
      </c>
    </row>
    <row r="15" spans="1:7" x14ac:dyDescent="0.25">
      <c r="A15" s="49" t="str">
        <f>'Data Vlaue (Cr)'!C10</f>
        <v>ALKEM</v>
      </c>
      <c r="B15" s="50">
        <f>VLOOKUP($A15,'Data shares'!$C:$FM,102)</f>
        <v>27.33</v>
      </c>
      <c r="C15" s="50">
        <f>VLOOKUP($A15,'Data shares'!$C:$FM,110)</f>
        <v>28.11</v>
      </c>
      <c r="D15" s="50">
        <f>VLOOKUP($A15,'Data shares'!$C:$FM,114)</f>
        <v>26.41</v>
      </c>
      <c r="E15" s="50">
        <f>VLOOKUP($A15,'Data shares'!$C:$FM,106)</f>
        <v>28.71</v>
      </c>
      <c r="F15" s="50">
        <f>VLOOKUP($A15,'Data shares'!$C:$FM,108)</f>
        <v>-1.38</v>
      </c>
      <c r="G15" s="50">
        <f t="shared" si="0"/>
        <v>0.95193312434691735</v>
      </c>
    </row>
    <row r="16" spans="1:7" x14ac:dyDescent="0.25">
      <c r="A16" s="49" t="str">
        <f>'Data Vlaue (Cr)'!C11</f>
        <v>AMBER</v>
      </c>
      <c r="B16" s="50">
        <f>VLOOKUP($A16,'Data shares'!$C:$FM,102)</f>
        <v>34.15</v>
      </c>
      <c r="C16" s="50">
        <f>VLOOKUP($A16,'Data shares'!$C:$FM,110)</f>
        <v>36.130000000000003</v>
      </c>
      <c r="D16" s="50">
        <f>VLOOKUP($A16,'Data shares'!$C:$FM,114)</f>
        <v>32.200000000000003</v>
      </c>
      <c r="E16" s="50">
        <f>VLOOKUP($A16,'Data shares'!$C:$FM,106)</f>
        <v>58.56</v>
      </c>
      <c r="F16" s="50">
        <f>VLOOKUP($A16,'Data shares'!$C:$FM,108)</f>
        <v>-24.41</v>
      </c>
      <c r="G16" s="50">
        <f t="shared" si="0"/>
        <v>0.58316256830601088</v>
      </c>
    </row>
    <row r="17" spans="1:7" x14ac:dyDescent="0.25">
      <c r="A17" s="49" t="str">
        <f>'Data Vlaue (Cr)'!C12</f>
        <v>AMBUJACEM</v>
      </c>
      <c r="B17" s="50">
        <f>VLOOKUP($A17,'Data shares'!$C:$FM,102)</f>
        <v>26.5</v>
      </c>
      <c r="C17" s="50">
        <f>VLOOKUP($A17,'Data shares'!$C:$FM,110)</f>
        <v>27.24</v>
      </c>
      <c r="D17" s="50">
        <f>VLOOKUP($A17,'Data shares'!$C:$FM,114)</f>
        <v>24.67</v>
      </c>
      <c r="E17" s="50">
        <f>VLOOKUP($A17,'Data shares'!$C:$FM,106)</f>
        <v>36.18</v>
      </c>
      <c r="F17" s="50">
        <f>VLOOKUP($A17,'Data shares'!$C:$FM,108)</f>
        <v>-9.68</v>
      </c>
      <c r="G17" s="50">
        <f t="shared" si="0"/>
        <v>0.73244886677722498</v>
      </c>
    </row>
    <row r="18" spans="1:7" x14ac:dyDescent="0.25">
      <c r="A18" s="49" t="str">
        <f>'Data Vlaue (Cr)'!C13</f>
        <v>ANGELONE</v>
      </c>
      <c r="B18" s="50">
        <f>VLOOKUP($A18,'Data shares'!$C:$FM,102)</f>
        <v>38.94</v>
      </c>
      <c r="C18" s="50">
        <f>VLOOKUP($A18,'Data shares'!$C:$FM,110)</f>
        <v>38.11</v>
      </c>
      <c r="D18" s="50">
        <f>VLOOKUP($A18,'Data shares'!$C:$FM,114)</f>
        <v>39.880000000000003</v>
      </c>
      <c r="E18" s="50">
        <f>VLOOKUP($A18,'Data shares'!$C:$FM,106)</f>
        <v>56.4</v>
      </c>
      <c r="F18" s="50">
        <f>VLOOKUP($A18,'Data shares'!$C:$FM,108)</f>
        <v>-17.46</v>
      </c>
      <c r="G18" s="50">
        <f t="shared" si="0"/>
        <v>0.69042553191489364</v>
      </c>
    </row>
    <row r="19" spans="1:7" x14ac:dyDescent="0.25">
      <c r="A19" s="49" t="str">
        <f>'Data Vlaue (Cr)'!C14</f>
        <v>APLAPOLLO</v>
      </c>
      <c r="B19" s="50">
        <f>VLOOKUP($A19,'Data shares'!$C:$FM,102)</f>
        <v>25.04</v>
      </c>
      <c r="C19" s="50">
        <f>VLOOKUP($A19,'Data shares'!$C:$FM,110)</f>
        <v>24.95</v>
      </c>
      <c r="D19" s="50">
        <f>VLOOKUP($A19,'Data shares'!$C:$FM,114)</f>
        <v>25.14</v>
      </c>
      <c r="E19" s="50">
        <f>VLOOKUP($A19,'Data shares'!$C:$FM,106)</f>
        <v>35.69</v>
      </c>
      <c r="F19" s="50">
        <f>VLOOKUP($A19,'Data shares'!$C:$FM,108)</f>
        <v>-10.65</v>
      </c>
      <c r="G19" s="50">
        <f t="shared" si="0"/>
        <v>0.70159708601849258</v>
      </c>
    </row>
    <row r="20" spans="1:7" x14ac:dyDescent="0.25">
      <c r="A20" s="49" t="str">
        <f>'Data Vlaue (Cr)'!C15</f>
        <v>APOLLOHOSP</v>
      </c>
      <c r="B20" s="50">
        <f>VLOOKUP($A20,'Data shares'!$C:$FM,102)</f>
        <v>20.21</v>
      </c>
      <c r="C20" s="50">
        <f>VLOOKUP($A20,'Data shares'!$C:$FM,110)</f>
        <v>20.010000000000002</v>
      </c>
      <c r="D20" s="50">
        <f>VLOOKUP($A20,'Data shares'!$C:$FM,114)</f>
        <v>20.46</v>
      </c>
      <c r="E20" s="50">
        <f>VLOOKUP($A20,'Data shares'!$C:$FM,106)</f>
        <v>24.97</v>
      </c>
      <c r="F20" s="50">
        <f>VLOOKUP($A20,'Data shares'!$C:$FM,108)</f>
        <v>-4.76</v>
      </c>
      <c r="G20" s="50">
        <f t="shared" si="0"/>
        <v>0.80937124549459361</v>
      </c>
    </row>
    <row r="21" spans="1:7" x14ac:dyDescent="0.25">
      <c r="A21" s="49" t="str">
        <f>'Data Vlaue (Cr)'!C16</f>
        <v>ASHOKLEY</v>
      </c>
      <c r="B21" s="50">
        <f>VLOOKUP($A21,'Data shares'!$C:$FM,102)</f>
        <v>38.35</v>
      </c>
      <c r="C21" s="50">
        <f>VLOOKUP($A21,'Data shares'!$C:$FM,110)</f>
        <v>38.61</v>
      </c>
      <c r="D21" s="50">
        <f>VLOOKUP($A21,'Data shares'!$C:$FM,114)</f>
        <v>37.880000000000003</v>
      </c>
      <c r="E21" s="50">
        <f>VLOOKUP($A21,'Data shares'!$C:$FM,106)</f>
        <v>42.46</v>
      </c>
      <c r="F21" s="50">
        <f>VLOOKUP($A21,'Data shares'!$C:$FM,108)</f>
        <v>-4.1100000000000003</v>
      </c>
      <c r="G21" s="50">
        <f t="shared" si="0"/>
        <v>0.90320301460197838</v>
      </c>
    </row>
    <row r="22" spans="1:7" x14ac:dyDescent="0.25">
      <c r="A22" s="49" t="str">
        <f>'Data Vlaue (Cr)'!C17</f>
        <v>ASIANPAINT</v>
      </c>
      <c r="B22" s="50">
        <f>VLOOKUP($A22,'Data shares'!$C:$FM,102)</f>
        <v>29.03</v>
      </c>
      <c r="C22" s="50">
        <f>VLOOKUP($A22,'Data shares'!$C:$FM,110)</f>
        <v>28.71</v>
      </c>
      <c r="D22" s="50">
        <f>VLOOKUP($A22,'Data shares'!$C:$FM,114)</f>
        <v>29.5</v>
      </c>
      <c r="E22" s="50">
        <f>VLOOKUP($A22,'Data shares'!$C:$FM,106)</f>
        <v>29.27</v>
      </c>
      <c r="F22" s="50">
        <f>VLOOKUP($A22,'Data shares'!$C:$FM,108)</f>
        <v>-0.24</v>
      </c>
      <c r="G22" s="50">
        <f t="shared" si="0"/>
        <v>0.99180047830543228</v>
      </c>
    </row>
    <row r="23" spans="1:7" x14ac:dyDescent="0.25">
      <c r="A23" s="49" t="str">
        <f>'Data Vlaue (Cr)'!C18</f>
        <v>ASTRAL</v>
      </c>
      <c r="B23" s="50">
        <f>VLOOKUP($A23,'Data shares'!$C:$FM,102)</f>
        <v>29.38</v>
      </c>
      <c r="C23" s="50">
        <f>VLOOKUP($A23,'Data shares'!$C:$FM,110)</f>
        <v>29.49</v>
      </c>
      <c r="D23" s="50">
        <f>VLOOKUP($A23,'Data shares'!$C:$FM,114)</f>
        <v>29.13</v>
      </c>
      <c r="E23" s="50">
        <f>VLOOKUP($A23,'Data shares'!$C:$FM,106)</f>
        <v>36.340000000000003</v>
      </c>
      <c r="F23" s="50">
        <f>VLOOKUP($A23,'Data shares'!$C:$FM,108)</f>
        <v>-6.96</v>
      </c>
      <c r="G23" s="50">
        <f t="shared" si="0"/>
        <v>0.80847550908090249</v>
      </c>
    </row>
    <row r="24" spans="1:7" x14ac:dyDescent="0.25">
      <c r="A24" s="49" t="str">
        <f>'Data Vlaue (Cr)'!C19</f>
        <v>AUBANK</v>
      </c>
      <c r="B24" s="50">
        <f>VLOOKUP($A24,'Data shares'!$C:$FM,102)</f>
        <v>26.06</v>
      </c>
      <c r="C24" s="50">
        <f>VLOOKUP($A24,'Data shares'!$C:$FM,110)</f>
        <v>25.61</v>
      </c>
      <c r="D24" s="50">
        <f>VLOOKUP($A24,'Data shares'!$C:$FM,114)</f>
        <v>26.74</v>
      </c>
      <c r="E24" s="50">
        <f>VLOOKUP($A24,'Data shares'!$C:$FM,106)</f>
        <v>37.39</v>
      </c>
      <c r="F24" s="50">
        <f>VLOOKUP($A24,'Data shares'!$C:$FM,108)</f>
        <v>-11.33</v>
      </c>
      <c r="G24" s="50">
        <f t="shared" si="0"/>
        <v>0.69697780155121691</v>
      </c>
    </row>
    <row r="25" spans="1:7" x14ac:dyDescent="0.25">
      <c r="A25" s="49" t="str">
        <f>'Data Vlaue (Cr)'!C20</f>
        <v>AUROPHARMA</v>
      </c>
      <c r="B25" s="50">
        <f>VLOOKUP($A25,'Data shares'!$C:$FM,102)</f>
        <v>24.76</v>
      </c>
      <c r="C25" s="50">
        <f>VLOOKUP($A25,'Data shares'!$C:$FM,110)</f>
        <v>24.93</v>
      </c>
      <c r="D25" s="50">
        <f>VLOOKUP($A25,'Data shares'!$C:$FM,114)</f>
        <v>24.4</v>
      </c>
      <c r="E25" s="50">
        <f>VLOOKUP($A25,'Data shares'!$C:$FM,106)</f>
        <v>33.51</v>
      </c>
      <c r="F25" s="50">
        <f>VLOOKUP($A25,'Data shares'!$C:$FM,108)</f>
        <v>-8.75</v>
      </c>
      <c r="G25" s="50">
        <f t="shared" si="0"/>
        <v>0.7388839152491794</v>
      </c>
    </row>
    <row r="26" spans="1:7" x14ac:dyDescent="0.25">
      <c r="A26" s="49" t="str">
        <f>'Data Vlaue (Cr)'!C21</f>
        <v>AXISBANK</v>
      </c>
      <c r="B26" s="50">
        <f>VLOOKUP($A26,'Data shares'!$C:$FM,102)</f>
        <v>21.03</v>
      </c>
      <c r="C26" s="50">
        <f>VLOOKUP($A26,'Data shares'!$C:$FM,110)</f>
        <v>20.79</v>
      </c>
      <c r="D26" s="50">
        <f>VLOOKUP($A26,'Data shares'!$C:$FM,114)</f>
        <v>21.36</v>
      </c>
      <c r="E26" s="50">
        <f>VLOOKUP($A26,'Data shares'!$C:$FM,106)</f>
        <v>29.71</v>
      </c>
      <c r="F26" s="50">
        <f>VLOOKUP($A26,'Data shares'!$C:$FM,108)</f>
        <v>-8.68</v>
      </c>
      <c r="G26" s="50">
        <f t="shared" si="0"/>
        <v>0.70784247728037697</v>
      </c>
    </row>
    <row r="27" spans="1:7" x14ac:dyDescent="0.25">
      <c r="A27" s="49" t="str">
        <f>'Data Vlaue (Cr)'!C22</f>
        <v>BAJAJ-AUTO</v>
      </c>
      <c r="B27" s="50">
        <f>VLOOKUP($A27,'Data shares'!$C:$FM,102)</f>
        <v>23.18</v>
      </c>
      <c r="C27" s="50">
        <f>VLOOKUP($A27,'Data shares'!$C:$FM,110)</f>
        <v>23.36</v>
      </c>
      <c r="D27" s="50">
        <f>VLOOKUP($A27,'Data shares'!$C:$FM,114)</f>
        <v>22.76</v>
      </c>
      <c r="E27" s="50">
        <f>VLOOKUP($A27,'Data shares'!$C:$FM,106)</f>
        <v>29.99</v>
      </c>
      <c r="F27" s="50">
        <f>VLOOKUP($A27,'Data shares'!$C:$FM,108)</f>
        <v>-6.81</v>
      </c>
      <c r="G27" s="50">
        <f t="shared" si="0"/>
        <v>0.77292430810270096</v>
      </c>
    </row>
    <row r="28" spans="1:7" x14ac:dyDescent="0.25">
      <c r="A28" s="49" t="str">
        <f>'Data Vlaue (Cr)'!C23</f>
        <v>BAJAJFINSV</v>
      </c>
      <c r="B28" s="50">
        <f>VLOOKUP($A28,'Data shares'!$C:$FM,102)</f>
        <v>22.33</v>
      </c>
      <c r="C28" s="50">
        <f>VLOOKUP($A28,'Data shares'!$C:$FM,110)</f>
        <v>21.58</v>
      </c>
      <c r="D28" s="50">
        <f>VLOOKUP($A28,'Data shares'!$C:$FM,114)</f>
        <v>23.25</v>
      </c>
      <c r="E28" s="50">
        <f>VLOOKUP($A28,'Data shares'!$C:$FM,106)</f>
        <v>30.07</v>
      </c>
      <c r="F28" s="50">
        <f>VLOOKUP($A28,'Data shares'!$C:$FM,108)</f>
        <v>-7.74</v>
      </c>
      <c r="G28" s="50">
        <f t="shared" si="0"/>
        <v>0.742600598603259</v>
      </c>
    </row>
    <row r="29" spans="1:7" x14ac:dyDescent="0.25">
      <c r="A29" s="49" t="str">
        <f>'Data Vlaue (Cr)'!C24</f>
        <v>BAJAJHLDNG</v>
      </c>
      <c r="B29" s="50">
        <f>VLOOKUP($A29,'Data shares'!$C:$FM,102)</f>
        <v>31.79</v>
      </c>
      <c r="C29" s="50">
        <f>VLOOKUP($A29,'Data shares'!$C:$FM,110)</f>
        <v>31.96</v>
      </c>
      <c r="D29" s="50">
        <f>VLOOKUP($A29,'Data shares'!$C:$FM,114)</f>
        <v>30.74</v>
      </c>
      <c r="E29" s="50">
        <f>VLOOKUP($A29,'Data shares'!$C:$FM,106)</f>
        <v>37.5</v>
      </c>
      <c r="F29" s="50">
        <f>VLOOKUP($A29,'Data shares'!$C:$FM,108)</f>
        <v>-5.71</v>
      </c>
      <c r="G29" s="50">
        <f t="shared" si="0"/>
        <v>0.84773333333333334</v>
      </c>
    </row>
    <row r="30" spans="1:7" x14ac:dyDescent="0.25">
      <c r="A30" s="49" t="str">
        <f>'Data Vlaue (Cr)'!C25</f>
        <v>BAJFINANCE</v>
      </c>
      <c r="B30" s="50">
        <f>VLOOKUP($A30,'Data shares'!$C:$FM,102)</f>
        <v>25.96</v>
      </c>
      <c r="C30" s="50">
        <f>VLOOKUP($A30,'Data shares'!$C:$FM,110)</f>
        <v>25.92</v>
      </c>
      <c r="D30" s="50">
        <f>VLOOKUP($A30,'Data shares'!$C:$FM,114)</f>
        <v>26.03</v>
      </c>
      <c r="E30" s="50">
        <f>VLOOKUP($A30,'Data shares'!$C:$FM,106)</f>
        <v>35.159999999999997</v>
      </c>
      <c r="F30" s="50">
        <f>VLOOKUP($A30,'Data shares'!$C:$FM,108)</f>
        <v>-9.1999999999999993</v>
      </c>
      <c r="G30" s="50">
        <f t="shared" si="0"/>
        <v>0.73833902161547227</v>
      </c>
    </row>
    <row r="31" spans="1:7" x14ac:dyDescent="0.25">
      <c r="A31" s="49" t="str">
        <f>'Data Vlaue (Cr)'!C26</f>
        <v>BANDHANBNK</v>
      </c>
      <c r="B31" s="50">
        <f>VLOOKUP($A31,'Data shares'!$C:$FM,102)</f>
        <v>32.47</v>
      </c>
      <c r="C31" s="50">
        <f>VLOOKUP($A31,'Data shares'!$C:$FM,110)</f>
        <v>32.56</v>
      </c>
      <c r="D31" s="50">
        <f>VLOOKUP($A31,'Data shares'!$C:$FM,114)</f>
        <v>32.159999999999997</v>
      </c>
      <c r="E31" s="50">
        <f>VLOOKUP($A31,'Data shares'!$C:$FM,106)</f>
        <v>46.62</v>
      </c>
      <c r="F31" s="50">
        <f>VLOOKUP($A31,'Data shares'!$C:$FM,108)</f>
        <v>-14.15</v>
      </c>
      <c r="G31" s="50">
        <f t="shared" si="0"/>
        <v>0.69648219648219645</v>
      </c>
    </row>
    <row r="32" spans="1:7" x14ac:dyDescent="0.25">
      <c r="A32" s="49" t="str">
        <f>'Data Vlaue (Cr)'!C27</f>
        <v>BANKBARODA</v>
      </c>
      <c r="B32" s="50">
        <f>VLOOKUP($A32,'Data shares'!$C:$FM,102)</f>
        <v>26.17</v>
      </c>
      <c r="C32" s="50">
        <f>VLOOKUP($A32,'Data shares'!$C:$FM,110)</f>
        <v>25.71</v>
      </c>
      <c r="D32" s="50">
        <f>VLOOKUP($A32,'Data shares'!$C:$FM,114)</f>
        <v>26.86</v>
      </c>
      <c r="E32" s="50">
        <f>VLOOKUP($A32,'Data shares'!$C:$FM,106)</f>
        <v>36.1</v>
      </c>
      <c r="F32" s="50">
        <f>VLOOKUP($A32,'Data shares'!$C:$FM,108)</f>
        <v>-9.93</v>
      </c>
      <c r="G32" s="50">
        <f t="shared" si="0"/>
        <v>0.72493074792243772</v>
      </c>
    </row>
    <row r="33" spans="1:7" x14ac:dyDescent="0.25">
      <c r="A33" s="49" t="str">
        <f>'Data Vlaue (Cr)'!C28</f>
        <v>BANKINDIA</v>
      </c>
      <c r="B33" s="50">
        <f>VLOOKUP($A33,'Data shares'!$C:$FM,102)</f>
        <v>30.96</v>
      </c>
      <c r="C33" s="50">
        <f>VLOOKUP($A33,'Data shares'!$C:$FM,110)</f>
        <v>30.81</v>
      </c>
      <c r="D33" s="50">
        <f>VLOOKUP($A33,'Data shares'!$C:$FM,114)</f>
        <v>31.24</v>
      </c>
      <c r="E33" s="50">
        <f>VLOOKUP($A33,'Data shares'!$C:$FM,106)</f>
        <v>42.18</v>
      </c>
      <c r="F33" s="50">
        <f>VLOOKUP($A33,'Data shares'!$C:$FM,108)</f>
        <v>-11.22</v>
      </c>
      <c r="G33" s="50">
        <f t="shared" si="0"/>
        <v>0.73399715504978669</v>
      </c>
    </row>
    <row r="34" spans="1:7" x14ac:dyDescent="0.25">
      <c r="A34" s="49" t="str">
        <f>'Data Vlaue (Cr)'!C29</f>
        <v>BANKNIFTY</v>
      </c>
      <c r="B34" s="50">
        <f>VLOOKUP($A34,'Data shares'!$C:$FM,102)</f>
        <v>17.829999999999998</v>
      </c>
      <c r="C34" s="50">
        <f>VLOOKUP($A34,'Data shares'!$C:$FM,110)</f>
        <v>16.47</v>
      </c>
      <c r="D34" s="50">
        <f>VLOOKUP($A34,'Data shares'!$C:$FM,114)</f>
        <v>19.27</v>
      </c>
      <c r="E34" s="50">
        <f>VLOOKUP($A34,'Data shares'!$C:$FM,106)</f>
        <v>21.31</v>
      </c>
      <c r="F34" s="50">
        <f>VLOOKUP($A34,'Data shares'!$C:$FM,108)</f>
        <v>-3.48</v>
      </c>
      <c r="G34" s="50">
        <f t="shared" si="0"/>
        <v>0.83669638667292345</v>
      </c>
    </row>
    <row r="35" spans="1:7" x14ac:dyDescent="0.25">
      <c r="A35" s="49" t="str">
        <f>'Data Vlaue (Cr)'!C30</f>
        <v>BDL</v>
      </c>
      <c r="B35" s="50">
        <f>VLOOKUP($A35,'Data shares'!$C:$FM,102)</f>
        <v>39.53</v>
      </c>
      <c r="C35" s="50">
        <f>VLOOKUP($A35,'Data shares'!$C:$FM,110)</f>
        <v>39.619999999999997</v>
      </c>
      <c r="D35" s="50">
        <f>VLOOKUP($A35,'Data shares'!$C:$FM,114)</f>
        <v>39.19</v>
      </c>
      <c r="E35" s="50">
        <f>VLOOKUP($A35,'Data shares'!$C:$FM,106)</f>
        <v>51.86</v>
      </c>
      <c r="F35" s="50">
        <f>VLOOKUP($A35,'Data shares'!$C:$FM,108)</f>
        <v>-12.33</v>
      </c>
      <c r="G35" s="50">
        <f t="shared" si="0"/>
        <v>0.76224450443501734</v>
      </c>
    </row>
    <row r="36" spans="1:7" x14ac:dyDescent="0.25">
      <c r="A36" s="49" t="str">
        <f>'Data Vlaue (Cr)'!C31</f>
        <v>BEL</v>
      </c>
      <c r="B36" s="50">
        <f>VLOOKUP($A36,'Data shares'!$C:$FM,102)</f>
        <v>25.18</v>
      </c>
      <c r="C36" s="50">
        <f>VLOOKUP($A36,'Data shares'!$C:$FM,110)</f>
        <v>25.42</v>
      </c>
      <c r="D36" s="50">
        <f>VLOOKUP($A36,'Data shares'!$C:$FM,114)</f>
        <v>24.73</v>
      </c>
      <c r="E36" s="50">
        <f>VLOOKUP($A36,'Data shares'!$C:$FM,106)</f>
        <v>36.01</v>
      </c>
      <c r="F36" s="50">
        <f>VLOOKUP($A36,'Data shares'!$C:$FM,108)</f>
        <v>-10.83</v>
      </c>
      <c r="G36" s="50">
        <f t="shared" si="0"/>
        <v>0.69925020827547901</v>
      </c>
    </row>
    <row r="37" spans="1:7" x14ac:dyDescent="0.25">
      <c r="A37" s="49" t="str">
        <f>'Data Vlaue (Cr)'!C32</f>
        <v>BHARATFORG</v>
      </c>
      <c r="B37" s="50">
        <f>VLOOKUP($A37,'Data shares'!$C:$FM,102)</f>
        <v>28.47</v>
      </c>
      <c r="C37" s="50">
        <f>VLOOKUP($A37,'Data shares'!$C:$FM,110)</f>
        <v>28.47</v>
      </c>
      <c r="D37" s="50">
        <f>VLOOKUP($A37,'Data shares'!$C:$FM,114)</f>
        <v>28.45</v>
      </c>
      <c r="E37" s="50">
        <f>VLOOKUP($A37,'Data shares'!$C:$FM,106)</f>
        <v>39.28</v>
      </c>
      <c r="F37" s="50">
        <f>VLOOKUP($A37,'Data shares'!$C:$FM,108)</f>
        <v>-10.81</v>
      </c>
      <c r="G37" s="50">
        <f t="shared" si="0"/>
        <v>0.72479633401221988</v>
      </c>
    </row>
    <row r="38" spans="1:7" x14ac:dyDescent="0.25">
      <c r="A38" s="49" t="str">
        <f>'Data Vlaue (Cr)'!C33</f>
        <v>BHARTIARTL</v>
      </c>
      <c r="B38" s="50">
        <f>VLOOKUP($A38,'Data shares'!$C:$FM,102)</f>
        <v>18.899999999999999</v>
      </c>
      <c r="C38" s="50">
        <f>VLOOKUP($A38,'Data shares'!$C:$FM,110)</f>
        <v>19.22</v>
      </c>
      <c r="D38" s="50">
        <f>VLOOKUP($A38,'Data shares'!$C:$FM,114)</f>
        <v>18.329999999999998</v>
      </c>
      <c r="E38" s="50">
        <f>VLOOKUP($A38,'Data shares'!$C:$FM,106)</f>
        <v>25.66</v>
      </c>
      <c r="F38" s="50">
        <f>VLOOKUP($A38,'Data shares'!$C:$FM,108)</f>
        <v>-6.76</v>
      </c>
      <c r="G38" s="50">
        <f t="shared" si="0"/>
        <v>0.73655494933749022</v>
      </c>
    </row>
    <row r="39" spans="1:7" x14ac:dyDescent="0.25">
      <c r="A39" s="49" t="str">
        <f>'Data Vlaue (Cr)'!C34</f>
        <v>BHEL</v>
      </c>
      <c r="B39" s="50">
        <f>VLOOKUP($A39,'Data shares'!$C:$FM,102)</f>
        <v>34.24</v>
      </c>
      <c r="C39" s="50">
        <f>VLOOKUP($A39,'Data shares'!$C:$FM,110)</f>
        <v>34.08</v>
      </c>
      <c r="D39" s="50">
        <f>VLOOKUP($A39,'Data shares'!$C:$FM,114)</f>
        <v>34.56</v>
      </c>
      <c r="E39" s="50">
        <f>VLOOKUP($A39,'Data shares'!$C:$FM,106)</f>
        <v>47.6</v>
      </c>
      <c r="F39" s="50">
        <f>VLOOKUP($A39,'Data shares'!$C:$FM,108)</f>
        <v>-13.36</v>
      </c>
      <c r="G39" s="50">
        <f t="shared" ref="G39:G70" si="1">B39/E39</f>
        <v>0.71932773109243697</v>
      </c>
    </row>
    <row r="40" spans="1:7" x14ac:dyDescent="0.25">
      <c r="A40" s="49" t="str">
        <f>'Data Vlaue (Cr)'!C35</f>
        <v>BIOCON</v>
      </c>
      <c r="B40" s="50">
        <f>VLOOKUP($A40,'Data shares'!$C:$FM,102)</f>
        <v>29.2</v>
      </c>
      <c r="C40" s="50">
        <f>VLOOKUP($A40,'Data shares'!$C:$FM,110)</f>
        <v>29.05</v>
      </c>
      <c r="D40" s="50">
        <f>VLOOKUP($A40,'Data shares'!$C:$FM,114)</f>
        <v>29.81</v>
      </c>
      <c r="E40" s="50">
        <f>VLOOKUP($A40,'Data shares'!$C:$FM,106)</f>
        <v>35.880000000000003</v>
      </c>
      <c r="F40" s="50">
        <f>VLOOKUP($A40,'Data shares'!$C:$FM,108)</f>
        <v>-6.68</v>
      </c>
      <c r="G40" s="50">
        <f t="shared" si="1"/>
        <v>0.81382385730211815</v>
      </c>
    </row>
    <row r="41" spans="1:7" x14ac:dyDescent="0.25">
      <c r="A41" s="49" t="str">
        <f>'Data Vlaue (Cr)'!C36</f>
        <v>BLUESTARCO</v>
      </c>
      <c r="B41" s="50">
        <f>VLOOKUP($A41,'Data shares'!$C:$FM,102)</f>
        <v>35.56</v>
      </c>
      <c r="C41" s="50">
        <f>VLOOKUP($A41,'Data shares'!$C:$FM,110)</f>
        <v>35.58</v>
      </c>
      <c r="D41" s="50">
        <f>VLOOKUP($A41,'Data shares'!$C:$FM,114)</f>
        <v>35.53</v>
      </c>
      <c r="E41" s="50">
        <f>VLOOKUP($A41,'Data shares'!$C:$FM,106)</f>
        <v>42.29</v>
      </c>
      <c r="F41" s="50">
        <f>VLOOKUP($A41,'Data shares'!$C:$FM,108)</f>
        <v>-6.73</v>
      </c>
      <c r="G41" s="50">
        <f t="shared" si="1"/>
        <v>0.84086072357531338</v>
      </c>
    </row>
    <row r="42" spans="1:7" x14ac:dyDescent="0.25">
      <c r="A42" s="49" t="str">
        <f>'Data Vlaue (Cr)'!C37</f>
        <v>BOSCHLTD</v>
      </c>
      <c r="B42" s="50">
        <f>VLOOKUP($A42,'Data shares'!$C:$FM,102)</f>
        <v>28.51</v>
      </c>
      <c r="C42" s="50">
        <f>VLOOKUP($A42,'Data shares'!$C:$FM,110)</f>
        <v>28.76</v>
      </c>
      <c r="D42" s="50">
        <f>VLOOKUP($A42,'Data shares'!$C:$FM,114)</f>
        <v>27.99</v>
      </c>
      <c r="E42" s="50">
        <f>VLOOKUP($A42,'Data shares'!$C:$FM,106)</f>
        <v>34.979999999999997</v>
      </c>
      <c r="F42" s="50">
        <f>VLOOKUP($A42,'Data shares'!$C:$FM,108)</f>
        <v>-6.47</v>
      </c>
      <c r="G42" s="50">
        <f t="shared" si="1"/>
        <v>0.81503716409376803</v>
      </c>
    </row>
    <row r="43" spans="1:7" x14ac:dyDescent="0.25">
      <c r="A43" s="49" t="str">
        <f>'Data Vlaue (Cr)'!C38</f>
        <v>BPCL</v>
      </c>
      <c r="B43" s="50">
        <f>VLOOKUP($A43,'Data shares'!$C:$FM,102)</f>
        <v>31.3</v>
      </c>
      <c r="C43" s="50">
        <f>VLOOKUP($A43,'Data shares'!$C:$FM,110)</f>
        <v>31.18</v>
      </c>
      <c r="D43" s="50">
        <f>VLOOKUP($A43,'Data shares'!$C:$FM,114)</f>
        <v>31.49</v>
      </c>
      <c r="E43" s="50">
        <f>VLOOKUP($A43,'Data shares'!$C:$FM,106)</f>
        <v>37.82</v>
      </c>
      <c r="F43" s="50">
        <f>VLOOKUP($A43,'Data shares'!$C:$FM,108)</f>
        <v>-6.52</v>
      </c>
      <c r="G43" s="50">
        <f t="shared" si="1"/>
        <v>0.82760444209413009</v>
      </c>
    </row>
    <row r="44" spans="1:7" x14ac:dyDescent="0.25">
      <c r="A44" s="49" t="str">
        <f>'Data Vlaue (Cr)'!C39</f>
        <v>BRITANNIA</v>
      </c>
      <c r="B44" s="50">
        <f>VLOOKUP($A44,'Data shares'!$C:$FM,102)</f>
        <v>21.34</v>
      </c>
      <c r="C44" s="50">
        <f>VLOOKUP($A44,'Data shares'!$C:$FM,110)</f>
        <v>21.51</v>
      </c>
      <c r="D44" s="50">
        <f>VLOOKUP($A44,'Data shares'!$C:$FM,114)</f>
        <v>21.11</v>
      </c>
      <c r="E44" s="50">
        <f>VLOOKUP($A44,'Data shares'!$C:$FM,106)</f>
        <v>25.51</v>
      </c>
      <c r="F44" s="50">
        <f>VLOOKUP($A44,'Data shares'!$C:$FM,108)</f>
        <v>-4.17</v>
      </c>
      <c r="G44" s="50">
        <f t="shared" si="1"/>
        <v>0.83653469227753818</v>
      </c>
    </row>
    <row r="45" spans="1:7" x14ac:dyDescent="0.25">
      <c r="A45" s="49" t="str">
        <f>'Data Vlaue (Cr)'!C40</f>
        <v>BSE</v>
      </c>
      <c r="B45" s="50">
        <f>VLOOKUP($A45,'Data shares'!$C:$FM,102)</f>
        <v>32.950000000000003</v>
      </c>
      <c r="C45" s="50">
        <f>VLOOKUP($A45,'Data shares'!$C:$FM,110)</f>
        <v>32.049999999999997</v>
      </c>
      <c r="D45" s="50">
        <f>VLOOKUP($A45,'Data shares'!$C:$FM,114)</f>
        <v>34.31</v>
      </c>
      <c r="E45" s="50">
        <f>VLOOKUP($A45,'Data shares'!$C:$FM,106)</f>
        <v>56.83</v>
      </c>
      <c r="F45" s="50">
        <f>VLOOKUP($A45,'Data shares'!$C:$FM,108)</f>
        <v>-23.88</v>
      </c>
      <c r="G45" s="50">
        <f t="shared" si="1"/>
        <v>0.57979940172444133</v>
      </c>
    </row>
    <row r="46" spans="1:7" x14ac:dyDescent="0.25">
      <c r="A46" s="49" t="str">
        <f>'Data Vlaue (Cr)'!C41</f>
        <v>CAMS</v>
      </c>
      <c r="B46" s="50">
        <f>VLOOKUP($A46,'Data shares'!$C:$FM,102)</f>
        <v>30.08</v>
      </c>
      <c r="C46" s="50">
        <f>VLOOKUP($A46,'Data shares'!$C:$FM,110)</f>
        <v>29.59</v>
      </c>
      <c r="D46" s="50">
        <f>VLOOKUP($A46,'Data shares'!$C:$FM,114)</f>
        <v>31.07</v>
      </c>
      <c r="E46" s="50">
        <f>VLOOKUP($A46,'Data shares'!$C:$FM,106)</f>
        <v>41.81</v>
      </c>
      <c r="F46" s="50">
        <f>VLOOKUP($A46,'Data shares'!$C:$FM,108)</f>
        <v>-11.73</v>
      </c>
      <c r="G46" s="50">
        <f t="shared" si="1"/>
        <v>0.71944510882563972</v>
      </c>
    </row>
    <row r="47" spans="1:7" x14ac:dyDescent="0.25">
      <c r="A47" s="49" t="str">
        <f>'Data Vlaue (Cr)'!C42</f>
        <v>CANBK</v>
      </c>
      <c r="B47" s="50">
        <f>VLOOKUP($A47,'Data shares'!$C:$FM,102)</f>
        <v>28.25</v>
      </c>
      <c r="C47" s="50">
        <f>VLOOKUP($A47,'Data shares'!$C:$FM,110)</f>
        <v>28.38</v>
      </c>
      <c r="D47" s="50">
        <f>VLOOKUP($A47,'Data shares'!$C:$FM,114)</f>
        <v>28.09</v>
      </c>
      <c r="E47" s="50">
        <f>VLOOKUP($A47,'Data shares'!$C:$FM,106)</f>
        <v>38.58</v>
      </c>
      <c r="F47" s="50">
        <f>VLOOKUP($A47,'Data shares'!$C:$FM,108)</f>
        <v>-10.33</v>
      </c>
      <c r="G47" s="50">
        <f t="shared" si="1"/>
        <v>0.73224468636599283</v>
      </c>
    </row>
    <row r="48" spans="1:7" x14ac:dyDescent="0.25">
      <c r="A48" s="49" t="str">
        <f>'Data Vlaue (Cr)'!C43</f>
        <v>CDSL</v>
      </c>
      <c r="B48" s="50">
        <f>VLOOKUP($A48,'Data shares'!$C:$FM,102)</f>
        <v>29.89</v>
      </c>
      <c r="C48" s="50">
        <f>VLOOKUP($A48,'Data shares'!$C:$FM,110)</f>
        <v>30.19</v>
      </c>
      <c r="D48" s="50">
        <f>VLOOKUP($A48,'Data shares'!$C:$FM,114)</f>
        <v>29.34</v>
      </c>
      <c r="E48" s="50">
        <f>VLOOKUP($A48,'Data shares'!$C:$FM,106)</f>
        <v>45.43</v>
      </c>
      <c r="F48" s="50">
        <f>VLOOKUP($A48,'Data shares'!$C:$FM,108)</f>
        <v>-15.54</v>
      </c>
      <c r="G48" s="50">
        <f t="shared" si="1"/>
        <v>0.65793528505392918</v>
      </c>
    </row>
    <row r="49" spans="1:7" x14ac:dyDescent="0.25">
      <c r="A49" s="49" t="str">
        <f>'Data Vlaue (Cr)'!C44</f>
        <v>CGPOWER</v>
      </c>
      <c r="B49" s="50">
        <f>VLOOKUP($A49,'Data shares'!$C:$FM,102)</f>
        <v>31.6</v>
      </c>
      <c r="C49" s="50">
        <f>VLOOKUP($A49,'Data shares'!$C:$FM,110)</f>
        <v>31.52</v>
      </c>
      <c r="D49" s="50">
        <f>VLOOKUP($A49,'Data shares'!$C:$FM,114)</f>
        <v>31.89</v>
      </c>
      <c r="E49" s="50">
        <f>VLOOKUP($A49,'Data shares'!$C:$FM,106)</f>
        <v>41.83</v>
      </c>
      <c r="F49" s="50">
        <f>VLOOKUP($A49,'Data shares'!$C:$FM,108)</f>
        <v>-10.23</v>
      </c>
      <c r="G49" s="50">
        <f t="shared" si="1"/>
        <v>0.75543868037293815</v>
      </c>
    </row>
    <row r="50" spans="1:7" x14ac:dyDescent="0.25">
      <c r="A50" s="49" t="str">
        <f>'Data Vlaue (Cr)'!C45</f>
        <v>CHOLAFIN</v>
      </c>
      <c r="B50" s="50">
        <f>VLOOKUP($A50,'Data shares'!$C:$FM,102)</f>
        <v>29.37</v>
      </c>
      <c r="C50" s="50">
        <f>VLOOKUP($A50,'Data shares'!$C:$FM,110)</f>
        <v>29.35</v>
      </c>
      <c r="D50" s="50">
        <f>VLOOKUP($A50,'Data shares'!$C:$FM,114)</f>
        <v>29.4</v>
      </c>
      <c r="E50" s="50">
        <f>VLOOKUP($A50,'Data shares'!$C:$FM,106)</f>
        <v>40.619999999999997</v>
      </c>
      <c r="F50" s="50">
        <f>VLOOKUP($A50,'Data shares'!$C:$FM,108)</f>
        <v>-11.25</v>
      </c>
      <c r="G50" s="50">
        <f t="shared" si="1"/>
        <v>0.72304283604135899</v>
      </c>
    </row>
    <row r="51" spans="1:7" x14ac:dyDescent="0.25">
      <c r="A51" s="49" t="str">
        <f>'Data Vlaue (Cr)'!C46</f>
        <v>CIPLA</v>
      </c>
      <c r="B51" s="50">
        <f>VLOOKUP($A51,'Data shares'!$C:$FM,102)</f>
        <v>20.82</v>
      </c>
      <c r="C51" s="50">
        <f>VLOOKUP($A51,'Data shares'!$C:$FM,110)</f>
        <v>20.079999999999998</v>
      </c>
      <c r="D51" s="50">
        <f>VLOOKUP($A51,'Data shares'!$C:$FM,114)</f>
        <v>21.97</v>
      </c>
      <c r="E51" s="50">
        <f>VLOOKUP($A51,'Data shares'!$C:$FM,106)</f>
        <v>27.78</v>
      </c>
      <c r="F51" s="50">
        <f>VLOOKUP($A51,'Data shares'!$C:$FM,108)</f>
        <v>-6.96</v>
      </c>
      <c r="G51" s="50">
        <f t="shared" si="1"/>
        <v>0.74946004319654425</v>
      </c>
    </row>
    <row r="52" spans="1:7" x14ac:dyDescent="0.25">
      <c r="A52" s="49" t="str">
        <f>'Data Vlaue (Cr)'!C47</f>
        <v>COALINDIA</v>
      </c>
      <c r="B52" s="50">
        <f>VLOOKUP($A52,'Data shares'!$C:$FM,102)</f>
        <v>27.05</v>
      </c>
      <c r="C52" s="50">
        <f>VLOOKUP($A52,'Data shares'!$C:$FM,110)</f>
        <v>26.12</v>
      </c>
      <c r="D52" s="50">
        <f>VLOOKUP($A52,'Data shares'!$C:$FM,114)</f>
        <v>28.36</v>
      </c>
      <c r="E52" s="50">
        <f>VLOOKUP($A52,'Data shares'!$C:$FM,106)</f>
        <v>30.53</v>
      </c>
      <c r="F52" s="50">
        <f>VLOOKUP($A52,'Data shares'!$C:$FM,108)</f>
        <v>-3.48</v>
      </c>
      <c r="G52" s="50">
        <f t="shared" si="1"/>
        <v>0.88601375696036688</v>
      </c>
    </row>
    <row r="53" spans="1:7" x14ac:dyDescent="0.25">
      <c r="A53" s="49" t="str">
        <f>'Data Vlaue (Cr)'!C48</f>
        <v>COCHINSHIP</v>
      </c>
      <c r="B53" s="50">
        <f>VLOOKUP($A53,'Data shares'!$C:$FM,102)</f>
        <v>37.21</v>
      </c>
      <c r="C53" s="50">
        <f>VLOOKUP($A53,'Data shares'!$C:$FM,110)</f>
        <v>36.97</v>
      </c>
      <c r="D53" s="50">
        <f>VLOOKUP($A53,'Data shares'!$C:$FM,114)</f>
        <v>37.72</v>
      </c>
      <c r="E53" s="50">
        <f>VLOOKUP($A53,'Data shares'!$C:$FM,106)</f>
        <v>54.23</v>
      </c>
      <c r="F53" s="50">
        <f>VLOOKUP($A53,'Data shares'!$C:$FM,108)</f>
        <v>-17.02</v>
      </c>
      <c r="G53" s="50">
        <f t="shared" si="1"/>
        <v>0.68615157661810811</v>
      </c>
    </row>
    <row r="54" spans="1:7" x14ac:dyDescent="0.25">
      <c r="A54" s="49" t="str">
        <f>'Data Vlaue (Cr)'!C49</f>
        <v>COFORGE</v>
      </c>
      <c r="B54" s="50">
        <f>VLOOKUP($A54,'Data shares'!$C:$FM,102)</f>
        <v>33.81</v>
      </c>
      <c r="C54" s="50">
        <f>VLOOKUP($A54,'Data shares'!$C:$FM,110)</f>
        <v>33.229999999999997</v>
      </c>
      <c r="D54" s="50">
        <f>VLOOKUP($A54,'Data shares'!$C:$FM,114)</f>
        <v>35.26</v>
      </c>
      <c r="E54" s="50">
        <f>VLOOKUP($A54,'Data shares'!$C:$FM,106)</f>
        <v>46.32</v>
      </c>
      <c r="F54" s="50">
        <f>VLOOKUP($A54,'Data shares'!$C:$FM,108)</f>
        <v>-12.51</v>
      </c>
      <c r="G54" s="50">
        <f t="shared" si="1"/>
        <v>0.72992227979274615</v>
      </c>
    </row>
    <row r="55" spans="1:7" x14ac:dyDescent="0.25">
      <c r="A55" s="49" t="str">
        <f>'Data Vlaue (Cr)'!C50</f>
        <v>COLPAL</v>
      </c>
      <c r="B55" s="50">
        <f>VLOOKUP($A55,'Data shares'!$C:$FM,102)</f>
        <v>24.74</v>
      </c>
      <c r="C55" s="50">
        <f>VLOOKUP($A55,'Data shares'!$C:$FM,110)</f>
        <v>24.97</v>
      </c>
      <c r="D55" s="50">
        <f>VLOOKUP($A55,'Data shares'!$C:$FM,114)</f>
        <v>24.32</v>
      </c>
      <c r="E55" s="50">
        <f>VLOOKUP($A55,'Data shares'!$C:$FM,106)</f>
        <v>30.01</v>
      </c>
      <c r="F55" s="50">
        <f>VLOOKUP($A55,'Data shares'!$C:$FM,108)</f>
        <v>-5.27</v>
      </c>
      <c r="G55" s="50">
        <f t="shared" si="1"/>
        <v>0.82439186937687425</v>
      </c>
    </row>
    <row r="56" spans="1:7" x14ac:dyDescent="0.25">
      <c r="A56" s="49" t="str">
        <f>'Data Vlaue (Cr)'!C51</f>
        <v>CONCOR</v>
      </c>
      <c r="B56" s="50">
        <f>VLOOKUP($A56,'Data shares'!$C:$FM,102)</f>
        <v>27.69</v>
      </c>
      <c r="C56" s="50">
        <f>VLOOKUP($A56,'Data shares'!$C:$FM,110)</f>
        <v>27.85</v>
      </c>
      <c r="D56" s="50">
        <f>VLOOKUP($A56,'Data shares'!$C:$FM,114)</f>
        <v>27.49</v>
      </c>
      <c r="E56" s="50">
        <f>VLOOKUP($A56,'Data shares'!$C:$FM,106)</f>
        <v>35.31</v>
      </c>
      <c r="F56" s="50">
        <f>VLOOKUP($A56,'Data shares'!$C:$FM,108)</f>
        <v>-7.62</v>
      </c>
      <c r="G56" s="50">
        <f t="shared" si="1"/>
        <v>0.78419711129991498</v>
      </c>
    </row>
    <row r="57" spans="1:7" x14ac:dyDescent="0.25">
      <c r="A57" s="49" t="str">
        <f>'Data Vlaue (Cr)'!C52</f>
        <v>CROMPTON</v>
      </c>
      <c r="B57" s="50">
        <f>VLOOKUP($A57,'Data shares'!$C:$FM,102)</f>
        <v>31.63</v>
      </c>
      <c r="C57" s="50">
        <f>VLOOKUP($A57,'Data shares'!$C:$FM,110)</f>
        <v>32.020000000000003</v>
      </c>
      <c r="D57" s="50">
        <f>VLOOKUP($A57,'Data shares'!$C:$FM,114)</f>
        <v>30.72</v>
      </c>
      <c r="E57" s="50">
        <f>VLOOKUP($A57,'Data shares'!$C:$FM,106)</f>
        <v>36</v>
      </c>
      <c r="F57" s="50">
        <f>VLOOKUP($A57,'Data shares'!$C:$FM,108)</f>
        <v>-4.37</v>
      </c>
      <c r="G57" s="50">
        <f t="shared" si="1"/>
        <v>0.87861111111111112</v>
      </c>
    </row>
    <row r="58" spans="1:7" x14ac:dyDescent="0.25">
      <c r="A58" s="49" t="str">
        <f>'Data Vlaue (Cr)'!C53</f>
        <v>CUMMINSIND</v>
      </c>
      <c r="B58" s="50">
        <f>VLOOKUP($A58,'Data shares'!$C:$FM,102)</f>
        <v>32.58</v>
      </c>
      <c r="C58" s="50">
        <f>VLOOKUP($A58,'Data shares'!$C:$FM,110)</f>
        <v>33.03</v>
      </c>
      <c r="D58" s="50">
        <f>VLOOKUP($A58,'Data shares'!$C:$FM,114)</f>
        <v>31.87</v>
      </c>
      <c r="E58" s="50">
        <f>VLOOKUP($A58,'Data shares'!$C:$FM,106)</f>
        <v>35.1</v>
      </c>
      <c r="F58" s="50">
        <f>VLOOKUP($A58,'Data shares'!$C:$FM,108)</f>
        <v>-2.52</v>
      </c>
      <c r="G58" s="50">
        <f t="shared" si="1"/>
        <v>0.92820512820512813</v>
      </c>
    </row>
    <row r="59" spans="1:7" x14ac:dyDescent="0.25">
      <c r="A59" s="49" t="str">
        <f>'Data Vlaue (Cr)'!C54</f>
        <v>DABUR</v>
      </c>
      <c r="B59" s="50">
        <f>VLOOKUP($A59,'Data shares'!$C:$FM,102)</f>
        <v>23.52</v>
      </c>
      <c r="C59" s="50">
        <f>VLOOKUP($A59,'Data shares'!$C:$FM,110)</f>
        <v>23.88</v>
      </c>
      <c r="D59" s="50">
        <f>VLOOKUP($A59,'Data shares'!$C:$FM,114)</f>
        <v>23.02</v>
      </c>
      <c r="E59" s="50">
        <f>VLOOKUP($A59,'Data shares'!$C:$FM,106)</f>
        <v>27.88</v>
      </c>
      <c r="F59" s="50">
        <f>VLOOKUP($A59,'Data shares'!$C:$FM,108)</f>
        <v>-4.3600000000000003</v>
      </c>
      <c r="G59" s="50">
        <f t="shared" si="1"/>
        <v>0.84361549497847921</v>
      </c>
    </row>
    <row r="60" spans="1:7" x14ac:dyDescent="0.25">
      <c r="A60" s="49" t="str">
        <f>'Data Vlaue (Cr)'!C55</f>
        <v>DALBHARAT</v>
      </c>
      <c r="B60" s="50">
        <f>VLOOKUP($A60,'Data shares'!$C:$FM,102)</f>
        <v>28.98</v>
      </c>
      <c r="C60" s="50">
        <f>VLOOKUP($A60,'Data shares'!$C:$FM,110)</f>
        <v>28.98</v>
      </c>
      <c r="D60" s="50">
        <f>VLOOKUP($A60,'Data shares'!$C:$FM,114)</f>
        <v>28.98</v>
      </c>
      <c r="E60" s="50">
        <f>VLOOKUP($A60,'Data shares'!$C:$FM,106)</f>
        <v>35.29</v>
      </c>
      <c r="F60" s="50">
        <f>VLOOKUP($A60,'Data shares'!$C:$FM,108)</f>
        <v>-6.31</v>
      </c>
      <c r="G60" s="50">
        <f t="shared" si="1"/>
        <v>0.82119580617738741</v>
      </c>
    </row>
    <row r="61" spans="1:7" x14ac:dyDescent="0.25">
      <c r="A61" s="49" t="str">
        <f>'Data Vlaue (Cr)'!C56</f>
        <v>DELHIVERY</v>
      </c>
      <c r="B61" s="50">
        <f>VLOOKUP($A61,'Data shares'!$C:$FM,102)</f>
        <v>26.35</v>
      </c>
      <c r="C61" s="50">
        <f>VLOOKUP($A61,'Data shares'!$C:$FM,110)</f>
        <v>25.91</v>
      </c>
      <c r="D61" s="50">
        <f>VLOOKUP($A61,'Data shares'!$C:$FM,114)</f>
        <v>27.3</v>
      </c>
      <c r="E61" s="50">
        <f>VLOOKUP($A61,'Data shares'!$C:$FM,106)</f>
        <v>38.770000000000003</v>
      </c>
      <c r="F61" s="50">
        <f>VLOOKUP($A61,'Data shares'!$C:$FM,108)</f>
        <v>-12.42</v>
      </c>
      <c r="G61" s="50">
        <f t="shared" si="1"/>
        <v>0.67964921330925976</v>
      </c>
    </row>
    <row r="62" spans="1:7" x14ac:dyDescent="0.25">
      <c r="A62" s="49" t="str">
        <f>'Data Vlaue (Cr)'!C57</f>
        <v>DIVISLAB</v>
      </c>
      <c r="B62" s="50">
        <f>VLOOKUP($A62,'Data shares'!$C:$FM,102)</f>
        <v>21.57</v>
      </c>
      <c r="C62" s="50">
        <f>VLOOKUP($A62,'Data shares'!$C:$FM,110)</f>
        <v>21.58</v>
      </c>
      <c r="D62" s="50">
        <f>VLOOKUP($A62,'Data shares'!$C:$FM,114)</f>
        <v>21.54</v>
      </c>
      <c r="E62" s="50">
        <f>VLOOKUP($A62,'Data shares'!$C:$FM,106)</f>
        <v>28.93</v>
      </c>
      <c r="F62" s="50">
        <f>VLOOKUP($A62,'Data shares'!$C:$FM,108)</f>
        <v>-7.36</v>
      </c>
      <c r="G62" s="50">
        <f t="shared" si="1"/>
        <v>0.74559281023159352</v>
      </c>
    </row>
    <row r="63" spans="1:7" x14ac:dyDescent="0.25">
      <c r="A63" s="49" t="str">
        <f>'Data Vlaue (Cr)'!C58</f>
        <v>DIXON</v>
      </c>
      <c r="B63" s="50">
        <f>VLOOKUP($A63,'Data shares'!$C:$FM,102)</f>
        <v>37.4</v>
      </c>
      <c r="C63" s="50">
        <f>VLOOKUP($A63,'Data shares'!$C:$FM,110)</f>
        <v>37.25</v>
      </c>
      <c r="D63" s="50">
        <f>VLOOKUP($A63,'Data shares'!$C:$FM,114)</f>
        <v>37.65</v>
      </c>
      <c r="E63" s="50">
        <f>VLOOKUP($A63,'Data shares'!$C:$FM,106)</f>
        <v>50.39</v>
      </c>
      <c r="F63" s="50">
        <f>VLOOKUP($A63,'Data shares'!$C:$FM,108)</f>
        <v>-12.99</v>
      </c>
      <c r="G63" s="50">
        <f t="shared" si="1"/>
        <v>0.74221075610240128</v>
      </c>
    </row>
    <row r="64" spans="1:7" x14ac:dyDescent="0.25">
      <c r="A64" s="49" t="str">
        <f>'Data Vlaue (Cr)'!C59</f>
        <v>DLF</v>
      </c>
      <c r="B64" s="50">
        <f>VLOOKUP($A64,'Data shares'!$C:$FM,102)</f>
        <v>30.71</v>
      </c>
      <c r="C64" s="50">
        <f>VLOOKUP($A64,'Data shares'!$C:$FM,110)</f>
        <v>30.59</v>
      </c>
      <c r="D64" s="50">
        <f>VLOOKUP($A64,'Data shares'!$C:$FM,114)</f>
        <v>30.95</v>
      </c>
      <c r="E64" s="50">
        <f>VLOOKUP($A64,'Data shares'!$C:$FM,106)</f>
        <v>37.53</v>
      </c>
      <c r="F64" s="50">
        <f>VLOOKUP($A64,'Data shares'!$C:$FM,108)</f>
        <v>-6.82</v>
      </c>
      <c r="G64" s="50">
        <f t="shared" si="1"/>
        <v>0.8182787103650413</v>
      </c>
    </row>
    <row r="65" spans="1:7" x14ac:dyDescent="0.25">
      <c r="A65" s="49" t="str">
        <f>'Data Vlaue (Cr)'!C60</f>
        <v>DMART</v>
      </c>
      <c r="B65" s="50">
        <f>VLOOKUP($A65,'Data shares'!$C:$FM,102)</f>
        <v>22.99</v>
      </c>
      <c r="C65" s="50">
        <f>VLOOKUP($A65,'Data shares'!$C:$FM,110)</f>
        <v>22.26</v>
      </c>
      <c r="D65" s="50">
        <f>VLOOKUP($A65,'Data shares'!$C:$FM,114)</f>
        <v>24.19</v>
      </c>
      <c r="E65" s="50">
        <f>VLOOKUP($A65,'Data shares'!$C:$FM,106)</f>
        <v>32.590000000000003</v>
      </c>
      <c r="F65" s="50">
        <f>VLOOKUP($A65,'Data shares'!$C:$FM,108)</f>
        <v>-9.6</v>
      </c>
      <c r="G65" s="50">
        <f t="shared" si="1"/>
        <v>0.70543111383860069</v>
      </c>
    </row>
    <row r="66" spans="1:7" x14ac:dyDescent="0.25">
      <c r="A66" s="49" t="str">
        <f>'Data Vlaue (Cr)'!C61</f>
        <v>DRREDDY</v>
      </c>
      <c r="B66" s="50">
        <f>VLOOKUP($A66,'Data shares'!$C:$FM,102)</f>
        <v>24</v>
      </c>
      <c r="C66" s="50">
        <f>VLOOKUP($A66,'Data shares'!$C:$FM,110)</f>
        <v>23.96</v>
      </c>
      <c r="D66" s="50">
        <f>VLOOKUP($A66,'Data shares'!$C:$FM,114)</f>
        <v>24.07</v>
      </c>
      <c r="E66" s="50">
        <f>VLOOKUP($A66,'Data shares'!$C:$FM,106)</f>
        <v>28.57</v>
      </c>
      <c r="F66" s="50">
        <f>VLOOKUP($A66,'Data shares'!$C:$FM,108)</f>
        <v>-4.57</v>
      </c>
      <c r="G66" s="50">
        <f t="shared" si="1"/>
        <v>0.84004200210010505</v>
      </c>
    </row>
    <row r="67" spans="1:7" x14ac:dyDescent="0.25">
      <c r="A67" s="49" t="str">
        <f>'Data Vlaue (Cr)'!C62</f>
        <v>EICHERMOT</v>
      </c>
      <c r="B67" s="50">
        <f>VLOOKUP($A67,'Data shares'!$C:$FM,102)</f>
        <v>26.08</v>
      </c>
      <c r="C67" s="50">
        <f>VLOOKUP($A67,'Data shares'!$C:$FM,110)</f>
        <v>26.3</v>
      </c>
      <c r="D67" s="50">
        <f>VLOOKUP($A67,'Data shares'!$C:$FM,114)</f>
        <v>25.69</v>
      </c>
      <c r="E67" s="50">
        <f>VLOOKUP($A67,'Data shares'!$C:$FM,106)</f>
        <v>33.619999999999997</v>
      </c>
      <c r="F67" s="50">
        <f>VLOOKUP($A67,'Data shares'!$C:$FM,108)</f>
        <v>-7.54</v>
      </c>
      <c r="G67" s="50">
        <f t="shared" si="1"/>
        <v>0.7757287328970851</v>
      </c>
    </row>
    <row r="68" spans="1:7" x14ac:dyDescent="0.25">
      <c r="A68" s="49" t="str">
        <f>'Data Vlaue (Cr)'!C63</f>
        <v>ETERNAL</v>
      </c>
      <c r="B68" s="50">
        <f>VLOOKUP($A68,'Data shares'!$C:$FM,102)</f>
        <v>31.91</v>
      </c>
      <c r="C68" s="50">
        <f>VLOOKUP($A68,'Data shares'!$C:$FM,110)</f>
        <v>31.63</v>
      </c>
      <c r="D68" s="50">
        <f>VLOOKUP($A68,'Data shares'!$C:$FM,114)</f>
        <v>32.35</v>
      </c>
      <c r="E68" s="50">
        <f>VLOOKUP($A68,'Data shares'!$C:$FM,106)</f>
        <v>45.02</v>
      </c>
      <c r="F68" s="50">
        <f>VLOOKUP($A68,'Data shares'!$C:$FM,108)</f>
        <v>-13.11</v>
      </c>
      <c r="G68" s="50">
        <f t="shared" si="1"/>
        <v>0.70879609062638826</v>
      </c>
    </row>
    <row r="69" spans="1:7" x14ac:dyDescent="0.25">
      <c r="A69" s="49" t="str">
        <f>'Data Vlaue (Cr)'!C64</f>
        <v>EXIDEIND</v>
      </c>
      <c r="B69" s="50">
        <f>VLOOKUP($A69,'Data shares'!$C:$FM,102)</f>
        <v>31.6</v>
      </c>
      <c r="C69" s="50">
        <f>VLOOKUP($A69,'Data shares'!$C:$FM,110)</f>
        <v>31.36</v>
      </c>
      <c r="D69" s="50">
        <f>VLOOKUP($A69,'Data shares'!$C:$FM,114)</f>
        <v>32.549999999999997</v>
      </c>
      <c r="E69" s="50">
        <f>VLOOKUP($A69,'Data shares'!$C:$FM,106)</f>
        <v>36.299999999999997</v>
      </c>
      <c r="F69" s="50">
        <f>VLOOKUP($A69,'Data shares'!$C:$FM,108)</f>
        <v>-4.7</v>
      </c>
      <c r="G69" s="50">
        <f t="shared" si="1"/>
        <v>0.87052341597796157</v>
      </c>
    </row>
    <row r="70" spans="1:7" x14ac:dyDescent="0.25">
      <c r="A70" s="49" t="str">
        <f>'Data Vlaue (Cr)'!C65</f>
        <v>FEDERALBNK</v>
      </c>
      <c r="B70" s="50">
        <f>VLOOKUP($A70,'Data shares'!$C:$FM,102)</f>
        <v>23.78</v>
      </c>
      <c r="C70" s="50">
        <f>VLOOKUP($A70,'Data shares'!$C:$FM,110)</f>
        <v>23.74</v>
      </c>
      <c r="D70" s="50">
        <f>VLOOKUP($A70,'Data shares'!$C:$FM,114)</f>
        <v>23.85</v>
      </c>
      <c r="E70" s="50">
        <f>VLOOKUP($A70,'Data shares'!$C:$FM,106)</f>
        <v>31.31</v>
      </c>
      <c r="F70" s="50">
        <f>VLOOKUP($A70,'Data shares'!$C:$FM,108)</f>
        <v>-7.53</v>
      </c>
      <c r="G70" s="50">
        <f t="shared" si="1"/>
        <v>0.7595017566272757</v>
      </c>
    </row>
    <row r="71" spans="1:7" x14ac:dyDescent="0.25">
      <c r="A71" s="49" t="str">
        <f>'Data Vlaue (Cr)'!C66</f>
        <v>FINNIFTY</v>
      </c>
      <c r="B71" s="50">
        <f>VLOOKUP($A71,'Data shares'!$C:$FM,102)</f>
        <v>18.75</v>
      </c>
      <c r="C71" s="50">
        <f>VLOOKUP($A71,'Data shares'!$C:$FM,110)</f>
        <v>18.170000000000002</v>
      </c>
      <c r="D71" s="50">
        <f>VLOOKUP($A71,'Data shares'!$C:$FM,114)</f>
        <v>19.510000000000002</v>
      </c>
      <c r="E71" s="50">
        <f>VLOOKUP($A71,'Data shares'!$C:$FM,106)</f>
        <v>21.67</v>
      </c>
      <c r="F71" s="50">
        <f>VLOOKUP($A71,'Data shares'!$C:$FM,108)</f>
        <v>-2.92</v>
      </c>
      <c r="G71" s="50">
        <f t="shared" ref="G71:G102" si="2">B71/E71</f>
        <v>0.86525149976926619</v>
      </c>
    </row>
    <row r="72" spans="1:7" x14ac:dyDescent="0.25">
      <c r="A72" s="49" t="str">
        <f>'Data Vlaue (Cr)'!C67</f>
        <v>FORCEMOT</v>
      </c>
      <c r="B72" s="50">
        <f>VLOOKUP($A72,'Data shares'!$C:$FM,102)</f>
        <v>45.77</v>
      </c>
      <c r="C72" s="50">
        <f>VLOOKUP($A72,'Data shares'!$C:$FM,110)</f>
        <v>45.94</v>
      </c>
      <c r="D72" s="50">
        <f>VLOOKUP($A72,'Data shares'!$C:$FM,114)</f>
        <v>44.99</v>
      </c>
      <c r="E72" s="50">
        <f>VLOOKUP($A72,'Data shares'!$C:$FM,106)</f>
        <v>64.34</v>
      </c>
      <c r="F72" s="50">
        <f>VLOOKUP($A72,'Data shares'!$C:$FM,108)</f>
        <v>-18.57</v>
      </c>
      <c r="G72" s="50">
        <f t="shared" si="2"/>
        <v>0.71137705937208584</v>
      </c>
    </row>
    <row r="73" spans="1:7" x14ac:dyDescent="0.25">
      <c r="A73" s="49" t="str">
        <f>'Data Vlaue (Cr)'!C68</f>
        <v>FORTIS</v>
      </c>
      <c r="B73" s="50">
        <f>VLOOKUP($A73,'Data shares'!$C:$FM,102)</f>
        <v>27.01</v>
      </c>
      <c r="C73" s="50">
        <f>VLOOKUP($A73,'Data shares'!$C:$FM,110)</f>
        <v>26.6</v>
      </c>
      <c r="D73" s="50">
        <f>VLOOKUP($A73,'Data shares'!$C:$FM,114)</f>
        <v>28</v>
      </c>
      <c r="E73" s="50">
        <f>VLOOKUP($A73,'Data shares'!$C:$FM,106)</f>
        <v>34.43</v>
      </c>
      <c r="F73" s="50">
        <f>VLOOKUP($A73,'Data shares'!$C:$FM,108)</f>
        <v>-7.42</v>
      </c>
      <c r="G73" s="50">
        <f t="shared" si="2"/>
        <v>0.78449027011327332</v>
      </c>
    </row>
    <row r="74" spans="1:7" x14ac:dyDescent="0.25">
      <c r="A74" s="49" t="str">
        <f>'Data Vlaue (Cr)'!C69</f>
        <v>GAIL</v>
      </c>
      <c r="B74" s="50">
        <f>VLOOKUP($A74,'Data shares'!$C:$FM,102)</f>
        <v>25.33</v>
      </c>
      <c r="C74" s="50">
        <f>VLOOKUP($A74,'Data shares'!$C:$FM,110)</f>
        <v>25.13</v>
      </c>
      <c r="D74" s="50">
        <f>VLOOKUP($A74,'Data shares'!$C:$FM,114)</f>
        <v>25.65</v>
      </c>
      <c r="E74" s="50">
        <f>VLOOKUP($A74,'Data shares'!$C:$FM,106)</f>
        <v>35.4</v>
      </c>
      <c r="F74" s="50">
        <f>VLOOKUP($A74,'Data shares'!$C:$FM,108)</f>
        <v>-10.07</v>
      </c>
      <c r="G74" s="50">
        <f t="shared" si="2"/>
        <v>0.71553672316384176</v>
      </c>
    </row>
    <row r="75" spans="1:7" x14ac:dyDescent="0.25">
      <c r="A75" s="49" t="str">
        <f>'Data Vlaue (Cr)'!C70</f>
        <v>GLENMARK</v>
      </c>
      <c r="B75" s="50">
        <f>VLOOKUP($A75,'Data shares'!$C:$FM,102)</f>
        <v>37.82</v>
      </c>
      <c r="C75" s="50">
        <f>VLOOKUP($A75,'Data shares'!$C:$FM,110)</f>
        <v>37.81</v>
      </c>
      <c r="D75" s="50">
        <f>VLOOKUP($A75,'Data shares'!$C:$FM,114)</f>
        <v>37.85</v>
      </c>
      <c r="E75" s="50">
        <f>VLOOKUP($A75,'Data shares'!$C:$FM,106)</f>
        <v>36.659999999999997</v>
      </c>
      <c r="F75" s="50">
        <f>VLOOKUP($A75,'Data shares'!$C:$FM,108)</f>
        <v>1.1599999999999999</v>
      </c>
      <c r="G75" s="50">
        <f t="shared" si="2"/>
        <v>1.0316421167484999</v>
      </c>
    </row>
    <row r="76" spans="1:7" x14ac:dyDescent="0.25">
      <c r="A76" s="49" t="str">
        <f>'Data Vlaue (Cr)'!C71</f>
        <v>GMRAIRPORT</v>
      </c>
      <c r="B76" s="50">
        <f>VLOOKUP($A76,'Data shares'!$C:$FM,102)</f>
        <v>32.81</v>
      </c>
      <c r="C76" s="50">
        <f>VLOOKUP($A76,'Data shares'!$C:$FM,110)</f>
        <v>33.29</v>
      </c>
      <c r="D76" s="50">
        <f>VLOOKUP($A76,'Data shares'!$C:$FM,114)</f>
        <v>31.63</v>
      </c>
      <c r="E76" s="50">
        <f>VLOOKUP($A76,'Data shares'!$C:$FM,106)</f>
        <v>40.380000000000003</v>
      </c>
      <c r="F76" s="50">
        <f>VLOOKUP($A76,'Data shares'!$C:$FM,108)</f>
        <v>-7.57</v>
      </c>
      <c r="G76" s="50">
        <f t="shared" si="2"/>
        <v>0.81253095591877167</v>
      </c>
    </row>
    <row r="77" spans="1:7" x14ac:dyDescent="0.25">
      <c r="A77" s="49" t="str">
        <f>'Data Vlaue (Cr)'!C72</f>
        <v>GODFRYPHLP</v>
      </c>
      <c r="B77" s="50">
        <f>VLOOKUP($A77,'Data shares'!$C:$FM,102)</f>
        <v>43.37</v>
      </c>
      <c r="C77" s="50">
        <f>VLOOKUP($A77,'Data shares'!$C:$FM,110)</f>
        <v>43.37</v>
      </c>
      <c r="D77" s="50">
        <f>VLOOKUP($A77,'Data shares'!$C:$FM,114)</f>
        <v>43.36</v>
      </c>
      <c r="E77" s="50">
        <f>VLOOKUP($A77,'Data shares'!$C:$FM,106)</f>
        <v>68.67</v>
      </c>
      <c r="F77" s="50">
        <f>VLOOKUP($A77,'Data shares'!$C:$FM,108)</f>
        <v>-25.3</v>
      </c>
      <c r="G77" s="50">
        <f t="shared" si="2"/>
        <v>0.6315712829474297</v>
      </c>
    </row>
    <row r="78" spans="1:7" x14ac:dyDescent="0.25">
      <c r="A78" s="49" t="str">
        <f>'Data Vlaue (Cr)'!C73</f>
        <v>GODREJCP</v>
      </c>
      <c r="B78" s="50">
        <f>VLOOKUP($A78,'Data shares'!$C:$FM,102)</f>
        <v>24.67</v>
      </c>
      <c r="C78" s="50">
        <f>VLOOKUP($A78,'Data shares'!$C:$FM,110)</f>
        <v>24.97</v>
      </c>
      <c r="D78" s="50">
        <f>VLOOKUP($A78,'Data shares'!$C:$FM,114)</f>
        <v>24.13</v>
      </c>
      <c r="E78" s="50">
        <f>VLOOKUP($A78,'Data shares'!$C:$FM,106)</f>
        <v>31.17</v>
      </c>
      <c r="F78" s="50">
        <f>VLOOKUP($A78,'Data shares'!$C:$FM,108)</f>
        <v>-6.5</v>
      </c>
      <c r="G78" s="50">
        <f t="shared" si="2"/>
        <v>0.79146615335258264</v>
      </c>
    </row>
    <row r="79" spans="1:7" x14ac:dyDescent="0.25">
      <c r="A79" s="49" t="str">
        <f>'Data Vlaue (Cr)'!C74</f>
        <v>GODREJPROP</v>
      </c>
      <c r="B79" s="50">
        <f>VLOOKUP($A79,'Data shares'!$C:$FM,102)</f>
        <v>33.43</v>
      </c>
      <c r="C79" s="50">
        <f>VLOOKUP($A79,'Data shares'!$C:$FM,110)</f>
        <v>33.130000000000003</v>
      </c>
      <c r="D79" s="50">
        <f>VLOOKUP($A79,'Data shares'!$C:$FM,114)</f>
        <v>33.94</v>
      </c>
      <c r="E79" s="50">
        <f>VLOOKUP($A79,'Data shares'!$C:$FM,106)</f>
        <v>45.39</v>
      </c>
      <c r="F79" s="50">
        <f>VLOOKUP($A79,'Data shares'!$C:$FM,108)</f>
        <v>-11.96</v>
      </c>
      <c r="G79" s="50">
        <f t="shared" si="2"/>
        <v>0.73650583829037231</v>
      </c>
    </row>
    <row r="80" spans="1:7" x14ac:dyDescent="0.25">
      <c r="A80" s="49" t="str">
        <f>'Data Vlaue (Cr)'!C75</f>
        <v>GRASIM</v>
      </c>
      <c r="B80" s="50">
        <f>VLOOKUP($A80,'Data shares'!$C:$FM,102)</f>
        <v>21.53</v>
      </c>
      <c r="C80" s="50">
        <f>VLOOKUP($A80,'Data shares'!$C:$FM,110)</f>
        <v>21.09</v>
      </c>
      <c r="D80" s="50">
        <f>VLOOKUP($A80,'Data shares'!$C:$FM,114)</f>
        <v>22.01</v>
      </c>
      <c r="E80" s="50">
        <f>VLOOKUP($A80,'Data shares'!$C:$FM,106)</f>
        <v>28.65</v>
      </c>
      <c r="F80" s="50">
        <f>VLOOKUP($A80,'Data shares'!$C:$FM,108)</f>
        <v>-7.12</v>
      </c>
      <c r="G80" s="50">
        <f t="shared" si="2"/>
        <v>0.75148342059336837</v>
      </c>
    </row>
    <row r="81" spans="1:7" x14ac:dyDescent="0.25">
      <c r="A81" s="49" t="str">
        <f>'Data Vlaue (Cr)'!C76</f>
        <v>HAL</v>
      </c>
      <c r="B81" s="50">
        <f>VLOOKUP($A81,'Data shares'!$C:$FM,102)</f>
        <v>25.8</v>
      </c>
      <c r="C81" s="50">
        <f>VLOOKUP($A81,'Data shares'!$C:$FM,110)</f>
        <v>26.01</v>
      </c>
      <c r="D81" s="50">
        <f>VLOOKUP($A81,'Data shares'!$C:$FM,114)</f>
        <v>25.36</v>
      </c>
      <c r="E81" s="50">
        <f>VLOOKUP($A81,'Data shares'!$C:$FM,106)</f>
        <v>38.869999999999997</v>
      </c>
      <c r="F81" s="50">
        <f>VLOOKUP($A81,'Data shares'!$C:$FM,108)</f>
        <v>-13.07</v>
      </c>
      <c r="G81" s="50">
        <f t="shared" si="2"/>
        <v>0.66375096475430928</v>
      </c>
    </row>
    <row r="82" spans="1:7" x14ac:dyDescent="0.25">
      <c r="A82" s="49" t="str">
        <f>'Data Vlaue (Cr)'!C77</f>
        <v>HAVELLS</v>
      </c>
      <c r="B82" s="50">
        <f>VLOOKUP($A82,'Data shares'!$C:$FM,102)</f>
        <v>24.64</v>
      </c>
      <c r="C82" s="50">
        <f>VLOOKUP($A82,'Data shares'!$C:$FM,110)</f>
        <v>24.88</v>
      </c>
      <c r="D82" s="50">
        <f>VLOOKUP($A82,'Data shares'!$C:$FM,114)</f>
        <v>24.28</v>
      </c>
      <c r="E82" s="50">
        <f>VLOOKUP($A82,'Data shares'!$C:$FM,106)</f>
        <v>30.69</v>
      </c>
      <c r="F82" s="50">
        <f>VLOOKUP($A82,'Data shares'!$C:$FM,108)</f>
        <v>-6.05</v>
      </c>
      <c r="G82" s="50">
        <f t="shared" si="2"/>
        <v>0.80286738351254483</v>
      </c>
    </row>
    <row r="83" spans="1:7" x14ac:dyDescent="0.25">
      <c r="A83" s="49" t="str">
        <f>'Data Vlaue (Cr)'!C78</f>
        <v>HCLTECH</v>
      </c>
      <c r="B83" s="50">
        <f>VLOOKUP($A83,'Data shares'!$C:$FM,102)</f>
        <v>25.73</v>
      </c>
      <c r="C83" s="50">
        <f>VLOOKUP($A83,'Data shares'!$C:$FM,110)</f>
        <v>25.94</v>
      </c>
      <c r="D83" s="50">
        <f>VLOOKUP($A83,'Data shares'!$C:$FM,114)</f>
        <v>25.4</v>
      </c>
      <c r="E83" s="50">
        <f>VLOOKUP($A83,'Data shares'!$C:$FM,106)</f>
        <v>32.840000000000003</v>
      </c>
      <c r="F83" s="50">
        <f>VLOOKUP($A83,'Data shares'!$C:$FM,108)</f>
        <v>-7.11</v>
      </c>
      <c r="G83" s="50">
        <f t="shared" si="2"/>
        <v>0.78349573690621188</v>
      </c>
    </row>
    <row r="84" spans="1:7" x14ac:dyDescent="0.25">
      <c r="A84" s="49" t="str">
        <f>'Data Vlaue (Cr)'!C79</f>
        <v>HDFCAMC</v>
      </c>
      <c r="B84" s="50">
        <f>VLOOKUP($A84,'Data shares'!$C:$FM,102)</f>
        <v>28.81</v>
      </c>
      <c r="C84" s="50">
        <f>VLOOKUP($A84,'Data shares'!$C:$FM,110)</f>
        <v>28.76</v>
      </c>
      <c r="D84" s="50">
        <f>VLOOKUP($A84,'Data shares'!$C:$FM,114)</f>
        <v>28.86</v>
      </c>
      <c r="E84" s="50">
        <f>VLOOKUP($A84,'Data shares'!$C:$FM,106)</f>
        <v>38.630000000000003</v>
      </c>
      <c r="F84" s="50">
        <f>VLOOKUP($A84,'Data shares'!$C:$FM,108)</f>
        <v>-9.82</v>
      </c>
      <c r="G84" s="50">
        <f t="shared" si="2"/>
        <v>0.7457934247993786</v>
      </c>
    </row>
    <row r="85" spans="1:7" x14ac:dyDescent="0.25">
      <c r="A85" s="49" t="str">
        <f>'Data Vlaue (Cr)'!C80</f>
        <v>HDFCBANK</v>
      </c>
      <c r="B85" s="50">
        <f>VLOOKUP($A85,'Data shares'!$C:$FM,102)</f>
        <v>22.03</v>
      </c>
      <c r="C85" s="50">
        <f>VLOOKUP($A85,'Data shares'!$C:$FM,110)</f>
        <v>22.08</v>
      </c>
      <c r="D85" s="50">
        <f>VLOOKUP($A85,'Data shares'!$C:$FM,114)</f>
        <v>21.94</v>
      </c>
      <c r="E85" s="50">
        <f>VLOOKUP($A85,'Data shares'!$C:$FM,106)</f>
        <v>25.58</v>
      </c>
      <c r="F85" s="50">
        <f>VLOOKUP($A85,'Data shares'!$C:$FM,108)</f>
        <v>-3.55</v>
      </c>
      <c r="G85" s="50">
        <f t="shared" si="2"/>
        <v>0.86121970289288519</v>
      </c>
    </row>
    <row r="86" spans="1:7" x14ac:dyDescent="0.25">
      <c r="A86" s="49" t="str">
        <f>'Data Vlaue (Cr)'!C81</f>
        <v>HDFCLIFE</v>
      </c>
      <c r="B86" s="50">
        <f>VLOOKUP($A86,'Data shares'!$C:$FM,102)</f>
        <v>22.19</v>
      </c>
      <c r="C86" s="50">
        <f>VLOOKUP($A86,'Data shares'!$C:$FM,110)</f>
        <v>21.52</v>
      </c>
      <c r="D86" s="50">
        <f>VLOOKUP($A86,'Data shares'!$C:$FM,114)</f>
        <v>23.42</v>
      </c>
      <c r="E86" s="50">
        <f>VLOOKUP($A86,'Data shares'!$C:$FM,106)</f>
        <v>27.59</v>
      </c>
      <c r="F86" s="50">
        <f>VLOOKUP($A86,'Data shares'!$C:$FM,108)</f>
        <v>-5.4</v>
      </c>
      <c r="G86" s="50">
        <f t="shared" si="2"/>
        <v>0.80427691192461037</v>
      </c>
    </row>
    <row r="87" spans="1:7" x14ac:dyDescent="0.25">
      <c r="A87" s="49" t="str">
        <f>'Data Vlaue (Cr)'!C82</f>
        <v>HEROMOTOCO</v>
      </c>
      <c r="B87" s="50">
        <f>VLOOKUP($A87,'Data shares'!$C:$FM,102)</f>
        <v>27.93</v>
      </c>
      <c r="C87" s="50">
        <f>VLOOKUP($A87,'Data shares'!$C:$FM,110)</f>
        <v>28.14</v>
      </c>
      <c r="D87" s="50">
        <f>VLOOKUP($A87,'Data shares'!$C:$FM,114)</f>
        <v>27.29</v>
      </c>
      <c r="E87" s="50">
        <f>VLOOKUP($A87,'Data shares'!$C:$FM,106)</f>
        <v>32.94</v>
      </c>
      <c r="F87" s="50">
        <f>VLOOKUP($A87,'Data shares'!$C:$FM,108)</f>
        <v>-5.01</v>
      </c>
      <c r="G87" s="50">
        <f t="shared" si="2"/>
        <v>0.84790528233151186</v>
      </c>
    </row>
    <row r="88" spans="1:7" x14ac:dyDescent="0.25">
      <c r="A88" s="49" t="str">
        <f>'Data Vlaue (Cr)'!C83</f>
        <v>HINDALCO</v>
      </c>
      <c r="B88" s="50">
        <f>VLOOKUP($A88,'Data shares'!$C:$FM,102)</f>
        <v>27.37</v>
      </c>
      <c r="C88" s="50">
        <f>VLOOKUP($A88,'Data shares'!$C:$FM,110)</f>
        <v>27.12</v>
      </c>
      <c r="D88" s="50">
        <f>VLOOKUP($A88,'Data shares'!$C:$FM,114)</f>
        <v>27.84</v>
      </c>
      <c r="E88" s="50">
        <f>VLOOKUP($A88,'Data shares'!$C:$FM,106)</f>
        <v>36.159999999999997</v>
      </c>
      <c r="F88" s="50">
        <f>VLOOKUP($A88,'Data shares'!$C:$FM,108)</f>
        <v>-8.7899999999999991</v>
      </c>
      <c r="G88" s="50">
        <f t="shared" si="2"/>
        <v>0.75691371681415942</v>
      </c>
    </row>
    <row r="89" spans="1:7" x14ac:dyDescent="0.25">
      <c r="A89" s="49" t="str">
        <f>'Data Vlaue (Cr)'!C84</f>
        <v>HINDPETRO</v>
      </c>
      <c r="B89" s="50">
        <f>VLOOKUP($A89,'Data shares'!$C:$FM,102)</f>
        <v>33.11</v>
      </c>
      <c r="C89" s="50">
        <f>VLOOKUP($A89,'Data shares'!$C:$FM,110)</f>
        <v>33.03</v>
      </c>
      <c r="D89" s="50">
        <f>VLOOKUP($A89,'Data shares'!$C:$FM,114)</f>
        <v>33.229999999999997</v>
      </c>
      <c r="E89" s="50">
        <f>VLOOKUP($A89,'Data shares'!$C:$FM,106)</f>
        <v>44.82</v>
      </c>
      <c r="F89" s="50">
        <f>VLOOKUP($A89,'Data shares'!$C:$FM,108)</f>
        <v>-11.71</v>
      </c>
      <c r="G89" s="50">
        <f t="shared" si="2"/>
        <v>0.73873270861222662</v>
      </c>
    </row>
    <row r="90" spans="1:7" x14ac:dyDescent="0.25">
      <c r="A90" s="49" t="str">
        <f>'Data Vlaue (Cr)'!C85</f>
        <v>HINDUNILVR</v>
      </c>
      <c r="B90" s="50">
        <f>VLOOKUP($A90,'Data shares'!$C:$FM,102)</f>
        <v>20.53</v>
      </c>
      <c r="C90" s="50">
        <f>VLOOKUP($A90,'Data shares'!$C:$FM,110)</f>
        <v>20.88</v>
      </c>
      <c r="D90" s="50">
        <f>VLOOKUP($A90,'Data shares'!$C:$FM,114)</f>
        <v>19.77</v>
      </c>
      <c r="E90" s="50">
        <f>VLOOKUP($A90,'Data shares'!$C:$FM,106)</f>
        <v>24.47</v>
      </c>
      <c r="F90" s="50">
        <f>VLOOKUP($A90,'Data shares'!$C:$FM,108)</f>
        <v>-3.94</v>
      </c>
      <c r="G90" s="50">
        <f t="shared" si="2"/>
        <v>0.83898651409889669</v>
      </c>
    </row>
    <row r="91" spans="1:7" x14ac:dyDescent="0.25">
      <c r="A91" s="49" t="str">
        <f>'Data Vlaue (Cr)'!C86</f>
        <v>HINDZINC</v>
      </c>
      <c r="B91" s="50">
        <f>VLOOKUP($A91,'Data shares'!$C:$FM,102)</f>
        <v>29.21</v>
      </c>
      <c r="C91" s="50">
        <f>VLOOKUP($A91,'Data shares'!$C:$FM,110)</f>
        <v>28.86</v>
      </c>
      <c r="D91" s="50">
        <f>VLOOKUP($A91,'Data shares'!$C:$FM,114)</f>
        <v>29.93</v>
      </c>
      <c r="E91" s="50">
        <f>VLOOKUP($A91,'Data shares'!$C:$FM,106)</f>
        <v>49.58</v>
      </c>
      <c r="F91" s="50">
        <f>VLOOKUP($A91,'Data shares'!$C:$FM,108)</f>
        <v>-20.37</v>
      </c>
      <c r="G91" s="50">
        <f t="shared" si="2"/>
        <v>0.58914885034288023</v>
      </c>
    </row>
    <row r="92" spans="1:7" x14ac:dyDescent="0.25">
      <c r="A92" s="49" t="str">
        <f>'Data Vlaue (Cr)'!C87</f>
        <v>HYUNDAI</v>
      </c>
      <c r="B92" s="50">
        <f>VLOOKUP($A92,'Data shares'!$C:$FM,102)</f>
        <v>32.869999999999997</v>
      </c>
      <c r="C92" s="50">
        <f>VLOOKUP($A92,'Data shares'!$C:$FM,110)</f>
        <v>32.47</v>
      </c>
      <c r="D92" s="50">
        <f>VLOOKUP($A92,'Data shares'!$C:$FM,114)</f>
        <v>33.78</v>
      </c>
      <c r="E92" s="50">
        <f>VLOOKUP($A92,'Data shares'!$C:$FM,106)</f>
        <v>34.19</v>
      </c>
      <c r="F92" s="50">
        <f>VLOOKUP($A92,'Data shares'!$C:$FM,108)</f>
        <v>-1.32</v>
      </c>
      <c r="G92" s="50">
        <f t="shared" si="2"/>
        <v>0.96139221994735302</v>
      </c>
    </row>
    <row r="93" spans="1:7" x14ac:dyDescent="0.25">
      <c r="A93" s="49" t="str">
        <f>'Data Vlaue (Cr)'!C88</f>
        <v>ICICIBANK</v>
      </c>
      <c r="B93" s="50">
        <f>VLOOKUP($A93,'Data shares'!$C:$FM,102)</f>
        <v>17.82</v>
      </c>
      <c r="C93" s="50">
        <f>VLOOKUP($A93,'Data shares'!$C:$FM,110)</f>
        <v>17.93</v>
      </c>
      <c r="D93" s="50">
        <f>VLOOKUP($A93,'Data shares'!$C:$FM,114)</f>
        <v>17.670000000000002</v>
      </c>
      <c r="E93" s="50">
        <f>VLOOKUP($A93,'Data shares'!$C:$FM,106)</f>
        <v>23.97</v>
      </c>
      <c r="F93" s="50">
        <f>VLOOKUP($A93,'Data shares'!$C:$FM,108)</f>
        <v>-6.15</v>
      </c>
      <c r="G93" s="50">
        <f t="shared" si="2"/>
        <v>0.74342928660826035</v>
      </c>
    </row>
    <row r="94" spans="1:7" x14ac:dyDescent="0.25">
      <c r="A94" s="49" t="str">
        <f>'Data Vlaue (Cr)'!C89</f>
        <v>ICICIGI</v>
      </c>
      <c r="B94" s="50">
        <f>VLOOKUP($A94,'Data shares'!$C:$FM,102)</f>
        <v>22.01</v>
      </c>
      <c r="C94" s="50">
        <f>VLOOKUP($A94,'Data shares'!$C:$FM,110)</f>
        <v>22.03</v>
      </c>
      <c r="D94" s="50">
        <f>VLOOKUP($A94,'Data shares'!$C:$FM,114)</f>
        <v>21.96</v>
      </c>
      <c r="E94" s="50">
        <f>VLOOKUP($A94,'Data shares'!$C:$FM,106)</f>
        <v>27.02</v>
      </c>
      <c r="F94" s="50">
        <f>VLOOKUP($A94,'Data shares'!$C:$FM,108)</f>
        <v>-5.01</v>
      </c>
      <c r="G94" s="50">
        <f t="shared" si="2"/>
        <v>0.81458179126572916</v>
      </c>
    </row>
    <row r="95" spans="1:7" x14ac:dyDescent="0.25">
      <c r="A95" s="49" t="str">
        <f>'Data Vlaue (Cr)'!C90</f>
        <v>ICICIPRULI</v>
      </c>
      <c r="B95" s="50">
        <f>VLOOKUP($A95,'Data shares'!$C:$FM,102)</f>
        <v>26.28</v>
      </c>
      <c r="C95" s="50">
        <f>VLOOKUP($A95,'Data shares'!$C:$FM,110)</f>
        <v>26.29</v>
      </c>
      <c r="D95" s="50">
        <f>VLOOKUP($A95,'Data shares'!$C:$FM,114)</f>
        <v>26.26</v>
      </c>
      <c r="E95" s="50">
        <f>VLOOKUP($A95,'Data shares'!$C:$FM,106)</f>
        <v>30.26</v>
      </c>
      <c r="F95" s="50">
        <f>VLOOKUP($A95,'Data shares'!$C:$FM,108)</f>
        <v>-3.98</v>
      </c>
      <c r="G95" s="50">
        <f t="shared" si="2"/>
        <v>0.86847323198942494</v>
      </c>
    </row>
    <row r="96" spans="1:7" x14ac:dyDescent="0.25">
      <c r="A96" s="49" t="str">
        <f>'Data Vlaue (Cr)'!C91</f>
        <v>IDEA</v>
      </c>
      <c r="B96" s="50">
        <f>VLOOKUP($A96,'Data shares'!$C:$FM,102)</f>
        <v>45.31</v>
      </c>
      <c r="C96" s="50">
        <f>VLOOKUP($A96,'Data shares'!$C:$FM,110)</f>
        <v>45.33</v>
      </c>
      <c r="D96" s="50">
        <f>VLOOKUP($A96,'Data shares'!$C:$FM,114)</f>
        <v>45.27</v>
      </c>
      <c r="E96" s="50">
        <f>VLOOKUP($A96,'Data shares'!$C:$FM,106)</f>
        <v>63.62</v>
      </c>
      <c r="F96" s="50">
        <f>VLOOKUP($A96,'Data shares'!$C:$FM,108)</f>
        <v>-18.309999999999999</v>
      </c>
      <c r="G96" s="50">
        <f t="shared" si="2"/>
        <v>0.71219742219427862</v>
      </c>
    </row>
    <row r="97" spans="1:7" x14ac:dyDescent="0.25">
      <c r="A97" s="49" t="str">
        <f>'Data Vlaue (Cr)'!C92</f>
        <v>IDFCFIRSTB</v>
      </c>
      <c r="B97" s="50">
        <f>VLOOKUP($A97,'Data shares'!$C:$FM,102)</f>
        <v>26.59</v>
      </c>
      <c r="C97" s="50">
        <f>VLOOKUP($A97,'Data shares'!$C:$FM,110)</f>
        <v>25.76</v>
      </c>
      <c r="D97" s="50">
        <f>VLOOKUP($A97,'Data shares'!$C:$FM,114)</f>
        <v>27.74</v>
      </c>
      <c r="E97" s="50">
        <f>VLOOKUP($A97,'Data shares'!$C:$FM,106)</f>
        <v>40.21</v>
      </c>
      <c r="F97" s="50">
        <f>VLOOKUP($A97,'Data shares'!$C:$FM,108)</f>
        <v>-13.62</v>
      </c>
      <c r="G97" s="50">
        <f t="shared" si="2"/>
        <v>0.66127828898284002</v>
      </c>
    </row>
    <row r="98" spans="1:7" x14ac:dyDescent="0.25">
      <c r="A98" s="49" t="str">
        <f>'Data Vlaue (Cr)'!C93</f>
        <v>IEX</v>
      </c>
      <c r="B98" s="50">
        <f>VLOOKUP($A98,'Data shares'!$C:$FM,102)</f>
        <v>30.32</v>
      </c>
      <c r="C98" s="50">
        <f>VLOOKUP($A98,'Data shares'!$C:$FM,110)</f>
        <v>30.37</v>
      </c>
      <c r="D98" s="50">
        <f>VLOOKUP($A98,'Data shares'!$C:$FM,114)</f>
        <v>30.16</v>
      </c>
      <c r="E98" s="50">
        <f>VLOOKUP($A98,'Data shares'!$C:$FM,106)</f>
        <v>50.54</v>
      </c>
      <c r="F98" s="50">
        <f>VLOOKUP($A98,'Data shares'!$C:$FM,108)</f>
        <v>-20.22</v>
      </c>
      <c r="G98" s="50">
        <f t="shared" si="2"/>
        <v>0.59992085476850021</v>
      </c>
    </row>
    <row r="99" spans="1:7" x14ac:dyDescent="0.25">
      <c r="A99" s="49" t="str">
        <f>'Data Vlaue (Cr)'!C94</f>
        <v>INDHOTEL</v>
      </c>
      <c r="B99" s="50">
        <f>VLOOKUP($A99,'Data shares'!$C:$FM,102)</f>
        <v>24.77</v>
      </c>
      <c r="C99" s="50">
        <f>VLOOKUP($A99,'Data shares'!$C:$FM,110)</f>
        <v>24.09</v>
      </c>
      <c r="D99" s="50">
        <f>VLOOKUP($A99,'Data shares'!$C:$FM,114)</f>
        <v>25.8</v>
      </c>
      <c r="E99" s="50">
        <f>VLOOKUP($A99,'Data shares'!$C:$FM,106)</f>
        <v>34.590000000000003</v>
      </c>
      <c r="F99" s="50">
        <f>VLOOKUP($A99,'Data shares'!$C:$FM,108)</f>
        <v>-9.82</v>
      </c>
      <c r="G99" s="50">
        <f t="shared" si="2"/>
        <v>0.71610291991905162</v>
      </c>
    </row>
    <row r="100" spans="1:7" x14ac:dyDescent="0.25">
      <c r="A100" s="49" t="str">
        <f>'Data Vlaue (Cr)'!C95</f>
        <v>INDIANB</v>
      </c>
      <c r="B100" s="50">
        <f>VLOOKUP($A100,'Data shares'!$C:$FM,102)</f>
        <v>28.49</v>
      </c>
      <c r="C100" s="50">
        <f>VLOOKUP($A100,'Data shares'!$C:$FM,110)</f>
        <v>28.92</v>
      </c>
      <c r="D100" s="50">
        <f>VLOOKUP($A100,'Data shares'!$C:$FM,114)</f>
        <v>27.6</v>
      </c>
      <c r="E100" s="50">
        <f>VLOOKUP($A100,'Data shares'!$C:$FM,106)</f>
        <v>40.6</v>
      </c>
      <c r="F100" s="50">
        <f>VLOOKUP($A100,'Data shares'!$C:$FM,108)</f>
        <v>-12.11</v>
      </c>
      <c r="G100" s="50">
        <f t="shared" si="2"/>
        <v>0.70172413793103439</v>
      </c>
    </row>
    <row r="101" spans="1:7" x14ac:dyDescent="0.25">
      <c r="A101" s="49" t="str">
        <f>'Data Vlaue (Cr)'!C96</f>
        <v>INDIAVIX</v>
      </c>
      <c r="B101" s="50">
        <f>VLOOKUP($A101,'Data shares'!$C:$FM,102)</f>
        <v>0</v>
      </c>
      <c r="C101" s="50">
        <f>VLOOKUP($A101,'Data shares'!$C:$FM,110)</f>
        <v>0</v>
      </c>
      <c r="D101" s="50">
        <f>VLOOKUP($A101,'Data shares'!$C:$FM,114)</f>
        <v>0</v>
      </c>
      <c r="E101" s="50">
        <f>VLOOKUP($A101,'Data shares'!$C:$FM,106)</f>
        <v>0</v>
      </c>
      <c r="F101" s="50">
        <f>VLOOKUP($A101,'Data shares'!$C:$FM,108)</f>
        <v>0</v>
      </c>
      <c r="G101" s="50" t="e">
        <f t="shared" si="2"/>
        <v>#DIV/0!</v>
      </c>
    </row>
    <row r="102" spans="1:7" x14ac:dyDescent="0.25">
      <c r="A102" s="49" t="str">
        <f>'Data Vlaue (Cr)'!C97</f>
        <v>INDIGO</v>
      </c>
      <c r="B102" s="50">
        <f>VLOOKUP($A102,'Data shares'!$C:$FM,102)</f>
        <v>32.17</v>
      </c>
      <c r="C102" s="50">
        <f>VLOOKUP($A102,'Data shares'!$C:$FM,110)</f>
        <v>31.65</v>
      </c>
      <c r="D102" s="50">
        <f>VLOOKUP($A102,'Data shares'!$C:$FM,114)</f>
        <v>32.92</v>
      </c>
      <c r="E102" s="50">
        <f>VLOOKUP($A102,'Data shares'!$C:$FM,106)</f>
        <v>40.159999999999997</v>
      </c>
      <c r="F102" s="50">
        <f>VLOOKUP($A102,'Data shares'!$C:$FM,108)</f>
        <v>-7.99</v>
      </c>
      <c r="G102" s="50">
        <f t="shared" si="2"/>
        <v>0.80104581673306785</v>
      </c>
    </row>
    <row r="103" spans="1:7" x14ac:dyDescent="0.25">
      <c r="A103" s="49" t="str">
        <f>'Data Vlaue (Cr)'!C98</f>
        <v>INDUSINDBK</v>
      </c>
      <c r="B103" s="50">
        <f>VLOOKUP($A103,'Data shares'!$C:$FM,102)</f>
        <v>26.23</v>
      </c>
      <c r="C103" s="50">
        <f>VLOOKUP($A103,'Data shares'!$C:$FM,110)</f>
        <v>25.85</v>
      </c>
      <c r="D103" s="50">
        <f>VLOOKUP($A103,'Data shares'!$C:$FM,114)</f>
        <v>27.02</v>
      </c>
      <c r="E103" s="50">
        <f>VLOOKUP($A103,'Data shares'!$C:$FM,106)</f>
        <v>42.74</v>
      </c>
      <c r="F103" s="50">
        <f>VLOOKUP($A103,'Data shares'!$C:$FM,108)</f>
        <v>-16.510000000000002</v>
      </c>
      <c r="G103" s="50">
        <f t="shared" ref="G103:G134" si="3">B103/E103</f>
        <v>0.61371080954609258</v>
      </c>
    </row>
    <row r="104" spans="1:7" x14ac:dyDescent="0.25">
      <c r="A104" s="49" t="str">
        <f>'Data Vlaue (Cr)'!C99</f>
        <v>INDUSTOWER</v>
      </c>
      <c r="B104" s="50">
        <f>VLOOKUP($A104,'Data shares'!$C:$FM,102)</f>
        <v>23.54</v>
      </c>
      <c r="C104" s="50">
        <f>VLOOKUP($A104,'Data shares'!$C:$FM,110)</f>
        <v>23.37</v>
      </c>
      <c r="D104" s="50">
        <f>VLOOKUP($A104,'Data shares'!$C:$FM,114)</f>
        <v>23.82</v>
      </c>
      <c r="E104" s="50">
        <f>VLOOKUP($A104,'Data shares'!$C:$FM,106)</f>
        <v>36.81</v>
      </c>
      <c r="F104" s="50">
        <f>VLOOKUP($A104,'Data shares'!$C:$FM,108)</f>
        <v>-13.27</v>
      </c>
      <c r="G104" s="50">
        <f t="shared" si="3"/>
        <v>0.63950013583265408</v>
      </c>
    </row>
    <row r="105" spans="1:7" x14ac:dyDescent="0.25">
      <c r="A105" s="49" t="str">
        <f>'Data Vlaue (Cr)'!C100</f>
        <v>INFY</v>
      </c>
      <c r="B105" s="50">
        <f>VLOOKUP($A105,'Data shares'!$C:$FM,102)</f>
        <v>27.1</v>
      </c>
      <c r="C105" s="50">
        <f>VLOOKUP($A105,'Data shares'!$C:$FM,110)</f>
        <v>26.71</v>
      </c>
      <c r="D105" s="50">
        <f>VLOOKUP($A105,'Data shares'!$C:$FM,114)</f>
        <v>27.67</v>
      </c>
      <c r="E105" s="50">
        <f>VLOOKUP($A105,'Data shares'!$C:$FM,106)</f>
        <v>32.64</v>
      </c>
      <c r="F105" s="50">
        <f>VLOOKUP($A105,'Data shares'!$C:$FM,108)</f>
        <v>-5.54</v>
      </c>
      <c r="G105" s="50">
        <f t="shared" si="3"/>
        <v>0.8302696078431373</v>
      </c>
    </row>
    <row r="106" spans="1:7" x14ac:dyDescent="0.25">
      <c r="A106" s="49" t="str">
        <f>'Data Vlaue (Cr)'!C101</f>
        <v>INOXWIND</v>
      </c>
      <c r="B106" s="50">
        <f>VLOOKUP($A106,'Data shares'!$C:$FM,102)</f>
        <v>44.71</v>
      </c>
      <c r="C106" s="50">
        <f>VLOOKUP($A106,'Data shares'!$C:$FM,110)</f>
        <v>44.88</v>
      </c>
      <c r="D106" s="50">
        <f>VLOOKUP($A106,'Data shares'!$C:$FM,114)</f>
        <v>44.16</v>
      </c>
      <c r="E106" s="50">
        <f>VLOOKUP($A106,'Data shares'!$C:$FM,106)</f>
        <v>53.01</v>
      </c>
      <c r="F106" s="50">
        <f>VLOOKUP($A106,'Data shares'!$C:$FM,108)</f>
        <v>-8.3000000000000007</v>
      </c>
      <c r="G106" s="50">
        <f t="shared" si="3"/>
        <v>0.84342576872288255</v>
      </c>
    </row>
    <row r="107" spans="1:7" x14ac:dyDescent="0.25">
      <c r="A107" s="49" t="str">
        <f>'Data Vlaue (Cr)'!C102</f>
        <v>IOC</v>
      </c>
      <c r="B107" s="50">
        <f>VLOOKUP($A107,'Data shares'!$C:$FM,102)</f>
        <v>28.17</v>
      </c>
      <c r="C107" s="50">
        <f>VLOOKUP($A107,'Data shares'!$C:$FM,110)</f>
        <v>28.46</v>
      </c>
      <c r="D107" s="50">
        <f>VLOOKUP($A107,'Data shares'!$C:$FM,114)</f>
        <v>27.84</v>
      </c>
      <c r="E107" s="50">
        <f>VLOOKUP($A107,'Data shares'!$C:$FM,106)</f>
        <v>34.72</v>
      </c>
      <c r="F107" s="50">
        <f>VLOOKUP($A107,'Data shares'!$C:$FM,108)</f>
        <v>-6.55</v>
      </c>
      <c r="G107" s="50">
        <f t="shared" si="3"/>
        <v>0.81134792626728114</v>
      </c>
    </row>
    <row r="108" spans="1:7" x14ac:dyDescent="0.25">
      <c r="A108" s="49" t="str">
        <f>'Data Vlaue (Cr)'!C103</f>
        <v>IREDA</v>
      </c>
      <c r="B108" s="50">
        <f>VLOOKUP($A108,'Data shares'!$C:$FM,102)</f>
        <v>37.450000000000003</v>
      </c>
      <c r="C108" s="50">
        <f>VLOOKUP($A108,'Data shares'!$C:$FM,110)</f>
        <v>37.78</v>
      </c>
      <c r="D108" s="50">
        <f>VLOOKUP($A108,'Data shares'!$C:$FM,114)</f>
        <v>36.76</v>
      </c>
      <c r="E108" s="50">
        <f>VLOOKUP($A108,'Data shares'!$C:$FM,106)</f>
        <v>48.08</v>
      </c>
      <c r="F108" s="50">
        <f>VLOOKUP($A108,'Data shares'!$C:$FM,108)</f>
        <v>-10.63</v>
      </c>
      <c r="G108" s="50">
        <f t="shared" si="3"/>
        <v>0.77891014975041606</v>
      </c>
    </row>
    <row r="109" spans="1:7" x14ac:dyDescent="0.25">
      <c r="A109" s="49" t="str">
        <f>'Data Vlaue (Cr)'!C104</f>
        <v>IRFC</v>
      </c>
      <c r="B109" s="50">
        <f>VLOOKUP($A109,'Data shares'!$C:$FM,102)</f>
        <v>32.79</v>
      </c>
      <c r="C109" s="50">
        <f>VLOOKUP($A109,'Data shares'!$C:$FM,110)</f>
        <v>33.1</v>
      </c>
      <c r="D109" s="50">
        <f>VLOOKUP($A109,'Data shares'!$C:$FM,114)</f>
        <v>32.06</v>
      </c>
      <c r="E109" s="50">
        <f>VLOOKUP($A109,'Data shares'!$C:$FM,106)</f>
        <v>44.12</v>
      </c>
      <c r="F109" s="50">
        <f>VLOOKUP($A109,'Data shares'!$C:$FM,108)</f>
        <v>-11.33</v>
      </c>
      <c r="G109" s="50">
        <f t="shared" si="3"/>
        <v>0.74320036264732547</v>
      </c>
    </row>
    <row r="110" spans="1:7" x14ac:dyDescent="0.25">
      <c r="A110" s="49" t="str">
        <f>'Data Vlaue (Cr)'!C105</f>
        <v>ITC</v>
      </c>
      <c r="B110" s="50">
        <f>VLOOKUP($A110,'Data shares'!$C:$FM,102)</f>
        <v>18.93</v>
      </c>
      <c r="C110" s="50">
        <f>VLOOKUP($A110,'Data shares'!$C:$FM,110)</f>
        <v>19.13</v>
      </c>
      <c r="D110" s="50">
        <f>VLOOKUP($A110,'Data shares'!$C:$FM,114)</f>
        <v>18.63</v>
      </c>
      <c r="E110" s="50">
        <f>VLOOKUP($A110,'Data shares'!$C:$FM,106)</f>
        <v>24.23</v>
      </c>
      <c r="F110" s="50">
        <f>VLOOKUP($A110,'Data shares'!$C:$FM,108)</f>
        <v>-5.3</v>
      </c>
      <c r="G110" s="50">
        <f t="shared" si="3"/>
        <v>0.78126289723483278</v>
      </c>
    </row>
    <row r="111" spans="1:7" x14ac:dyDescent="0.25">
      <c r="A111" s="49" t="str">
        <f>'Data Vlaue (Cr)'!C106</f>
        <v>JINDALSTEL</v>
      </c>
      <c r="B111" s="50">
        <f>VLOOKUP($A111,'Data shares'!$C:$FM,102)</f>
        <v>24.15</v>
      </c>
      <c r="C111" s="50">
        <f>VLOOKUP($A111,'Data shares'!$C:$FM,110)</f>
        <v>23.81</v>
      </c>
      <c r="D111" s="50">
        <f>VLOOKUP($A111,'Data shares'!$C:$FM,114)</f>
        <v>24.57</v>
      </c>
      <c r="E111" s="50">
        <f>VLOOKUP($A111,'Data shares'!$C:$FM,106)</f>
        <v>36.83</v>
      </c>
      <c r="F111" s="50">
        <f>VLOOKUP($A111,'Data shares'!$C:$FM,108)</f>
        <v>-12.68</v>
      </c>
      <c r="G111" s="50">
        <f t="shared" si="3"/>
        <v>0.65571544936193316</v>
      </c>
    </row>
    <row r="112" spans="1:7" x14ac:dyDescent="0.25">
      <c r="A112" s="49" t="str">
        <f>'Data Vlaue (Cr)'!C107</f>
        <v>JIOFIN</v>
      </c>
      <c r="B112" s="50">
        <f>VLOOKUP($A112,'Data shares'!$C:$FM,102)</f>
        <v>28.73</v>
      </c>
      <c r="C112" s="50">
        <f>VLOOKUP($A112,'Data shares'!$C:$FM,110)</f>
        <v>28.64</v>
      </c>
      <c r="D112" s="50">
        <f>VLOOKUP($A112,'Data shares'!$C:$FM,114)</f>
        <v>28.87</v>
      </c>
      <c r="E112" s="50">
        <f>VLOOKUP($A112,'Data shares'!$C:$FM,106)</f>
        <v>37.49</v>
      </c>
      <c r="F112" s="50">
        <f>VLOOKUP($A112,'Data shares'!$C:$FM,108)</f>
        <v>-8.76</v>
      </c>
      <c r="G112" s="50">
        <f t="shared" si="3"/>
        <v>0.7663376900506802</v>
      </c>
    </row>
    <row r="113" spans="1:7" x14ac:dyDescent="0.25">
      <c r="A113" s="49" t="str">
        <f>'Data Vlaue (Cr)'!C108</f>
        <v>JSWENERGY</v>
      </c>
      <c r="B113" s="50">
        <f>VLOOKUP($A113,'Data shares'!$C:$FM,102)</f>
        <v>29.82</v>
      </c>
      <c r="C113" s="50">
        <f>VLOOKUP($A113,'Data shares'!$C:$FM,110)</f>
        <v>29.67</v>
      </c>
      <c r="D113" s="50">
        <f>VLOOKUP($A113,'Data shares'!$C:$FM,114)</f>
        <v>30.38</v>
      </c>
      <c r="E113" s="50">
        <f>VLOOKUP($A113,'Data shares'!$C:$FM,106)</f>
        <v>43.17</v>
      </c>
      <c r="F113" s="50">
        <f>VLOOKUP($A113,'Data shares'!$C:$FM,108)</f>
        <v>-13.35</v>
      </c>
      <c r="G113" s="50">
        <f t="shared" si="3"/>
        <v>0.6907574704656011</v>
      </c>
    </row>
    <row r="114" spans="1:7" x14ac:dyDescent="0.25">
      <c r="A114" s="49" t="str">
        <f>'Data Vlaue (Cr)'!C109</f>
        <v>JSWSTEEL</v>
      </c>
      <c r="B114" s="50">
        <f>VLOOKUP($A114,'Data shares'!$C:$FM,102)</f>
        <v>24.29</v>
      </c>
      <c r="C114" s="50">
        <f>VLOOKUP($A114,'Data shares'!$C:$FM,110)</f>
        <v>24.42</v>
      </c>
      <c r="D114" s="50">
        <f>VLOOKUP($A114,'Data shares'!$C:$FM,114)</f>
        <v>24</v>
      </c>
      <c r="E114" s="50">
        <f>VLOOKUP($A114,'Data shares'!$C:$FM,106)</f>
        <v>30.9</v>
      </c>
      <c r="F114" s="50">
        <f>VLOOKUP($A114,'Data shares'!$C:$FM,108)</f>
        <v>-6.61</v>
      </c>
      <c r="G114" s="50">
        <f t="shared" si="3"/>
        <v>0.78608414239482205</v>
      </c>
    </row>
    <row r="115" spans="1:7" x14ac:dyDescent="0.25">
      <c r="A115" s="49" t="str">
        <f>'Data Vlaue (Cr)'!C110</f>
        <v>JUBLFOOD</v>
      </c>
      <c r="B115" s="50">
        <f>VLOOKUP($A115,'Data shares'!$C:$FM,102)</f>
        <v>31.13</v>
      </c>
      <c r="C115" s="50">
        <f>VLOOKUP($A115,'Data shares'!$C:$FM,110)</f>
        <v>31.46</v>
      </c>
      <c r="D115" s="50">
        <f>VLOOKUP($A115,'Data shares'!$C:$FM,114)</f>
        <v>30.52</v>
      </c>
      <c r="E115" s="50">
        <f>VLOOKUP($A115,'Data shares'!$C:$FM,106)</f>
        <v>39.5</v>
      </c>
      <c r="F115" s="50">
        <f>VLOOKUP($A115,'Data shares'!$C:$FM,108)</f>
        <v>-8.3699999999999992</v>
      </c>
      <c r="G115" s="50">
        <f t="shared" si="3"/>
        <v>0.78810126582278484</v>
      </c>
    </row>
    <row r="116" spans="1:7" x14ac:dyDescent="0.25">
      <c r="A116" s="49" t="str">
        <f>'Data Vlaue (Cr)'!C111</f>
        <v>KALYANKJIL</v>
      </c>
      <c r="B116" s="50">
        <f>VLOOKUP($A116,'Data shares'!$C:$FM,102)</f>
        <v>35.76</v>
      </c>
      <c r="C116" s="50">
        <f>VLOOKUP($A116,'Data shares'!$C:$FM,110)</f>
        <v>36.020000000000003</v>
      </c>
      <c r="D116" s="50">
        <f>VLOOKUP($A116,'Data shares'!$C:$FM,114)</f>
        <v>35.340000000000003</v>
      </c>
      <c r="E116" s="50">
        <f>VLOOKUP($A116,'Data shares'!$C:$FM,106)</f>
        <v>52.48</v>
      </c>
      <c r="F116" s="50">
        <f>VLOOKUP($A116,'Data shares'!$C:$FM,108)</f>
        <v>-16.72</v>
      </c>
      <c r="G116" s="50">
        <f t="shared" si="3"/>
        <v>0.68140243902439024</v>
      </c>
    </row>
    <row r="117" spans="1:7" x14ac:dyDescent="0.25">
      <c r="A117" s="49" t="str">
        <f>'Data Vlaue (Cr)'!C112</f>
        <v>KAYNES</v>
      </c>
      <c r="B117" s="50">
        <f>VLOOKUP($A117,'Data shares'!$C:$FM,102)</f>
        <v>46.34</v>
      </c>
      <c r="C117" s="50">
        <f>VLOOKUP($A117,'Data shares'!$C:$FM,110)</f>
        <v>46.42</v>
      </c>
      <c r="D117" s="50">
        <f>VLOOKUP($A117,'Data shares'!$C:$FM,114)</f>
        <v>46.2</v>
      </c>
      <c r="E117" s="50">
        <f>VLOOKUP($A117,'Data shares'!$C:$FM,106)</f>
        <v>69.83</v>
      </c>
      <c r="F117" s="50">
        <f>VLOOKUP($A117,'Data shares'!$C:$FM,108)</f>
        <v>-23.49</v>
      </c>
      <c r="G117" s="50">
        <f t="shared" si="3"/>
        <v>0.66361162824001152</v>
      </c>
    </row>
    <row r="118" spans="1:7" x14ac:dyDescent="0.25">
      <c r="A118" s="49" t="str">
        <f>'Data Vlaue (Cr)'!C113</f>
        <v>KEI</v>
      </c>
      <c r="B118" s="50">
        <f>VLOOKUP($A118,'Data shares'!$C:$FM,102)</f>
        <v>32.04</v>
      </c>
      <c r="C118" s="50">
        <f>VLOOKUP($A118,'Data shares'!$C:$FM,110)</f>
        <v>31.5</v>
      </c>
      <c r="D118" s="50">
        <f>VLOOKUP($A118,'Data shares'!$C:$FM,114)</f>
        <v>33.32</v>
      </c>
      <c r="E118" s="50">
        <f>VLOOKUP($A118,'Data shares'!$C:$FM,106)</f>
        <v>45.09</v>
      </c>
      <c r="F118" s="50">
        <f>VLOOKUP($A118,'Data shares'!$C:$FM,108)</f>
        <v>-13.05</v>
      </c>
      <c r="G118" s="50">
        <f t="shared" si="3"/>
        <v>0.71057884231536916</v>
      </c>
    </row>
    <row r="119" spans="1:7" x14ac:dyDescent="0.25">
      <c r="A119" s="49" t="str">
        <f>'Data Vlaue (Cr)'!C114</f>
        <v>KFINTECH</v>
      </c>
      <c r="B119" s="50">
        <f>VLOOKUP($A119,'Data shares'!$C:$FM,102)</f>
        <v>35.35</v>
      </c>
      <c r="C119" s="50">
        <f>VLOOKUP($A119,'Data shares'!$C:$FM,110)</f>
        <v>35.409999999999997</v>
      </c>
      <c r="D119" s="50">
        <f>VLOOKUP($A119,'Data shares'!$C:$FM,114)</f>
        <v>35.24</v>
      </c>
      <c r="E119" s="50">
        <f>VLOOKUP($A119,'Data shares'!$C:$FM,106)</f>
        <v>50.64</v>
      </c>
      <c r="F119" s="50">
        <f>VLOOKUP($A119,'Data shares'!$C:$FM,108)</f>
        <v>-15.29</v>
      </c>
      <c r="G119" s="50">
        <f t="shared" si="3"/>
        <v>0.69806477093206953</v>
      </c>
    </row>
    <row r="120" spans="1:7" x14ac:dyDescent="0.25">
      <c r="A120" s="49" t="str">
        <f>'Data Vlaue (Cr)'!C115</f>
        <v>KOTAKBANK</v>
      </c>
      <c r="B120" s="50">
        <f>VLOOKUP($A120,'Data shares'!$C:$FM,102)</f>
        <v>21.84</v>
      </c>
      <c r="C120" s="50">
        <f>VLOOKUP($A120,'Data shares'!$C:$FM,110)</f>
        <v>21.51</v>
      </c>
      <c r="D120" s="50">
        <f>VLOOKUP($A120,'Data shares'!$C:$FM,114)</f>
        <v>22.38</v>
      </c>
      <c r="E120" s="50">
        <f>VLOOKUP($A120,'Data shares'!$C:$FM,106)</f>
        <v>27.04</v>
      </c>
      <c r="F120" s="50">
        <f>VLOOKUP($A120,'Data shares'!$C:$FM,108)</f>
        <v>-5.2</v>
      </c>
      <c r="G120" s="50">
        <f t="shared" si="3"/>
        <v>0.80769230769230771</v>
      </c>
    </row>
    <row r="121" spans="1:7" x14ac:dyDescent="0.25">
      <c r="A121" s="49" t="str">
        <f>'Data Vlaue (Cr)'!C116</f>
        <v>KPITTECH</v>
      </c>
      <c r="B121" s="50">
        <f>VLOOKUP($A121,'Data shares'!$C:$FM,102)</f>
        <v>39.06</v>
      </c>
      <c r="C121" s="50">
        <f>VLOOKUP($A121,'Data shares'!$C:$FM,110)</f>
        <v>39.46</v>
      </c>
      <c r="D121" s="50">
        <f>VLOOKUP($A121,'Data shares'!$C:$FM,114)</f>
        <v>38.08</v>
      </c>
      <c r="E121" s="50">
        <f>VLOOKUP($A121,'Data shares'!$C:$FM,106)</f>
        <v>44.58</v>
      </c>
      <c r="F121" s="50">
        <f>VLOOKUP($A121,'Data shares'!$C:$FM,108)</f>
        <v>-5.52</v>
      </c>
      <c r="G121" s="50">
        <f t="shared" si="3"/>
        <v>0.87617765814266491</v>
      </c>
    </row>
    <row r="122" spans="1:7" x14ac:dyDescent="0.25">
      <c r="A122" s="49" t="str">
        <f>'Data Vlaue (Cr)'!C117</f>
        <v>LAURUSLABS</v>
      </c>
      <c r="B122" s="50">
        <f>VLOOKUP($A122,'Data shares'!$C:$FM,102)</f>
        <v>25.69</v>
      </c>
      <c r="C122" s="50">
        <f>VLOOKUP($A122,'Data shares'!$C:$FM,110)</f>
        <v>25.18</v>
      </c>
      <c r="D122" s="50">
        <f>VLOOKUP($A122,'Data shares'!$C:$FM,114)</f>
        <v>26.47</v>
      </c>
      <c r="E122" s="50">
        <f>VLOOKUP($A122,'Data shares'!$C:$FM,106)</f>
        <v>39.119999999999997</v>
      </c>
      <c r="F122" s="50">
        <f>VLOOKUP($A122,'Data shares'!$C:$FM,108)</f>
        <v>-13.43</v>
      </c>
      <c r="G122" s="50">
        <f t="shared" si="3"/>
        <v>0.65669734151329251</v>
      </c>
    </row>
    <row r="123" spans="1:7" x14ac:dyDescent="0.25">
      <c r="A123" s="49" t="str">
        <f>'Data Vlaue (Cr)'!C118</f>
        <v>LICHSGFIN</v>
      </c>
      <c r="B123" s="50">
        <f>VLOOKUP($A123,'Data shares'!$C:$FM,102)</f>
        <v>23.41</v>
      </c>
      <c r="C123" s="50">
        <f>VLOOKUP($A123,'Data shares'!$C:$FM,110)</f>
        <v>23.58</v>
      </c>
      <c r="D123" s="50">
        <f>VLOOKUP($A123,'Data shares'!$C:$FM,114)</f>
        <v>23.19</v>
      </c>
      <c r="E123" s="50">
        <f>VLOOKUP($A123,'Data shares'!$C:$FM,106)</f>
        <v>34.19</v>
      </c>
      <c r="F123" s="50">
        <f>VLOOKUP($A123,'Data shares'!$C:$FM,108)</f>
        <v>-10.78</v>
      </c>
      <c r="G123" s="50">
        <f t="shared" si="3"/>
        <v>0.68470312957004975</v>
      </c>
    </row>
    <row r="124" spans="1:7" x14ac:dyDescent="0.25">
      <c r="A124" s="49" t="str">
        <f>'Data Vlaue (Cr)'!C119</f>
        <v>LICI</v>
      </c>
      <c r="B124" s="50">
        <f>VLOOKUP($A124,'Data shares'!$C:$FM,102)</f>
        <v>24.52</v>
      </c>
      <c r="C124" s="50">
        <f>VLOOKUP($A124,'Data shares'!$C:$FM,110)</f>
        <v>24.46</v>
      </c>
      <c r="D124" s="50">
        <f>VLOOKUP($A124,'Data shares'!$C:$FM,114)</f>
        <v>24.65</v>
      </c>
      <c r="E124" s="50">
        <f>VLOOKUP($A124,'Data shares'!$C:$FM,106)</f>
        <v>32.71</v>
      </c>
      <c r="F124" s="50">
        <f>VLOOKUP($A124,'Data shares'!$C:$FM,108)</f>
        <v>-8.19</v>
      </c>
      <c r="G124" s="50">
        <f t="shared" si="3"/>
        <v>0.74961785386731883</v>
      </c>
    </row>
    <row r="125" spans="1:7" x14ac:dyDescent="0.25">
      <c r="A125" s="49" t="str">
        <f>'Data Vlaue (Cr)'!C120</f>
        <v>LODHA</v>
      </c>
      <c r="B125" s="50">
        <f>VLOOKUP($A125,'Data shares'!$C:$FM,102)</f>
        <v>36.94</v>
      </c>
      <c r="C125" s="50">
        <f>VLOOKUP($A125,'Data shares'!$C:$FM,110)</f>
        <v>36.200000000000003</v>
      </c>
      <c r="D125" s="50">
        <f>VLOOKUP($A125,'Data shares'!$C:$FM,114)</f>
        <v>38.24</v>
      </c>
      <c r="E125" s="50">
        <f>VLOOKUP($A125,'Data shares'!$C:$FM,106)</f>
        <v>47.84</v>
      </c>
      <c r="F125" s="50">
        <f>VLOOKUP($A125,'Data shares'!$C:$FM,108)</f>
        <v>-10.9</v>
      </c>
      <c r="G125" s="50">
        <f t="shared" si="3"/>
        <v>0.77215719063545141</v>
      </c>
    </row>
    <row r="126" spans="1:7" x14ac:dyDescent="0.25">
      <c r="A126" s="49" t="str">
        <f>'Data Vlaue (Cr)'!C121</f>
        <v>LT</v>
      </c>
      <c r="B126" s="50">
        <f>VLOOKUP($A126,'Data shares'!$C:$FM,102)</f>
        <v>21.47</v>
      </c>
      <c r="C126" s="50">
        <f>VLOOKUP($A126,'Data shares'!$C:$FM,110)</f>
        <v>21.31</v>
      </c>
      <c r="D126" s="50">
        <f>VLOOKUP($A126,'Data shares'!$C:$FM,114)</f>
        <v>21.74</v>
      </c>
      <c r="E126" s="50">
        <f>VLOOKUP($A126,'Data shares'!$C:$FM,106)</f>
        <v>32.880000000000003</v>
      </c>
      <c r="F126" s="50">
        <f>VLOOKUP($A126,'Data shares'!$C:$FM,108)</f>
        <v>-11.41</v>
      </c>
      <c r="G126" s="50">
        <f t="shared" si="3"/>
        <v>0.65298053527980526</v>
      </c>
    </row>
    <row r="127" spans="1:7" x14ac:dyDescent="0.25">
      <c r="A127" s="49" t="str">
        <f>'Data Vlaue (Cr)'!C122</f>
        <v>LTF</v>
      </c>
      <c r="B127" s="50">
        <f>VLOOKUP($A127,'Data shares'!$C:$FM,102)</f>
        <v>32.590000000000003</v>
      </c>
      <c r="C127" s="50">
        <f>VLOOKUP($A127,'Data shares'!$C:$FM,110)</f>
        <v>32.56</v>
      </c>
      <c r="D127" s="50">
        <f>VLOOKUP($A127,'Data shares'!$C:$FM,114)</f>
        <v>32.72</v>
      </c>
      <c r="E127" s="50">
        <f>VLOOKUP($A127,'Data shares'!$C:$FM,106)</f>
        <v>40.880000000000003</v>
      </c>
      <c r="F127" s="50">
        <f>VLOOKUP($A127,'Data shares'!$C:$FM,108)</f>
        <v>-8.2899999999999991</v>
      </c>
      <c r="G127" s="50">
        <f t="shared" si="3"/>
        <v>0.79721135029354206</v>
      </c>
    </row>
    <row r="128" spans="1:7" x14ac:dyDescent="0.25">
      <c r="A128" s="49" t="str">
        <f>'Data Vlaue (Cr)'!C123</f>
        <v>LTM</v>
      </c>
      <c r="B128" s="50">
        <f>VLOOKUP($A128,'Data shares'!$C:$FM,102)</f>
        <v>31.52</v>
      </c>
      <c r="C128" s="50">
        <f>VLOOKUP($A128,'Data shares'!$C:$FM,110)</f>
        <v>31.76</v>
      </c>
      <c r="D128" s="50">
        <f>VLOOKUP($A128,'Data shares'!$C:$FM,114)</f>
        <v>30.7</v>
      </c>
      <c r="E128" s="50">
        <f>VLOOKUP($A128,'Data shares'!$C:$FM,106)</f>
        <v>37.42</v>
      </c>
      <c r="F128" s="50">
        <f>VLOOKUP($A128,'Data shares'!$C:$FM,108)</f>
        <v>-5.9</v>
      </c>
      <c r="G128" s="50">
        <f t="shared" si="3"/>
        <v>0.84233030464991976</v>
      </c>
    </row>
    <row r="129" spans="1:7" x14ac:dyDescent="0.25">
      <c r="A129" s="49" t="str">
        <f>'Data Vlaue (Cr)'!C124</f>
        <v>LUPIN</v>
      </c>
      <c r="B129" s="50">
        <f>VLOOKUP($A129,'Data shares'!$C:$FM,102)</f>
        <v>22.78</v>
      </c>
      <c r="C129" s="50">
        <f>VLOOKUP($A129,'Data shares'!$C:$FM,110)</f>
        <v>22.61</v>
      </c>
      <c r="D129" s="50">
        <f>VLOOKUP($A129,'Data shares'!$C:$FM,114)</f>
        <v>23.02</v>
      </c>
      <c r="E129" s="50">
        <f>VLOOKUP($A129,'Data shares'!$C:$FM,106)</f>
        <v>28.82</v>
      </c>
      <c r="F129" s="50">
        <f>VLOOKUP($A129,'Data shares'!$C:$FM,108)</f>
        <v>-6.04</v>
      </c>
      <c r="G129" s="50">
        <f t="shared" si="3"/>
        <v>0.79042331714087444</v>
      </c>
    </row>
    <row r="130" spans="1:7" x14ac:dyDescent="0.25">
      <c r="A130" s="49" t="str">
        <f>'Data Vlaue (Cr)'!C125</f>
        <v>M&amp;M</v>
      </c>
      <c r="B130" s="50">
        <f>VLOOKUP($A130,'Data shares'!$C:$FM,102)</f>
        <v>26.62</v>
      </c>
      <c r="C130" s="50">
        <f>VLOOKUP($A130,'Data shares'!$C:$FM,110)</f>
        <v>26.54</v>
      </c>
      <c r="D130" s="50">
        <f>VLOOKUP($A130,'Data shares'!$C:$FM,114)</f>
        <v>26.8</v>
      </c>
      <c r="E130" s="50">
        <f>VLOOKUP($A130,'Data shares'!$C:$FM,106)</f>
        <v>35.54</v>
      </c>
      <c r="F130" s="50">
        <f>VLOOKUP($A130,'Data shares'!$C:$FM,108)</f>
        <v>-8.92</v>
      </c>
      <c r="G130" s="50">
        <f t="shared" si="3"/>
        <v>0.74901519414743956</v>
      </c>
    </row>
    <row r="131" spans="1:7" x14ac:dyDescent="0.25">
      <c r="A131" s="49" t="str">
        <f>'Data Vlaue (Cr)'!C126</f>
        <v>MANAPPURAM</v>
      </c>
      <c r="B131" s="50">
        <f>VLOOKUP($A131,'Data shares'!$C:$FM,102)</f>
        <v>30.03</v>
      </c>
      <c r="C131" s="50">
        <f>VLOOKUP($A131,'Data shares'!$C:$FM,110)</f>
        <v>29.11</v>
      </c>
      <c r="D131" s="50">
        <f>VLOOKUP($A131,'Data shares'!$C:$FM,114)</f>
        <v>32.61</v>
      </c>
      <c r="E131" s="50">
        <f>VLOOKUP($A131,'Data shares'!$C:$FM,106)</f>
        <v>42.75</v>
      </c>
      <c r="F131" s="50">
        <f>VLOOKUP($A131,'Data shares'!$C:$FM,108)</f>
        <v>-12.72</v>
      </c>
      <c r="G131" s="50">
        <f t="shared" si="3"/>
        <v>0.70245614035087722</v>
      </c>
    </row>
    <row r="132" spans="1:7" x14ac:dyDescent="0.25">
      <c r="A132" s="49" t="str">
        <f>'Data Vlaue (Cr)'!C127</f>
        <v>MANKIND</v>
      </c>
      <c r="B132" s="50">
        <f>VLOOKUP($A132,'Data shares'!$C:$FM,102)</f>
        <v>29.61</v>
      </c>
      <c r="C132" s="50">
        <f>VLOOKUP($A132,'Data shares'!$C:$FM,110)</f>
        <v>29.77</v>
      </c>
      <c r="D132" s="50">
        <f>VLOOKUP($A132,'Data shares'!$C:$FM,114)</f>
        <v>29.36</v>
      </c>
      <c r="E132" s="50">
        <f>VLOOKUP($A132,'Data shares'!$C:$FM,106)</f>
        <v>33.9</v>
      </c>
      <c r="F132" s="50">
        <f>VLOOKUP($A132,'Data shares'!$C:$FM,108)</f>
        <v>-4.29</v>
      </c>
      <c r="G132" s="50">
        <f t="shared" si="3"/>
        <v>0.8734513274336283</v>
      </c>
    </row>
    <row r="133" spans="1:7" x14ac:dyDescent="0.25">
      <c r="A133" s="49" t="str">
        <f>'Data Vlaue (Cr)'!C128</f>
        <v>MARICO</v>
      </c>
      <c r="B133" s="50">
        <f>VLOOKUP($A133,'Data shares'!$C:$FM,102)</f>
        <v>19.440000000000001</v>
      </c>
      <c r="C133" s="50">
        <f>VLOOKUP($A133,'Data shares'!$C:$FM,110)</f>
        <v>19.239999999999998</v>
      </c>
      <c r="D133" s="50">
        <f>VLOOKUP($A133,'Data shares'!$C:$FM,114)</f>
        <v>19.71</v>
      </c>
      <c r="E133" s="50">
        <f>VLOOKUP($A133,'Data shares'!$C:$FM,106)</f>
        <v>24.22</v>
      </c>
      <c r="F133" s="50">
        <f>VLOOKUP($A133,'Data shares'!$C:$FM,108)</f>
        <v>-4.78</v>
      </c>
      <c r="G133" s="50">
        <f t="shared" si="3"/>
        <v>0.80264244426094145</v>
      </c>
    </row>
    <row r="134" spans="1:7" x14ac:dyDescent="0.25">
      <c r="A134" s="49" t="str">
        <f>'Data Vlaue (Cr)'!C129</f>
        <v>MARUTI</v>
      </c>
      <c r="B134" s="50">
        <f>VLOOKUP($A134,'Data shares'!$C:$FM,102)</f>
        <v>22.99</v>
      </c>
      <c r="C134" s="50">
        <f>VLOOKUP($A134,'Data shares'!$C:$FM,110)</f>
        <v>22.54</v>
      </c>
      <c r="D134" s="50">
        <f>VLOOKUP($A134,'Data shares'!$C:$FM,114)</f>
        <v>23.96</v>
      </c>
      <c r="E134" s="50">
        <f>VLOOKUP($A134,'Data shares'!$C:$FM,106)</f>
        <v>28.52</v>
      </c>
      <c r="F134" s="50">
        <f>VLOOKUP($A134,'Data shares'!$C:$FM,108)</f>
        <v>-5.53</v>
      </c>
      <c r="G134" s="50">
        <f t="shared" si="3"/>
        <v>0.80610098176718092</v>
      </c>
    </row>
    <row r="135" spans="1:7" x14ac:dyDescent="0.25">
      <c r="A135" s="49" t="str">
        <f>'Data Vlaue (Cr)'!C130</f>
        <v>MAXHEALTH</v>
      </c>
      <c r="B135" s="50">
        <f>VLOOKUP($A135,'Data shares'!$C:$FM,102)</f>
        <v>27.78</v>
      </c>
      <c r="C135" s="50">
        <f>VLOOKUP($A135,'Data shares'!$C:$FM,110)</f>
        <v>27.61</v>
      </c>
      <c r="D135" s="50">
        <f>VLOOKUP($A135,'Data shares'!$C:$FM,114)</f>
        <v>28.16</v>
      </c>
      <c r="E135" s="50">
        <f>VLOOKUP($A135,'Data shares'!$C:$FM,106)</f>
        <v>36.04</v>
      </c>
      <c r="F135" s="50">
        <f>VLOOKUP($A135,'Data shares'!$C:$FM,108)</f>
        <v>-8.26</v>
      </c>
      <c r="G135" s="50">
        <f t="shared" ref="G135:G166" si="4">B135/E135</f>
        <v>0.77081021087680357</v>
      </c>
    </row>
    <row r="136" spans="1:7" x14ac:dyDescent="0.25">
      <c r="A136" s="49" t="str">
        <f>'Data Vlaue (Cr)'!C131</f>
        <v>MAZDOCK</v>
      </c>
      <c r="B136" s="50">
        <f>VLOOKUP($A136,'Data shares'!$C:$FM,102)</f>
        <v>33.64</v>
      </c>
      <c r="C136" s="50">
        <f>VLOOKUP($A136,'Data shares'!$C:$FM,110)</f>
        <v>33.14</v>
      </c>
      <c r="D136" s="50">
        <f>VLOOKUP($A136,'Data shares'!$C:$FM,114)</f>
        <v>34.590000000000003</v>
      </c>
      <c r="E136" s="50">
        <f>VLOOKUP($A136,'Data shares'!$C:$FM,106)</f>
        <v>54.1</v>
      </c>
      <c r="F136" s="50">
        <f>VLOOKUP($A136,'Data shares'!$C:$FM,108)</f>
        <v>-20.46</v>
      </c>
      <c r="G136" s="50">
        <f t="shared" si="4"/>
        <v>0.62181146025877998</v>
      </c>
    </row>
    <row r="137" spans="1:7" x14ac:dyDescent="0.25">
      <c r="A137" s="49" t="str">
        <f>'Data Vlaue (Cr)'!C132</f>
        <v>MCX</v>
      </c>
      <c r="B137" s="50">
        <f>VLOOKUP($A137,'Data shares'!$C:$FM,102)</f>
        <v>35.659999999999997</v>
      </c>
      <c r="C137" s="50">
        <f>VLOOKUP($A137,'Data shares'!$C:$FM,110)</f>
        <v>35.51</v>
      </c>
      <c r="D137" s="50">
        <f>VLOOKUP($A137,'Data shares'!$C:$FM,114)</f>
        <v>35.96</v>
      </c>
      <c r="E137" s="50">
        <f>VLOOKUP($A137,'Data shares'!$C:$FM,106)</f>
        <v>48.49</v>
      </c>
      <c r="F137" s="50">
        <f>VLOOKUP($A137,'Data shares'!$C:$FM,108)</f>
        <v>-12.83</v>
      </c>
      <c r="G137" s="50">
        <f t="shared" si="4"/>
        <v>0.73540936275520719</v>
      </c>
    </row>
    <row r="138" spans="1:7" x14ac:dyDescent="0.25">
      <c r="A138" s="49" t="str">
        <f>'Data Vlaue (Cr)'!C133</f>
        <v>MFSL</v>
      </c>
      <c r="B138" s="50">
        <f>VLOOKUP($A138,'Data shares'!$C:$FM,102)</f>
        <v>26.45</v>
      </c>
      <c r="C138" s="50">
        <f>VLOOKUP($A138,'Data shares'!$C:$FM,110)</f>
        <v>26.48</v>
      </c>
      <c r="D138" s="50">
        <f>VLOOKUP($A138,'Data shares'!$C:$FM,114)</f>
        <v>26.38</v>
      </c>
      <c r="E138" s="50">
        <f>VLOOKUP($A138,'Data shares'!$C:$FM,106)</f>
        <v>32.29</v>
      </c>
      <c r="F138" s="50">
        <f>VLOOKUP($A138,'Data shares'!$C:$FM,108)</f>
        <v>-5.84</v>
      </c>
      <c r="G138" s="50">
        <f t="shared" si="4"/>
        <v>0.81913905233818518</v>
      </c>
    </row>
    <row r="139" spans="1:7" x14ac:dyDescent="0.25">
      <c r="A139" s="49" t="str">
        <f>'Data Vlaue (Cr)'!C134</f>
        <v>MIDCPNIFTY</v>
      </c>
      <c r="B139" s="50">
        <f>VLOOKUP($A139,'Data shares'!$C:$FM,102)</f>
        <v>18.5</v>
      </c>
      <c r="C139" s="50">
        <f>VLOOKUP($A139,'Data shares'!$C:$FM,110)</f>
        <v>16.5</v>
      </c>
      <c r="D139" s="50">
        <f>VLOOKUP($A139,'Data shares'!$C:$FM,114)</f>
        <v>20.25</v>
      </c>
      <c r="E139" s="50">
        <f>VLOOKUP($A139,'Data shares'!$C:$FM,106)</f>
        <v>24.76</v>
      </c>
      <c r="F139" s="50">
        <f>VLOOKUP($A139,'Data shares'!$C:$FM,108)</f>
        <v>-6.26</v>
      </c>
      <c r="G139" s="50">
        <f t="shared" si="4"/>
        <v>0.74717285945072698</v>
      </c>
    </row>
    <row r="140" spans="1:7" x14ac:dyDescent="0.25">
      <c r="A140" s="49" t="str">
        <f>'Data Vlaue (Cr)'!C135</f>
        <v>MOTHERSON</v>
      </c>
      <c r="B140" s="50">
        <f>VLOOKUP($A140,'Data shares'!$C:$FM,102)</f>
        <v>33.67</v>
      </c>
      <c r="C140" s="50">
        <f>VLOOKUP($A140,'Data shares'!$C:$FM,110)</f>
        <v>33.44</v>
      </c>
      <c r="D140" s="50">
        <f>VLOOKUP($A140,'Data shares'!$C:$FM,114)</f>
        <v>34.229999999999997</v>
      </c>
      <c r="E140" s="50">
        <f>VLOOKUP($A140,'Data shares'!$C:$FM,106)</f>
        <v>43.62</v>
      </c>
      <c r="F140" s="50">
        <f>VLOOKUP($A140,'Data shares'!$C:$FM,108)</f>
        <v>-9.9499999999999993</v>
      </c>
      <c r="G140" s="50">
        <f t="shared" si="4"/>
        <v>0.77189362677670803</v>
      </c>
    </row>
    <row r="141" spans="1:7" x14ac:dyDescent="0.25">
      <c r="A141" s="49" t="str">
        <f>'Data Vlaue (Cr)'!C136</f>
        <v>MOTILALOFS</v>
      </c>
      <c r="B141" s="50">
        <f>VLOOKUP($A141,'Data shares'!$C:$FM,102)</f>
        <v>37.17</v>
      </c>
      <c r="C141" s="50">
        <f>VLOOKUP($A141,'Data shares'!$C:$FM,110)</f>
        <v>37</v>
      </c>
      <c r="D141" s="50">
        <f>VLOOKUP($A141,'Data shares'!$C:$FM,114)</f>
        <v>38.07</v>
      </c>
      <c r="E141" s="50">
        <f>VLOOKUP($A141,'Data shares'!$C:$FM,106)</f>
        <v>52.83</v>
      </c>
      <c r="F141" s="50">
        <f>VLOOKUP($A141,'Data shares'!$C:$FM,108)</f>
        <v>-15.66</v>
      </c>
      <c r="G141" s="50">
        <f t="shared" si="4"/>
        <v>0.70357751277683145</v>
      </c>
    </row>
    <row r="142" spans="1:7" x14ac:dyDescent="0.25">
      <c r="A142" s="49" t="str">
        <f>'Data Vlaue (Cr)'!C137</f>
        <v>MPHASIS</v>
      </c>
      <c r="B142" s="50">
        <f>VLOOKUP($A142,'Data shares'!$C:$FM,102)</f>
        <v>33.74</v>
      </c>
      <c r="C142" s="50">
        <f>VLOOKUP($A142,'Data shares'!$C:$FM,110)</f>
        <v>33.369999999999997</v>
      </c>
      <c r="D142" s="50">
        <f>VLOOKUP($A142,'Data shares'!$C:$FM,114)</f>
        <v>34.76</v>
      </c>
      <c r="E142" s="50">
        <f>VLOOKUP($A142,'Data shares'!$C:$FM,106)</f>
        <v>36.89</v>
      </c>
      <c r="F142" s="50">
        <f>VLOOKUP($A142,'Data shares'!$C:$FM,108)</f>
        <v>-3.15</v>
      </c>
      <c r="G142" s="50">
        <f t="shared" si="4"/>
        <v>0.91461100569259968</v>
      </c>
    </row>
    <row r="143" spans="1:7" x14ac:dyDescent="0.25">
      <c r="A143" s="49" t="str">
        <f>'Data Vlaue (Cr)'!C138</f>
        <v>MUTHOOTFIN</v>
      </c>
      <c r="B143" s="50">
        <f>VLOOKUP($A143,'Data shares'!$C:$FM,102)</f>
        <v>28.59</v>
      </c>
      <c r="C143" s="50">
        <f>VLOOKUP($A143,'Data shares'!$C:$FM,110)</f>
        <v>28.53</v>
      </c>
      <c r="D143" s="50">
        <f>VLOOKUP($A143,'Data shares'!$C:$FM,114)</f>
        <v>28.69</v>
      </c>
      <c r="E143" s="50">
        <f>VLOOKUP($A143,'Data shares'!$C:$FM,106)</f>
        <v>43.86</v>
      </c>
      <c r="F143" s="50">
        <f>VLOOKUP($A143,'Data shares'!$C:$FM,108)</f>
        <v>-15.27</v>
      </c>
      <c r="G143" s="50">
        <f t="shared" si="4"/>
        <v>0.65184678522571815</v>
      </c>
    </row>
    <row r="144" spans="1:7" x14ac:dyDescent="0.25">
      <c r="A144" s="49" t="str">
        <f>'Data Vlaue (Cr)'!C139</f>
        <v>NAM-INDIA</v>
      </c>
      <c r="B144" s="233">
        <f>VLOOKUP($A144,'Data shares'!$C:$FM,102)</f>
        <v>33.72</v>
      </c>
      <c r="C144" s="233">
        <f>VLOOKUP($A144,'Data shares'!$C:$FM,110)</f>
        <v>33.369999999999997</v>
      </c>
      <c r="D144" s="233">
        <f>VLOOKUP($A144,'Data shares'!$C:$FM,114)</f>
        <v>34.47</v>
      </c>
      <c r="E144" s="233">
        <f>VLOOKUP($A144,'Data shares'!$C:$FM,106)</f>
        <v>49.53</v>
      </c>
      <c r="F144" s="233">
        <f>VLOOKUP($A144,'Data shares'!$C:$FM,108)</f>
        <v>-15.81</v>
      </c>
      <c r="G144" s="233">
        <f t="shared" si="4"/>
        <v>0.68079951544518469</v>
      </c>
    </row>
    <row r="145" spans="1:7" x14ac:dyDescent="0.25">
      <c r="A145" s="49" t="str">
        <f>'Data Vlaue (Cr)'!C140</f>
        <v>NATIONALUM</v>
      </c>
      <c r="B145" s="50">
        <f>VLOOKUP($A145,'Data shares'!$C:$FM,102)</f>
        <v>32.130000000000003</v>
      </c>
      <c r="C145" s="50">
        <f>VLOOKUP($A145,'Data shares'!$C:$FM,110)</f>
        <v>32.01</v>
      </c>
      <c r="D145" s="50">
        <f>VLOOKUP($A145,'Data shares'!$C:$FM,114)</f>
        <v>32.47</v>
      </c>
      <c r="E145" s="50">
        <f>VLOOKUP($A145,'Data shares'!$C:$FM,106)</f>
        <v>50.94</v>
      </c>
      <c r="F145" s="50">
        <f>VLOOKUP($A145,'Data shares'!$C:$FM,108)</f>
        <v>-18.809999999999999</v>
      </c>
      <c r="G145" s="50">
        <f t="shared" si="4"/>
        <v>0.63074204946996471</v>
      </c>
    </row>
    <row r="146" spans="1:7" x14ac:dyDescent="0.25">
      <c r="A146" s="49" t="str">
        <f>'Data Vlaue (Cr)'!C141</f>
        <v>NAUKRI</v>
      </c>
      <c r="B146" s="50">
        <f>VLOOKUP($A146,'Data shares'!$C:$FM,102)</f>
        <v>32.31</v>
      </c>
      <c r="C146" s="50">
        <f>VLOOKUP($A146,'Data shares'!$C:$FM,110)</f>
        <v>31.82</v>
      </c>
      <c r="D146" s="50">
        <f>VLOOKUP($A146,'Data shares'!$C:$FM,114)</f>
        <v>33.799999999999997</v>
      </c>
      <c r="E146" s="50">
        <f>VLOOKUP($A146,'Data shares'!$C:$FM,106)</f>
        <v>36.9</v>
      </c>
      <c r="F146" s="50">
        <f>VLOOKUP($A146,'Data shares'!$C:$FM,108)</f>
        <v>-4.59</v>
      </c>
      <c r="G146" s="50">
        <f t="shared" si="4"/>
        <v>0.87560975609756109</v>
      </c>
    </row>
    <row r="147" spans="1:7" x14ac:dyDescent="0.25">
      <c r="A147" s="49" t="str">
        <f>'Data Vlaue (Cr)'!C142</f>
        <v>NBCC</v>
      </c>
      <c r="B147" s="50">
        <f>VLOOKUP($A147,'Data shares'!$C:$FM,102)</f>
        <v>36.909999999999997</v>
      </c>
      <c r="C147" s="50">
        <f>VLOOKUP($A147,'Data shares'!$C:$FM,110)</f>
        <v>37.049999999999997</v>
      </c>
      <c r="D147" s="50">
        <f>VLOOKUP($A147,'Data shares'!$C:$FM,114)</f>
        <v>36.590000000000003</v>
      </c>
      <c r="E147" s="50">
        <f>VLOOKUP($A147,'Data shares'!$C:$FM,106)</f>
        <v>50.43</v>
      </c>
      <c r="F147" s="50">
        <f>VLOOKUP($A147,'Data shares'!$C:$FM,108)</f>
        <v>-13.52</v>
      </c>
      <c r="G147" s="50">
        <f t="shared" si="4"/>
        <v>0.73190561173904412</v>
      </c>
    </row>
    <row r="148" spans="1:7" x14ac:dyDescent="0.25">
      <c r="A148" s="49" t="str">
        <f>'Data Vlaue (Cr)'!C143</f>
        <v>NESTLEIND</v>
      </c>
      <c r="B148" s="50">
        <f>VLOOKUP($A148,'Data shares'!$C:$FM,102)</f>
        <v>20.46</v>
      </c>
      <c r="C148" s="50">
        <f>VLOOKUP($A148,'Data shares'!$C:$FM,110)</f>
        <v>20.18</v>
      </c>
      <c r="D148" s="50">
        <f>VLOOKUP($A148,'Data shares'!$C:$FM,114)</f>
        <v>20.92</v>
      </c>
      <c r="E148" s="50">
        <f>VLOOKUP($A148,'Data shares'!$C:$FM,106)</f>
        <v>24.66</v>
      </c>
      <c r="F148" s="50">
        <f>VLOOKUP($A148,'Data shares'!$C:$FM,108)</f>
        <v>-4.2</v>
      </c>
      <c r="G148" s="50">
        <f t="shared" si="4"/>
        <v>0.82968369829683697</v>
      </c>
    </row>
    <row r="149" spans="1:7" x14ac:dyDescent="0.25">
      <c r="A149" s="49" t="str">
        <f>'Data Vlaue (Cr)'!C144</f>
        <v>NHPC</v>
      </c>
      <c r="B149" s="50">
        <f>VLOOKUP($A149,'Data shares'!$C:$FM,102)</f>
        <v>28.66</v>
      </c>
      <c r="C149" s="50">
        <f>VLOOKUP($A149,'Data shares'!$C:$FM,110)</f>
        <v>28.95</v>
      </c>
      <c r="D149" s="50">
        <f>VLOOKUP($A149,'Data shares'!$C:$FM,114)</f>
        <v>27.98</v>
      </c>
      <c r="E149" s="50">
        <f>VLOOKUP($A149,'Data shares'!$C:$FM,106)</f>
        <v>34.450000000000003</v>
      </c>
      <c r="F149" s="50">
        <f>VLOOKUP($A149,'Data shares'!$C:$FM,108)</f>
        <v>-5.79</v>
      </c>
      <c r="G149" s="50">
        <f t="shared" si="4"/>
        <v>0.83193033381712622</v>
      </c>
    </row>
    <row r="150" spans="1:7" x14ac:dyDescent="0.25">
      <c r="A150" s="49" t="str">
        <f>'Data Vlaue (Cr)'!C145</f>
        <v>NIFTY</v>
      </c>
      <c r="B150" s="50">
        <f>VLOOKUP($A150,'Data shares'!$C:$FM,102)</f>
        <v>15.09</v>
      </c>
      <c r="C150" s="50">
        <f>VLOOKUP($A150,'Data shares'!$C:$FM,110)</f>
        <v>14.73</v>
      </c>
      <c r="D150" s="50">
        <f>VLOOKUP($A150,'Data shares'!$C:$FM,114)</f>
        <v>15.45</v>
      </c>
      <c r="E150" s="50">
        <f>VLOOKUP($A150,'Data shares'!$C:$FM,106)</f>
        <v>17.47</v>
      </c>
      <c r="F150" s="50">
        <f>VLOOKUP($A150,'Data shares'!$C:$FM,108)</f>
        <v>-2.38</v>
      </c>
      <c r="G150" s="50">
        <f t="shared" si="4"/>
        <v>0.86376645678305675</v>
      </c>
    </row>
    <row r="151" spans="1:7" x14ac:dyDescent="0.25">
      <c r="A151" s="49" t="str">
        <f>'Data Vlaue (Cr)'!C146</f>
        <v>NIFTYNXT50</v>
      </c>
      <c r="B151" s="50">
        <f>VLOOKUP($A151,'Data shares'!$C:$FM,102)</f>
        <v>22.82</v>
      </c>
      <c r="C151" s="50">
        <f>VLOOKUP($A151,'Data shares'!$C:$FM,110)</f>
        <v>22.82</v>
      </c>
      <c r="D151" s="50">
        <f>VLOOKUP($A151,'Data shares'!$C:$FM,114)</f>
        <v>22.82</v>
      </c>
      <c r="E151" s="50">
        <f>VLOOKUP($A151,'Data shares'!$C:$FM,106)</f>
        <v>22.82</v>
      </c>
      <c r="F151" s="50">
        <f>VLOOKUP($A151,'Data shares'!$C:$FM,108)</f>
        <v>0</v>
      </c>
      <c r="G151" s="50">
        <f t="shared" si="4"/>
        <v>1</v>
      </c>
    </row>
    <row r="152" spans="1:7" x14ac:dyDescent="0.25">
      <c r="A152" s="49" t="str">
        <f>'Data Vlaue (Cr)'!C147</f>
        <v>NMDC</v>
      </c>
      <c r="B152" s="50">
        <f>VLOOKUP($A152,'Data shares'!$C:$FM,102)</f>
        <v>30.72</v>
      </c>
      <c r="C152" s="50">
        <f>VLOOKUP($A152,'Data shares'!$C:$FM,110)</f>
        <v>30.77</v>
      </c>
      <c r="D152" s="50">
        <f>VLOOKUP($A152,'Data shares'!$C:$FM,114)</f>
        <v>30.62</v>
      </c>
      <c r="E152" s="50">
        <f>VLOOKUP($A152,'Data shares'!$C:$FM,106)</f>
        <v>38.340000000000003</v>
      </c>
      <c r="F152" s="50">
        <f>VLOOKUP($A152,'Data shares'!$C:$FM,108)</f>
        <v>-7.62</v>
      </c>
      <c r="G152" s="50">
        <f t="shared" si="4"/>
        <v>0.80125195618153355</v>
      </c>
    </row>
    <row r="153" spans="1:7" x14ac:dyDescent="0.25">
      <c r="A153" s="49" t="str">
        <f>'Data Vlaue (Cr)'!C148</f>
        <v>NTPC</v>
      </c>
      <c r="B153" s="50">
        <f>VLOOKUP($A153,'Data shares'!$C:$FM,102)</f>
        <v>19.02</v>
      </c>
      <c r="C153" s="50">
        <f>VLOOKUP($A153,'Data shares'!$C:$FM,110)</f>
        <v>19.05</v>
      </c>
      <c r="D153" s="50">
        <f>VLOOKUP($A153,'Data shares'!$C:$FM,114)</f>
        <v>18.97</v>
      </c>
      <c r="E153" s="50">
        <f>VLOOKUP($A153,'Data shares'!$C:$FM,106)</f>
        <v>26.68</v>
      </c>
      <c r="F153" s="50">
        <f>VLOOKUP($A153,'Data shares'!$C:$FM,108)</f>
        <v>-7.66</v>
      </c>
      <c r="G153" s="50">
        <f t="shared" si="4"/>
        <v>0.71289355322338832</v>
      </c>
    </row>
    <row r="154" spans="1:7" x14ac:dyDescent="0.25">
      <c r="A154" s="49" t="str">
        <f>'Data Vlaue (Cr)'!C149</f>
        <v>NUVAMA</v>
      </c>
      <c r="B154" s="50">
        <f>VLOOKUP($A154,'Data shares'!$C:$FM,102)</f>
        <v>34.92</v>
      </c>
      <c r="C154" s="50">
        <f>VLOOKUP($A154,'Data shares'!$C:$FM,110)</f>
        <v>34.31</v>
      </c>
      <c r="D154" s="50">
        <f>VLOOKUP($A154,'Data shares'!$C:$FM,114)</f>
        <v>36.21</v>
      </c>
      <c r="E154" s="50">
        <f>VLOOKUP($A154,'Data shares'!$C:$FM,106)</f>
        <v>50.79</v>
      </c>
      <c r="F154" s="50">
        <f>VLOOKUP($A154,'Data shares'!$C:$FM,108)</f>
        <v>-15.87</v>
      </c>
      <c r="G154" s="50">
        <f t="shared" si="4"/>
        <v>0.68753691671588901</v>
      </c>
    </row>
    <row r="155" spans="1:7" x14ac:dyDescent="0.25">
      <c r="A155" s="49" t="str">
        <f>'Data Vlaue (Cr)'!C150</f>
        <v>NYKAA</v>
      </c>
      <c r="B155" s="50">
        <f>VLOOKUP($A155,'Data shares'!$C:$FM,102)</f>
        <v>34.090000000000003</v>
      </c>
      <c r="C155" s="50">
        <f>VLOOKUP($A155,'Data shares'!$C:$FM,110)</f>
        <v>34.5</v>
      </c>
      <c r="D155" s="50">
        <f>VLOOKUP($A155,'Data shares'!$C:$FM,114)</f>
        <v>32.67</v>
      </c>
      <c r="E155" s="50">
        <f>VLOOKUP($A155,'Data shares'!$C:$FM,106)</f>
        <v>35.200000000000003</v>
      </c>
      <c r="F155" s="50">
        <f>VLOOKUP($A155,'Data shares'!$C:$FM,108)</f>
        <v>-1.1100000000000001</v>
      </c>
      <c r="G155" s="50">
        <f t="shared" si="4"/>
        <v>0.96846590909090913</v>
      </c>
    </row>
    <row r="156" spans="1:7" x14ac:dyDescent="0.25">
      <c r="A156" s="49" t="str">
        <f>'Data Vlaue (Cr)'!C151</f>
        <v>OBEROIRLTY</v>
      </c>
      <c r="B156" s="50">
        <f>VLOOKUP($A156,'Data shares'!$C:$FM,102)</f>
        <v>28.83</v>
      </c>
      <c r="C156" s="50">
        <f>VLOOKUP($A156,'Data shares'!$C:$FM,110)</f>
        <v>29.41</v>
      </c>
      <c r="D156" s="50">
        <f>VLOOKUP($A156,'Data shares'!$C:$FM,114)</f>
        <v>28.09</v>
      </c>
      <c r="E156" s="50">
        <f>VLOOKUP($A156,'Data shares'!$C:$FM,106)</f>
        <v>36.020000000000003</v>
      </c>
      <c r="F156" s="50">
        <f>VLOOKUP($A156,'Data shares'!$C:$FM,108)</f>
        <v>-7.19</v>
      </c>
      <c r="G156" s="50">
        <f t="shared" si="4"/>
        <v>0.80038867295946681</v>
      </c>
    </row>
    <row r="157" spans="1:7" x14ac:dyDescent="0.25">
      <c r="A157" s="49" t="str">
        <f>'Data Vlaue (Cr)'!C152</f>
        <v>OFSS</v>
      </c>
      <c r="B157" s="50">
        <f>VLOOKUP($A157,'Data shares'!$C:$FM,102)</f>
        <v>33.33</v>
      </c>
      <c r="C157" s="50">
        <f>VLOOKUP($A157,'Data shares'!$C:$FM,110)</f>
        <v>33.369999999999997</v>
      </c>
      <c r="D157" s="50">
        <f>VLOOKUP($A157,'Data shares'!$C:$FM,114)</f>
        <v>33.200000000000003</v>
      </c>
      <c r="E157" s="50">
        <f>VLOOKUP($A157,'Data shares'!$C:$FM,106)</f>
        <v>40.82</v>
      </c>
      <c r="F157" s="50">
        <f>VLOOKUP($A157,'Data shares'!$C:$FM,108)</f>
        <v>-7.49</v>
      </c>
      <c r="G157" s="50">
        <f t="shared" si="4"/>
        <v>0.81651151396374322</v>
      </c>
    </row>
    <row r="158" spans="1:7" x14ac:dyDescent="0.25">
      <c r="A158" s="49" t="str">
        <f>'Data Vlaue (Cr)'!C153</f>
        <v>OIL</v>
      </c>
      <c r="B158" s="50">
        <f>VLOOKUP($A158,'Data shares'!$C:$FM,102)</f>
        <v>29.7</v>
      </c>
      <c r="C158" s="50">
        <f>VLOOKUP($A158,'Data shares'!$C:$FM,110)</f>
        <v>29.88</v>
      </c>
      <c r="D158" s="50">
        <f>VLOOKUP($A158,'Data shares'!$C:$FM,114)</f>
        <v>29.33</v>
      </c>
      <c r="E158" s="50">
        <f>VLOOKUP($A158,'Data shares'!$C:$FM,106)</f>
        <v>42.39</v>
      </c>
      <c r="F158" s="50">
        <f>VLOOKUP($A158,'Data shares'!$C:$FM,108)</f>
        <v>-12.69</v>
      </c>
      <c r="G158" s="50">
        <f t="shared" si="4"/>
        <v>0.70063694267515919</v>
      </c>
    </row>
    <row r="159" spans="1:7" x14ac:dyDescent="0.25">
      <c r="A159" s="49" t="str">
        <f>'Data Vlaue (Cr)'!C154</f>
        <v>ONGC</v>
      </c>
      <c r="B159" s="50">
        <f>VLOOKUP($A159,'Data shares'!$C:$FM,102)</f>
        <v>25.8</v>
      </c>
      <c r="C159" s="50">
        <f>VLOOKUP($A159,'Data shares'!$C:$FM,110)</f>
        <v>25.81</v>
      </c>
      <c r="D159" s="50">
        <f>VLOOKUP($A159,'Data shares'!$C:$FM,114)</f>
        <v>25.78</v>
      </c>
      <c r="E159" s="50">
        <f>VLOOKUP($A159,'Data shares'!$C:$FM,106)</f>
        <v>32.06</v>
      </c>
      <c r="F159" s="50">
        <f>VLOOKUP($A159,'Data shares'!$C:$FM,108)</f>
        <v>-6.26</v>
      </c>
      <c r="G159" s="50">
        <f t="shared" si="4"/>
        <v>0.80474111041796625</v>
      </c>
    </row>
    <row r="160" spans="1:7" x14ac:dyDescent="0.25">
      <c r="A160" s="49" t="str">
        <f>'Data Vlaue (Cr)'!C155</f>
        <v>PAGEIND</v>
      </c>
      <c r="B160" s="50">
        <f>VLOOKUP($A160,'Data shares'!$C:$FM,102)</f>
        <v>28.17</v>
      </c>
      <c r="C160" s="50">
        <f>VLOOKUP($A160,'Data shares'!$C:$FM,110)</f>
        <v>28.03</v>
      </c>
      <c r="D160" s="50">
        <f>VLOOKUP($A160,'Data shares'!$C:$FM,114)</f>
        <v>28.42</v>
      </c>
      <c r="E160" s="50">
        <f>VLOOKUP($A160,'Data shares'!$C:$FM,106)</f>
        <v>29.16</v>
      </c>
      <c r="F160" s="50">
        <f>VLOOKUP($A160,'Data shares'!$C:$FM,108)</f>
        <v>-0.99</v>
      </c>
      <c r="G160" s="50">
        <f t="shared" si="4"/>
        <v>0.96604938271604945</v>
      </c>
    </row>
    <row r="161" spans="1:7" x14ac:dyDescent="0.25">
      <c r="A161" s="49" t="str">
        <f>'Data Vlaue (Cr)'!C156</f>
        <v>PATANJALI</v>
      </c>
      <c r="B161" s="50">
        <f>VLOOKUP($A161,'Data shares'!$C:$FM,102)</f>
        <v>29.08</v>
      </c>
      <c r="C161" s="50">
        <f>VLOOKUP($A161,'Data shares'!$C:$FM,110)</f>
        <v>29.44</v>
      </c>
      <c r="D161" s="50">
        <f>VLOOKUP($A161,'Data shares'!$C:$FM,114)</f>
        <v>28.14</v>
      </c>
      <c r="E161" s="50">
        <f>VLOOKUP($A161,'Data shares'!$C:$FM,106)</f>
        <v>31.53</v>
      </c>
      <c r="F161" s="50">
        <f>VLOOKUP($A161,'Data shares'!$C:$FM,108)</f>
        <v>-2.4500000000000002</v>
      </c>
      <c r="G161" s="50">
        <f t="shared" si="4"/>
        <v>0.92229622581668247</v>
      </c>
    </row>
    <row r="162" spans="1:7" x14ac:dyDescent="0.25">
      <c r="A162" s="49" t="str">
        <f>'Data Vlaue (Cr)'!C157</f>
        <v>PAYTM</v>
      </c>
      <c r="B162" s="50">
        <f>VLOOKUP($A162,'Data shares'!$C:$FM,102)</f>
        <v>32.65</v>
      </c>
      <c r="C162" s="50">
        <f>VLOOKUP($A162,'Data shares'!$C:$FM,110)</f>
        <v>32.26</v>
      </c>
      <c r="D162" s="50">
        <f>VLOOKUP($A162,'Data shares'!$C:$FM,114)</f>
        <v>33.43</v>
      </c>
      <c r="E162" s="50">
        <f>VLOOKUP($A162,'Data shares'!$C:$FM,106)</f>
        <v>51.91</v>
      </c>
      <c r="F162" s="50">
        <f>VLOOKUP($A162,'Data shares'!$C:$FM,108)</f>
        <v>-19.260000000000002</v>
      </c>
      <c r="G162" s="50">
        <f t="shared" si="4"/>
        <v>0.62897322288576385</v>
      </c>
    </row>
    <row r="163" spans="1:7" x14ac:dyDescent="0.25">
      <c r="A163" s="49" t="str">
        <f>'Data Vlaue (Cr)'!C158</f>
        <v>PERSISTENT</v>
      </c>
      <c r="B163" s="50">
        <f>VLOOKUP($A163,'Data shares'!$C:$FM,102)</f>
        <v>34.049999999999997</v>
      </c>
      <c r="C163" s="50">
        <f>VLOOKUP($A163,'Data shares'!$C:$FM,110)</f>
        <v>33.83</v>
      </c>
      <c r="D163" s="50">
        <f>VLOOKUP($A163,'Data shares'!$C:$FM,114)</f>
        <v>34.5</v>
      </c>
      <c r="E163" s="50">
        <f>VLOOKUP($A163,'Data shares'!$C:$FM,106)</f>
        <v>41.59</v>
      </c>
      <c r="F163" s="50">
        <f>VLOOKUP($A163,'Data shares'!$C:$FM,108)</f>
        <v>-7.54</v>
      </c>
      <c r="G163" s="50">
        <f t="shared" si="4"/>
        <v>0.81870641981245473</v>
      </c>
    </row>
    <row r="164" spans="1:7" x14ac:dyDescent="0.25">
      <c r="A164" s="49" t="str">
        <f>'Data Vlaue (Cr)'!C159</f>
        <v>PETRONET</v>
      </c>
      <c r="B164" s="50">
        <f>VLOOKUP($A164,'Data shares'!$C:$FM,102)</f>
        <v>24.52</v>
      </c>
      <c r="C164" s="50">
        <f>VLOOKUP($A164,'Data shares'!$C:$FM,110)</f>
        <v>24.9</v>
      </c>
      <c r="D164" s="50">
        <f>VLOOKUP($A164,'Data shares'!$C:$FM,114)</f>
        <v>24.02</v>
      </c>
      <c r="E164" s="50">
        <f>VLOOKUP($A164,'Data shares'!$C:$FM,106)</f>
        <v>37.96</v>
      </c>
      <c r="F164" s="50">
        <f>VLOOKUP($A164,'Data shares'!$C:$FM,108)</f>
        <v>-13.44</v>
      </c>
      <c r="G164" s="50">
        <f t="shared" si="4"/>
        <v>0.64594309799789251</v>
      </c>
    </row>
    <row r="165" spans="1:7" x14ac:dyDescent="0.25">
      <c r="A165" s="49" t="str">
        <f>'Data Vlaue (Cr)'!C160</f>
        <v>PFC</v>
      </c>
      <c r="B165" s="50">
        <f>VLOOKUP($A165,'Data shares'!$C:$FM,102)</f>
        <v>27.36</v>
      </c>
      <c r="C165" s="50">
        <f>VLOOKUP($A165,'Data shares'!$C:$FM,110)</f>
        <v>27.82</v>
      </c>
      <c r="D165" s="50">
        <f>VLOOKUP($A165,'Data shares'!$C:$FM,114)</f>
        <v>26.59</v>
      </c>
      <c r="E165" s="50">
        <f>VLOOKUP($A165,'Data shares'!$C:$FM,106)</f>
        <v>41.08</v>
      </c>
      <c r="F165" s="50">
        <f>VLOOKUP($A165,'Data shares'!$C:$FM,108)</f>
        <v>-13.72</v>
      </c>
      <c r="G165" s="50">
        <f t="shared" si="4"/>
        <v>0.66601752677702042</v>
      </c>
    </row>
    <row r="166" spans="1:7" x14ac:dyDescent="0.25">
      <c r="A166" s="49" t="str">
        <f>'Data Vlaue (Cr)'!C161</f>
        <v>PGEL</v>
      </c>
      <c r="B166" s="50">
        <f>VLOOKUP($A166,'Data shares'!$C:$FM,102)</f>
        <v>48.9</v>
      </c>
      <c r="C166" s="50">
        <f>VLOOKUP($A166,'Data shares'!$C:$FM,110)</f>
        <v>49.39</v>
      </c>
      <c r="D166" s="50">
        <f>VLOOKUP($A166,'Data shares'!$C:$FM,114)</f>
        <v>48.17</v>
      </c>
      <c r="E166" s="50">
        <f>VLOOKUP($A166,'Data shares'!$C:$FM,106)</f>
        <v>65.510000000000005</v>
      </c>
      <c r="F166" s="50">
        <f>VLOOKUP($A166,'Data shares'!$C:$FM,108)</f>
        <v>-16.61</v>
      </c>
      <c r="G166" s="50">
        <f t="shared" si="4"/>
        <v>0.74645092352312614</v>
      </c>
    </row>
    <row r="167" spans="1:7" x14ac:dyDescent="0.25">
      <c r="A167" s="49" t="str">
        <f>'Data Vlaue (Cr)'!C162</f>
        <v>PHOENIXLTD</v>
      </c>
      <c r="B167" s="50">
        <f>VLOOKUP($A167,'Data shares'!$C:$FM,102)</f>
        <v>28.04</v>
      </c>
      <c r="C167" s="50">
        <f>VLOOKUP($A167,'Data shares'!$C:$FM,110)</f>
        <v>28.12</v>
      </c>
      <c r="D167" s="50">
        <f>VLOOKUP($A167,'Data shares'!$C:$FM,114)</f>
        <v>27.85</v>
      </c>
      <c r="E167" s="50">
        <f>VLOOKUP($A167,'Data shares'!$C:$FM,106)</f>
        <v>39.01</v>
      </c>
      <c r="F167" s="50">
        <f>VLOOKUP($A167,'Data shares'!$C:$FM,108)</f>
        <v>-10.97</v>
      </c>
      <c r="G167" s="50">
        <f t="shared" ref="G167:G187" si="5">B167/E167</f>
        <v>0.71879005383235073</v>
      </c>
    </row>
    <row r="168" spans="1:7" x14ac:dyDescent="0.25">
      <c r="A168" s="49" t="str">
        <f>'Data Vlaue (Cr)'!C163</f>
        <v>PIDILITIND</v>
      </c>
      <c r="B168" s="50">
        <f>VLOOKUP($A168,'Data shares'!$C:$FM,102)</f>
        <v>23.46</v>
      </c>
      <c r="C168" s="50">
        <f>VLOOKUP($A168,'Data shares'!$C:$FM,110)</f>
        <v>23.45</v>
      </c>
      <c r="D168" s="50">
        <f>VLOOKUP($A168,'Data shares'!$C:$FM,114)</f>
        <v>23.49</v>
      </c>
      <c r="E168" s="50">
        <f>VLOOKUP($A168,'Data shares'!$C:$FM,106)</f>
        <v>26.22</v>
      </c>
      <c r="F168" s="50">
        <f>VLOOKUP($A168,'Data shares'!$C:$FM,108)</f>
        <v>-2.76</v>
      </c>
      <c r="G168" s="50">
        <f t="shared" si="5"/>
        <v>0.89473684210526327</v>
      </c>
    </row>
    <row r="169" spans="1:7" x14ac:dyDescent="0.25">
      <c r="A169" s="49" t="str">
        <f>'Data Vlaue (Cr)'!C164</f>
        <v>PIIND</v>
      </c>
      <c r="B169" s="50">
        <f>VLOOKUP($A169,'Data shares'!$C:$FM,102)</f>
        <v>30.54</v>
      </c>
      <c r="C169" s="50">
        <f>VLOOKUP($A169,'Data shares'!$C:$FM,110)</f>
        <v>31.17</v>
      </c>
      <c r="D169" s="50">
        <f>VLOOKUP($A169,'Data shares'!$C:$FM,114)</f>
        <v>29.2</v>
      </c>
      <c r="E169" s="50">
        <f>VLOOKUP($A169,'Data shares'!$C:$FM,106)</f>
        <v>33.78</v>
      </c>
      <c r="F169" s="50">
        <f>VLOOKUP($A169,'Data shares'!$C:$FM,108)</f>
        <v>-3.24</v>
      </c>
      <c r="G169" s="50">
        <f t="shared" si="5"/>
        <v>0.90408525754884539</v>
      </c>
    </row>
    <row r="170" spans="1:7" x14ac:dyDescent="0.25">
      <c r="A170" s="49" t="str">
        <f>'Data Vlaue (Cr)'!C165</f>
        <v>PNB</v>
      </c>
      <c r="B170" s="50">
        <f>VLOOKUP($A170,'Data shares'!$C:$FM,102)</f>
        <v>27.09</v>
      </c>
      <c r="C170" s="50">
        <f>VLOOKUP($A170,'Data shares'!$C:$FM,110)</f>
        <v>27.28</v>
      </c>
      <c r="D170" s="50">
        <f>VLOOKUP($A170,'Data shares'!$C:$FM,114)</f>
        <v>26.83</v>
      </c>
      <c r="E170" s="50">
        <f>VLOOKUP($A170,'Data shares'!$C:$FM,106)</f>
        <v>37.18</v>
      </c>
      <c r="F170" s="50">
        <f>VLOOKUP($A170,'Data shares'!$C:$FM,108)</f>
        <v>-10.09</v>
      </c>
      <c r="G170" s="50">
        <f t="shared" si="5"/>
        <v>0.72861753630984405</v>
      </c>
    </row>
    <row r="171" spans="1:7" x14ac:dyDescent="0.25">
      <c r="A171" s="49" t="str">
        <f>'Data Vlaue (Cr)'!C166</f>
        <v>PNBHOUSING</v>
      </c>
      <c r="B171" s="50">
        <f>VLOOKUP($A171,'Data shares'!$C:$FM,102)</f>
        <v>29.94</v>
      </c>
      <c r="C171" s="50">
        <f>VLOOKUP($A171,'Data shares'!$C:$FM,110)</f>
        <v>29.61</v>
      </c>
      <c r="D171" s="50">
        <f>VLOOKUP($A171,'Data shares'!$C:$FM,114)</f>
        <v>30.56</v>
      </c>
      <c r="E171" s="50">
        <f>VLOOKUP($A171,'Data shares'!$C:$FM,106)</f>
        <v>46.35</v>
      </c>
      <c r="F171" s="50">
        <f>VLOOKUP($A171,'Data shares'!$C:$FM,108)</f>
        <v>-16.41</v>
      </c>
      <c r="G171" s="50">
        <f t="shared" si="5"/>
        <v>0.64595469255663429</v>
      </c>
    </row>
    <row r="172" spans="1:7" x14ac:dyDescent="0.25">
      <c r="A172" s="49" t="str">
        <f>'Data Vlaue (Cr)'!C167</f>
        <v>POLICYBZR</v>
      </c>
      <c r="B172" s="50">
        <f>VLOOKUP($A172,'Data shares'!$C:$FM,102)</f>
        <v>34.71</v>
      </c>
      <c r="C172" s="50">
        <f>VLOOKUP($A172,'Data shares'!$C:$FM,110)</f>
        <v>34.26</v>
      </c>
      <c r="D172" s="50">
        <f>VLOOKUP($A172,'Data shares'!$C:$FM,114)</f>
        <v>35.36</v>
      </c>
      <c r="E172" s="50">
        <f>VLOOKUP($A172,'Data shares'!$C:$FM,106)</f>
        <v>44.44</v>
      </c>
      <c r="F172" s="50">
        <f>VLOOKUP($A172,'Data shares'!$C:$FM,108)</f>
        <v>-9.73</v>
      </c>
      <c r="G172" s="50">
        <f t="shared" si="5"/>
        <v>0.78105310531053107</v>
      </c>
    </row>
    <row r="173" spans="1:7" x14ac:dyDescent="0.25">
      <c r="A173" s="49" t="str">
        <f>'Data Vlaue (Cr)'!C168</f>
        <v>POLYCAB</v>
      </c>
      <c r="B173" s="50">
        <f>VLOOKUP($A173,'Data shares'!$C:$FM,102)</f>
        <v>25.07</v>
      </c>
      <c r="C173" s="50">
        <f>VLOOKUP($A173,'Data shares'!$C:$FM,110)</f>
        <v>24.15</v>
      </c>
      <c r="D173" s="50">
        <f>VLOOKUP($A173,'Data shares'!$C:$FM,114)</f>
        <v>26.35</v>
      </c>
      <c r="E173" s="50">
        <f>VLOOKUP($A173,'Data shares'!$C:$FM,106)</f>
        <v>41.19</v>
      </c>
      <c r="F173" s="50">
        <f>VLOOKUP($A173,'Data shares'!$C:$FM,108)</f>
        <v>-16.12</v>
      </c>
      <c r="G173" s="50">
        <f t="shared" si="5"/>
        <v>0.60864287448409815</v>
      </c>
    </row>
    <row r="174" spans="1:7" x14ac:dyDescent="0.25">
      <c r="A174" s="49" t="str">
        <f>'Data Vlaue (Cr)'!C169</f>
        <v>POWERGRID</v>
      </c>
      <c r="B174" s="50">
        <f>VLOOKUP($A174,'Data shares'!$C:$FM,102)</f>
        <v>20.61</v>
      </c>
      <c r="C174" s="50">
        <f>VLOOKUP($A174,'Data shares'!$C:$FM,110)</f>
        <v>20.91</v>
      </c>
      <c r="D174" s="50">
        <f>VLOOKUP($A174,'Data shares'!$C:$FM,114)</f>
        <v>20.2</v>
      </c>
      <c r="E174" s="50">
        <f>VLOOKUP($A174,'Data shares'!$C:$FM,106)</f>
        <v>28.08</v>
      </c>
      <c r="F174" s="50">
        <f>VLOOKUP($A174,'Data shares'!$C:$FM,108)</f>
        <v>-7.47</v>
      </c>
      <c r="G174" s="50">
        <f t="shared" si="5"/>
        <v>0.73397435897435903</v>
      </c>
    </row>
    <row r="175" spans="1:7" x14ac:dyDescent="0.25">
      <c r="A175" s="49" t="str">
        <f>'Data Vlaue (Cr)'!C170</f>
        <v>POWERINDIA</v>
      </c>
      <c r="B175" s="50">
        <f>VLOOKUP($A175,'Data shares'!$C:$FM,102)</f>
        <v>38.67</v>
      </c>
      <c r="C175" s="50">
        <f>VLOOKUP($A175,'Data shares'!$C:$FM,110)</f>
        <v>38.44</v>
      </c>
      <c r="D175" s="50">
        <f>VLOOKUP($A175,'Data shares'!$C:$FM,114)</f>
        <v>39.090000000000003</v>
      </c>
      <c r="E175" s="50">
        <f>VLOOKUP($A175,'Data shares'!$C:$FM,106)</f>
        <v>56.24</v>
      </c>
      <c r="F175" s="50">
        <f>VLOOKUP($A175,'Data shares'!$C:$FM,108)</f>
        <v>-17.57</v>
      </c>
      <c r="G175" s="50">
        <f t="shared" si="5"/>
        <v>0.68758890469416789</v>
      </c>
    </row>
    <row r="176" spans="1:7" x14ac:dyDescent="0.25">
      <c r="A176" s="49" t="str">
        <f>'Data Vlaue (Cr)'!C171</f>
        <v>PREMIERENE</v>
      </c>
      <c r="B176" s="50">
        <f>VLOOKUP($A176,'Data shares'!$C:$FM,102)</f>
        <v>31.91</v>
      </c>
      <c r="C176" s="50">
        <f>VLOOKUP($A176,'Data shares'!$C:$FM,110)</f>
        <v>31.86</v>
      </c>
      <c r="D176" s="50">
        <f>VLOOKUP($A176,'Data shares'!$C:$FM,114)</f>
        <v>32.14</v>
      </c>
      <c r="E176" s="50">
        <f>VLOOKUP($A176,'Data shares'!$C:$FM,106)</f>
        <v>46.96</v>
      </c>
      <c r="F176" s="50">
        <f>VLOOKUP($A176,'Data shares'!$C:$FM,108)</f>
        <v>-15.05</v>
      </c>
      <c r="G176" s="50">
        <f t="shared" si="5"/>
        <v>0.67951448040885865</v>
      </c>
    </row>
    <row r="177" spans="1:7" x14ac:dyDescent="0.25">
      <c r="A177" s="49" t="str">
        <f>'Data Vlaue (Cr)'!C172</f>
        <v>PRESTIGE</v>
      </c>
      <c r="B177" s="50">
        <f>VLOOKUP($A177,'Data shares'!$C:$FM,102)</f>
        <v>33.979999999999997</v>
      </c>
      <c r="C177" s="50">
        <f>VLOOKUP($A177,'Data shares'!$C:$FM,110)</f>
        <v>33.42</v>
      </c>
      <c r="D177" s="50">
        <f>VLOOKUP($A177,'Data shares'!$C:$FM,114)</f>
        <v>35.020000000000003</v>
      </c>
      <c r="E177" s="50">
        <f>VLOOKUP($A177,'Data shares'!$C:$FM,106)</f>
        <v>43.87</v>
      </c>
      <c r="F177" s="50">
        <f>VLOOKUP($A177,'Data shares'!$C:$FM,108)</f>
        <v>-9.89</v>
      </c>
      <c r="G177" s="50">
        <f t="shared" si="5"/>
        <v>0.77456120355596081</v>
      </c>
    </row>
    <row r="178" spans="1:7" x14ac:dyDescent="0.25">
      <c r="A178" s="49" t="str">
        <f>'Data Vlaue (Cr)'!C173</f>
        <v>RBLBANK</v>
      </c>
      <c r="B178" s="50">
        <f>VLOOKUP($A178,'Data shares'!$C:$FM,102)</f>
        <v>31.39</v>
      </c>
      <c r="C178" s="50">
        <f>VLOOKUP($A178,'Data shares'!$C:$FM,110)</f>
        <v>30.66</v>
      </c>
      <c r="D178" s="50">
        <f>VLOOKUP($A178,'Data shares'!$C:$FM,114)</f>
        <v>32.75</v>
      </c>
      <c r="E178" s="50">
        <f>VLOOKUP($A178,'Data shares'!$C:$FM,106)</f>
        <v>43.24</v>
      </c>
      <c r="F178" s="50">
        <f>VLOOKUP($A178,'Data shares'!$C:$FM,108)</f>
        <v>-11.85</v>
      </c>
      <c r="G178" s="50">
        <f t="shared" si="5"/>
        <v>0.72594819611470862</v>
      </c>
    </row>
    <row r="179" spans="1:7" x14ac:dyDescent="0.25">
      <c r="A179" s="49" t="str">
        <f>'Data Vlaue (Cr)'!C174</f>
        <v>RECLTD</v>
      </c>
      <c r="B179" s="50">
        <f>VLOOKUP($A179,'Data shares'!$C:$FM,102)</f>
        <v>26.24</v>
      </c>
      <c r="C179" s="50">
        <f>VLOOKUP($A179,'Data shares'!$C:$FM,110)</f>
        <v>26.47</v>
      </c>
      <c r="D179" s="50">
        <f>VLOOKUP($A179,'Data shares'!$C:$FM,114)</f>
        <v>25.85</v>
      </c>
      <c r="E179" s="50">
        <f>VLOOKUP($A179,'Data shares'!$C:$FM,106)</f>
        <v>41.37</v>
      </c>
      <c r="F179" s="50">
        <f>VLOOKUP($A179,'Data shares'!$C:$FM,108)</f>
        <v>-15.13</v>
      </c>
      <c r="G179" s="50">
        <f t="shared" si="5"/>
        <v>0.63427604544355809</v>
      </c>
    </row>
    <row r="180" spans="1:7" x14ac:dyDescent="0.25">
      <c r="A180" s="49" t="str">
        <f>'Data Vlaue (Cr)'!C175</f>
        <v>RELIANCE</v>
      </c>
      <c r="B180" s="50">
        <f>VLOOKUP($A180,'Data shares'!$C:$FM,102)</f>
        <v>21.45</v>
      </c>
      <c r="C180" s="50">
        <f>VLOOKUP($A180,'Data shares'!$C:$FM,110)</f>
        <v>21.37</v>
      </c>
      <c r="D180" s="50">
        <f>VLOOKUP($A180,'Data shares'!$C:$FM,114)</f>
        <v>21.58</v>
      </c>
      <c r="E180" s="50">
        <f>VLOOKUP($A180,'Data shares'!$C:$FM,106)</f>
        <v>26.75</v>
      </c>
      <c r="F180" s="50">
        <f>VLOOKUP($A180,'Data shares'!$C:$FM,108)</f>
        <v>-5.3</v>
      </c>
      <c r="G180" s="50">
        <f t="shared" si="5"/>
        <v>0.80186915887850463</v>
      </c>
    </row>
    <row r="181" spans="1:7" x14ac:dyDescent="0.25">
      <c r="A181" s="49" t="str">
        <f>'Data Vlaue (Cr)'!C176</f>
        <v>RVNL</v>
      </c>
      <c r="B181" s="50">
        <f>VLOOKUP($A181,'Data shares'!$C:$FM,102)</f>
        <v>38.99</v>
      </c>
      <c r="C181" s="50">
        <f>VLOOKUP($A181,'Data shares'!$C:$FM,110)</f>
        <v>39.56</v>
      </c>
      <c r="D181" s="50">
        <f>VLOOKUP($A181,'Data shares'!$C:$FM,114)</f>
        <v>37.89</v>
      </c>
      <c r="E181" s="50">
        <f>VLOOKUP($A181,'Data shares'!$C:$FM,106)</f>
        <v>56.14</v>
      </c>
      <c r="F181" s="50">
        <f>VLOOKUP($A181,'Data shares'!$C:$FM,108)</f>
        <v>-17.149999999999999</v>
      </c>
      <c r="G181" s="50">
        <f t="shared" si="5"/>
        <v>0.69451371571072318</v>
      </c>
    </row>
    <row r="182" spans="1:7" x14ac:dyDescent="0.25">
      <c r="A182" s="49" t="str">
        <f>'Data Vlaue (Cr)'!C177</f>
        <v>SAIL</v>
      </c>
      <c r="B182" s="50">
        <f>VLOOKUP($A182,'Data shares'!$C:$FM,102)</f>
        <v>44.43</v>
      </c>
      <c r="C182" s="50">
        <f>VLOOKUP($A182,'Data shares'!$C:$FM,110)</f>
        <v>43.67</v>
      </c>
      <c r="D182" s="50">
        <f>VLOOKUP($A182,'Data shares'!$C:$FM,114)</f>
        <v>46.45</v>
      </c>
      <c r="E182" s="50">
        <f>VLOOKUP($A182,'Data shares'!$C:$FM,106)</f>
        <v>46.6</v>
      </c>
      <c r="F182" s="50">
        <f>VLOOKUP($A182,'Data shares'!$C:$FM,108)</f>
        <v>-2.17</v>
      </c>
      <c r="G182" s="50">
        <f t="shared" si="5"/>
        <v>0.95343347639484977</v>
      </c>
    </row>
    <row r="183" spans="1:7" x14ac:dyDescent="0.25">
      <c r="A183" s="49" t="str">
        <f>'Data Vlaue (Cr)'!C178</f>
        <v>SAMMAANCAP</v>
      </c>
      <c r="B183" s="50">
        <f>VLOOKUP($A183,'Data shares'!$C:$FM,102)</f>
        <v>33.299999999999997</v>
      </c>
      <c r="C183" s="50">
        <f>VLOOKUP($A183,'Data shares'!$C:$FM,110)</f>
        <v>34.19</v>
      </c>
      <c r="D183" s="50">
        <f>VLOOKUP($A183,'Data shares'!$C:$FM,114)</f>
        <v>32.159999999999997</v>
      </c>
      <c r="E183" s="50">
        <f>VLOOKUP($A183,'Data shares'!$C:$FM,106)</f>
        <v>53.47</v>
      </c>
      <c r="F183" s="50">
        <f>VLOOKUP($A183,'Data shares'!$C:$FM,108)</f>
        <v>-20.170000000000002</v>
      </c>
      <c r="G183" s="50">
        <f t="shared" si="5"/>
        <v>0.62277912848326156</v>
      </c>
    </row>
    <row r="184" spans="1:7" x14ac:dyDescent="0.25">
      <c r="A184" s="49" t="str">
        <f>'Data Vlaue (Cr)'!C179</f>
        <v>SBICARD</v>
      </c>
      <c r="B184" s="50">
        <f>VLOOKUP($A184,'Data shares'!$C:$FM,102)</f>
        <v>28.74</v>
      </c>
      <c r="C184" s="50">
        <f>VLOOKUP($A184,'Data shares'!$C:$FM,110)</f>
        <v>28.96</v>
      </c>
      <c r="D184" s="50">
        <f>VLOOKUP($A184,'Data shares'!$C:$FM,114)</f>
        <v>28.13</v>
      </c>
      <c r="E184" s="50">
        <f>VLOOKUP($A184,'Data shares'!$C:$FM,106)</f>
        <v>31.26</v>
      </c>
      <c r="F184" s="50">
        <f>VLOOKUP($A184,'Data shares'!$C:$FM,108)</f>
        <v>-2.52</v>
      </c>
      <c r="G184" s="50">
        <f t="shared" si="5"/>
        <v>0.91938579654510544</v>
      </c>
    </row>
    <row r="185" spans="1:7" x14ac:dyDescent="0.25">
      <c r="A185" s="49" t="str">
        <f>'Data Vlaue (Cr)'!C180</f>
        <v>SBILIFE</v>
      </c>
      <c r="B185" s="50">
        <f>VLOOKUP($A185,'Data shares'!$C:$FM,102)</f>
        <v>21.16</v>
      </c>
      <c r="C185" s="50">
        <f>VLOOKUP($A185,'Data shares'!$C:$FM,110)</f>
        <v>21.02</v>
      </c>
      <c r="D185" s="50">
        <f>VLOOKUP($A185,'Data shares'!$C:$FM,114)</f>
        <v>21.67</v>
      </c>
      <c r="E185" s="50">
        <f>VLOOKUP($A185,'Data shares'!$C:$FM,106)</f>
        <v>26.4</v>
      </c>
      <c r="F185" s="50">
        <f>VLOOKUP($A185,'Data shares'!$C:$FM,108)</f>
        <v>-5.24</v>
      </c>
      <c r="G185" s="50">
        <f t="shared" si="5"/>
        <v>0.80151515151515151</v>
      </c>
    </row>
    <row r="186" spans="1:7" x14ac:dyDescent="0.25">
      <c r="A186" s="49" t="str">
        <f>'Data Vlaue (Cr)'!C181</f>
        <v>SBIN</v>
      </c>
      <c r="B186" s="50">
        <f>VLOOKUP($A186,'Data shares'!$C:$FM,102)</f>
        <v>21.71</v>
      </c>
      <c r="C186" s="50">
        <f>VLOOKUP($A186,'Data shares'!$C:$FM,110)</f>
        <v>21.72</v>
      </c>
      <c r="D186" s="50">
        <f>VLOOKUP($A186,'Data shares'!$C:$FM,114)</f>
        <v>21.7</v>
      </c>
      <c r="E186" s="50">
        <f>VLOOKUP($A186,'Data shares'!$C:$FM,106)</f>
        <v>30.77</v>
      </c>
      <c r="F186" s="50">
        <f>VLOOKUP($A186,'Data shares'!$C:$FM,108)</f>
        <v>-9.06</v>
      </c>
      <c r="G186" s="50">
        <f t="shared" si="5"/>
        <v>0.70555736106597344</v>
      </c>
    </row>
    <row r="187" spans="1:7" x14ac:dyDescent="0.25">
      <c r="A187" s="49" t="str">
        <f>'Data Vlaue (Cr)'!C182</f>
        <v>SHREECEM</v>
      </c>
      <c r="B187" s="50">
        <f>VLOOKUP($A187,'Data shares'!$C:$FM,102)</f>
        <v>24.13</v>
      </c>
      <c r="C187" s="50">
        <f>VLOOKUP($A187,'Data shares'!$C:$FM,110)</f>
        <v>23.77</v>
      </c>
      <c r="D187" s="50">
        <f>VLOOKUP($A187,'Data shares'!$C:$FM,114)</f>
        <v>25.46</v>
      </c>
      <c r="E187" s="50">
        <f>VLOOKUP($A187,'Data shares'!$C:$FM,106)</f>
        <v>27.61</v>
      </c>
      <c r="F187" s="50">
        <f>VLOOKUP($A187,'Data shares'!$C:$FM,108)</f>
        <v>-3.48</v>
      </c>
      <c r="G187" s="50">
        <f t="shared" si="5"/>
        <v>0.87395871061209707</v>
      </c>
    </row>
    <row r="188" spans="1:7" x14ac:dyDescent="0.25">
      <c r="A188" s="49" t="str">
        <f>'Data Vlaue (Cr)'!C183</f>
        <v>SHRIRAMFIN</v>
      </c>
      <c r="B188" s="50">
        <f>VLOOKUP($A188,'Data shares'!$C:$FM,102)</f>
        <v>30.88</v>
      </c>
      <c r="C188" s="50">
        <f>VLOOKUP($A188,'Data shares'!$C:$FM,110)</f>
        <v>30.73</v>
      </c>
      <c r="D188" s="50">
        <f>VLOOKUP($A188,'Data shares'!$C:$FM,114)</f>
        <v>31.1</v>
      </c>
      <c r="E188" s="50">
        <f>VLOOKUP($A188,'Data shares'!$C:$FM,106)</f>
        <v>44.48</v>
      </c>
      <c r="F188" s="50">
        <f>VLOOKUP($A188,'Data shares'!$C:$FM,108)</f>
        <v>-13.6</v>
      </c>
      <c r="G188" s="50">
        <f t="shared" ref="G188:G204" si="6">B188/E188</f>
        <v>0.69424460431654678</v>
      </c>
    </row>
    <row r="189" spans="1:7" x14ac:dyDescent="0.25">
      <c r="A189" s="49" t="str">
        <f>'Data Vlaue (Cr)'!C184</f>
        <v>SIEMENS</v>
      </c>
      <c r="B189" s="50">
        <f>VLOOKUP($A189,'Data shares'!$C:$FM,102)</f>
        <v>41.19</v>
      </c>
      <c r="C189" s="50">
        <f>VLOOKUP($A189,'Data shares'!$C:$FM,110)</f>
        <v>40.89</v>
      </c>
      <c r="D189" s="50">
        <f>VLOOKUP($A189,'Data shares'!$C:$FM,114)</f>
        <v>41.67</v>
      </c>
      <c r="E189" s="50">
        <f>VLOOKUP($A189,'Data shares'!$C:$FM,106)</f>
        <v>41.74</v>
      </c>
      <c r="F189" s="50">
        <f>VLOOKUP($A189,'Data shares'!$C:$FM,108)</f>
        <v>-0.55000000000000004</v>
      </c>
      <c r="G189" s="50">
        <f t="shared" si="6"/>
        <v>0.98682319118351691</v>
      </c>
    </row>
    <row r="190" spans="1:7" x14ac:dyDescent="0.25">
      <c r="A190" s="49" t="str">
        <f>'Data Vlaue (Cr)'!C185</f>
        <v>SOLARINDS</v>
      </c>
      <c r="B190" s="50">
        <f>VLOOKUP($A190,'Data shares'!$C:$FM,102)</f>
        <v>33.81</v>
      </c>
      <c r="C190" s="50">
        <f>VLOOKUP($A190,'Data shares'!$C:$FM,110)</f>
        <v>33.119999999999997</v>
      </c>
      <c r="D190" s="50">
        <f>VLOOKUP($A190,'Data shares'!$C:$FM,114)</f>
        <v>35</v>
      </c>
      <c r="E190" s="50">
        <f>VLOOKUP($A190,'Data shares'!$C:$FM,106)</f>
        <v>41.64</v>
      </c>
      <c r="F190" s="50">
        <f>VLOOKUP($A190,'Data shares'!$C:$FM,108)</f>
        <v>-7.83</v>
      </c>
      <c r="G190" s="50">
        <f t="shared" si="6"/>
        <v>0.81195965417867444</v>
      </c>
    </row>
    <row r="191" spans="1:7" x14ac:dyDescent="0.25">
      <c r="A191" s="49" t="str">
        <f>'Data Vlaue (Cr)'!C186</f>
        <v>SONACOMS</v>
      </c>
      <c r="B191" s="50">
        <f>VLOOKUP($A191,'Data shares'!$C:$FM,102)</f>
        <v>31.67</v>
      </c>
      <c r="C191" s="50">
        <f>VLOOKUP($A191,'Data shares'!$C:$FM,110)</f>
        <v>31.1</v>
      </c>
      <c r="D191" s="50">
        <f>VLOOKUP($A191,'Data shares'!$C:$FM,114)</f>
        <v>32.909999999999997</v>
      </c>
      <c r="E191" s="50">
        <f>VLOOKUP($A191,'Data shares'!$C:$FM,106)</f>
        <v>41.08</v>
      </c>
      <c r="F191" s="50">
        <f>VLOOKUP($A191,'Data shares'!$C:$FM,108)</f>
        <v>-9.41</v>
      </c>
      <c r="G191" s="50">
        <f t="shared" si="6"/>
        <v>0.77093476144109063</v>
      </c>
    </row>
    <row r="192" spans="1:7" x14ac:dyDescent="0.25">
      <c r="A192" s="49" t="str">
        <f>'Data Vlaue (Cr)'!C187</f>
        <v>SRF</v>
      </c>
      <c r="B192" s="50">
        <f>VLOOKUP($A192,'Data shares'!$C:$FM,102)</f>
        <v>25.52</v>
      </c>
      <c r="C192" s="50">
        <f>VLOOKUP($A192,'Data shares'!$C:$FM,110)</f>
        <v>25.46</v>
      </c>
      <c r="D192" s="50">
        <f>VLOOKUP($A192,'Data shares'!$C:$FM,114)</f>
        <v>25.87</v>
      </c>
      <c r="E192" s="50">
        <f>VLOOKUP($A192,'Data shares'!$C:$FM,106)</f>
        <v>36.770000000000003</v>
      </c>
      <c r="F192" s="50">
        <f>VLOOKUP($A192,'Data shares'!$C:$FM,108)</f>
        <v>-11.25</v>
      </c>
      <c r="G192" s="50">
        <f t="shared" si="6"/>
        <v>0.69404405765569754</v>
      </c>
    </row>
    <row r="193" spans="1:7" x14ac:dyDescent="0.25">
      <c r="A193" s="49" t="str">
        <f>'Data Vlaue (Cr)'!C188</f>
        <v>SUNPHARMA</v>
      </c>
      <c r="B193" s="50">
        <f>VLOOKUP($A193,'Data shares'!$C:$FM,102)</f>
        <v>17.13</v>
      </c>
      <c r="C193" s="50">
        <f>VLOOKUP($A193,'Data shares'!$C:$FM,110)</f>
        <v>17.32</v>
      </c>
      <c r="D193" s="50">
        <f>VLOOKUP($A193,'Data shares'!$C:$FM,114)</f>
        <v>16.89</v>
      </c>
      <c r="E193" s="50">
        <f>VLOOKUP($A193,'Data shares'!$C:$FM,106)</f>
        <v>25.45</v>
      </c>
      <c r="F193" s="50">
        <f>VLOOKUP($A193,'Data shares'!$C:$FM,108)</f>
        <v>-8.32</v>
      </c>
      <c r="G193" s="50">
        <f t="shared" si="6"/>
        <v>0.67308447937131632</v>
      </c>
    </row>
    <row r="194" spans="1:7" x14ac:dyDescent="0.25">
      <c r="A194" s="49" t="str">
        <f>'Data Vlaue (Cr)'!C189</f>
        <v>SUPREMEIND</v>
      </c>
      <c r="B194" s="50">
        <f>VLOOKUP($A194,'Data shares'!$C:$FM,102)</f>
        <v>27.02</v>
      </c>
      <c r="C194" s="50">
        <f>VLOOKUP($A194,'Data shares'!$C:$FM,110)</f>
        <v>26.89</v>
      </c>
      <c r="D194" s="50">
        <f>VLOOKUP($A194,'Data shares'!$C:$FM,114)</f>
        <v>27.12</v>
      </c>
      <c r="E194" s="50">
        <f>VLOOKUP($A194,'Data shares'!$C:$FM,106)</f>
        <v>36.770000000000003</v>
      </c>
      <c r="F194" s="50">
        <f>VLOOKUP($A194,'Data shares'!$C:$FM,108)</f>
        <v>-9.75</v>
      </c>
      <c r="G194" s="50">
        <f t="shared" si="6"/>
        <v>0.73483818330160444</v>
      </c>
    </row>
    <row r="195" spans="1:7" x14ac:dyDescent="0.25">
      <c r="A195" s="49" t="str">
        <f>'Data Vlaue (Cr)'!C190</f>
        <v>SUZLON</v>
      </c>
      <c r="B195" s="50">
        <f>VLOOKUP($A195,'Data shares'!$C:$FM,102)</f>
        <v>36.97</v>
      </c>
      <c r="C195" s="50">
        <f>VLOOKUP($A195,'Data shares'!$C:$FM,110)</f>
        <v>37.08</v>
      </c>
      <c r="D195" s="50">
        <f>VLOOKUP($A195,'Data shares'!$C:$FM,114)</f>
        <v>36.770000000000003</v>
      </c>
      <c r="E195" s="50">
        <f>VLOOKUP($A195,'Data shares'!$C:$FM,106)</f>
        <v>46.27</v>
      </c>
      <c r="F195" s="50">
        <f>VLOOKUP($A195,'Data shares'!$C:$FM,108)</f>
        <v>-9.3000000000000007</v>
      </c>
      <c r="G195" s="50">
        <f t="shared" si="6"/>
        <v>0.79900583531445857</v>
      </c>
    </row>
    <row r="196" spans="1:7" x14ac:dyDescent="0.25">
      <c r="A196" s="49" t="str">
        <f>'Data Vlaue (Cr)'!C191</f>
        <v>SWIGGY</v>
      </c>
      <c r="B196" s="50">
        <f>VLOOKUP($A196,'Data shares'!$C:$FM,102)</f>
        <v>38.42</v>
      </c>
      <c r="C196" s="50">
        <f>VLOOKUP($A196,'Data shares'!$C:$FM,110)</f>
        <v>38.619999999999997</v>
      </c>
      <c r="D196" s="50">
        <f>VLOOKUP($A196,'Data shares'!$C:$FM,114)</f>
        <v>37.56</v>
      </c>
      <c r="E196" s="50">
        <f>VLOOKUP($A196,'Data shares'!$C:$FM,106)</f>
        <v>44.95</v>
      </c>
      <c r="F196" s="50">
        <f>VLOOKUP($A196,'Data shares'!$C:$FM,108)</f>
        <v>-6.53</v>
      </c>
      <c r="G196" s="50">
        <f t="shared" si="6"/>
        <v>0.85472747497219126</v>
      </c>
    </row>
    <row r="197" spans="1:7" x14ac:dyDescent="0.25">
      <c r="A197" s="49" t="str">
        <f>'Data Vlaue (Cr)'!C192</f>
        <v>TATACONSUM</v>
      </c>
      <c r="B197" s="50">
        <f>VLOOKUP($A197,'Data shares'!$C:$FM,102)</f>
        <v>22.45</v>
      </c>
      <c r="C197" s="50">
        <f>VLOOKUP($A197,'Data shares'!$C:$FM,110)</f>
        <v>22.83</v>
      </c>
      <c r="D197" s="50">
        <f>VLOOKUP($A197,'Data shares'!$C:$FM,114)</f>
        <v>21.64</v>
      </c>
      <c r="E197" s="50">
        <f>VLOOKUP($A197,'Data shares'!$C:$FM,106)</f>
        <v>28.8</v>
      </c>
      <c r="F197" s="50">
        <f>VLOOKUP($A197,'Data shares'!$C:$FM,108)</f>
        <v>-6.35</v>
      </c>
      <c r="G197" s="50">
        <f t="shared" si="6"/>
        <v>0.77951388888888884</v>
      </c>
    </row>
    <row r="198" spans="1:7" x14ac:dyDescent="0.25">
      <c r="A198" s="49" t="str">
        <f>'Data Vlaue (Cr)'!C193</f>
        <v>TATAELXSI</v>
      </c>
      <c r="B198" s="50">
        <f>VLOOKUP($A198,'Data shares'!$C:$FM,102)</f>
        <v>31.69</v>
      </c>
      <c r="C198" s="50">
        <f>VLOOKUP($A198,'Data shares'!$C:$FM,110)</f>
        <v>31.94</v>
      </c>
      <c r="D198" s="50">
        <f>VLOOKUP($A198,'Data shares'!$C:$FM,114)</f>
        <v>30.58</v>
      </c>
      <c r="E198" s="50">
        <f>VLOOKUP($A198,'Data shares'!$C:$FM,106)</f>
        <v>39.04</v>
      </c>
      <c r="F198" s="50">
        <f>VLOOKUP($A198,'Data shares'!$C:$FM,108)</f>
        <v>-7.35</v>
      </c>
      <c r="G198" s="50">
        <f t="shared" si="6"/>
        <v>0.81173155737704927</v>
      </c>
    </row>
    <row r="199" spans="1:7" x14ac:dyDescent="0.25">
      <c r="A199" s="49" t="str">
        <f>'Data Vlaue (Cr)'!C194</f>
        <v>TATAPOWER</v>
      </c>
      <c r="B199" s="50">
        <f>VLOOKUP($A199,'Data shares'!$C:$FM,102)</f>
        <v>24.76</v>
      </c>
      <c r="C199" s="50">
        <f>VLOOKUP($A199,'Data shares'!$C:$FM,110)</f>
        <v>24.88</v>
      </c>
      <c r="D199" s="50">
        <f>VLOOKUP($A199,'Data shares'!$C:$FM,114)</f>
        <v>24.37</v>
      </c>
      <c r="E199" s="50">
        <f>VLOOKUP($A199,'Data shares'!$C:$FM,106)</f>
        <v>31.65</v>
      </c>
      <c r="F199" s="50">
        <f>VLOOKUP($A199,'Data shares'!$C:$FM,108)</f>
        <v>-6.89</v>
      </c>
      <c r="G199" s="50">
        <f t="shared" si="6"/>
        <v>0.782306477093207</v>
      </c>
    </row>
    <row r="200" spans="1:7" x14ac:dyDescent="0.25">
      <c r="A200" s="49" t="str">
        <f>'Data Vlaue (Cr)'!C195</f>
        <v>TATASTEEL</v>
      </c>
      <c r="B200" s="50">
        <f>VLOOKUP($A200,'Data shares'!$C:$FM,102)</f>
        <v>25.17</v>
      </c>
      <c r="C200" s="50">
        <f>VLOOKUP($A200,'Data shares'!$C:$FM,110)</f>
        <v>25.44</v>
      </c>
      <c r="D200" s="50">
        <f>VLOOKUP($A200,'Data shares'!$C:$FM,114)</f>
        <v>24.74</v>
      </c>
      <c r="E200" s="50">
        <f>VLOOKUP($A200,'Data shares'!$C:$FM,106)</f>
        <v>35.090000000000003</v>
      </c>
      <c r="F200" s="50">
        <f>VLOOKUP($A200,'Data shares'!$C:$FM,108)</f>
        <v>-9.92</v>
      </c>
      <c r="G200" s="50">
        <f t="shared" si="6"/>
        <v>0.71729837560558563</v>
      </c>
    </row>
    <row r="201" spans="1:7" x14ac:dyDescent="0.25">
      <c r="A201" s="49" t="str">
        <f>'Data Vlaue (Cr)'!C196</f>
        <v>TCS</v>
      </c>
      <c r="B201" s="50">
        <f>VLOOKUP($A201,'Data shares'!$C:$FM,102)</f>
        <v>25.36</v>
      </c>
      <c r="C201" s="50">
        <f>VLOOKUP($A201,'Data shares'!$C:$FM,110)</f>
        <v>25.27</v>
      </c>
      <c r="D201" s="50">
        <f>VLOOKUP($A201,'Data shares'!$C:$FM,114)</f>
        <v>25.52</v>
      </c>
      <c r="E201" s="50">
        <f>VLOOKUP($A201,'Data shares'!$C:$FM,106)</f>
        <v>27.9</v>
      </c>
      <c r="F201" s="50">
        <f>VLOOKUP($A201,'Data shares'!$C:$FM,108)</f>
        <v>-2.54</v>
      </c>
      <c r="G201" s="50">
        <f t="shared" si="6"/>
        <v>0.90896057347670256</v>
      </c>
    </row>
    <row r="202" spans="1:7" x14ac:dyDescent="0.25">
      <c r="A202" s="49" t="str">
        <f>'Data Vlaue (Cr)'!C197</f>
        <v>TECHM</v>
      </c>
      <c r="B202" s="50">
        <f>VLOOKUP($A202,'Data shares'!$C:$FM,102)</f>
        <v>26.26</v>
      </c>
      <c r="C202" s="50">
        <f>VLOOKUP($A202,'Data shares'!$C:$FM,110)</f>
        <v>25.92</v>
      </c>
      <c r="D202" s="50">
        <f>VLOOKUP($A202,'Data shares'!$C:$FM,114)</f>
        <v>27.18</v>
      </c>
      <c r="E202" s="50">
        <f>VLOOKUP($A202,'Data shares'!$C:$FM,106)</f>
        <v>32.85</v>
      </c>
      <c r="F202" s="50">
        <f>VLOOKUP($A202,'Data shares'!$C:$FM,108)</f>
        <v>-6.59</v>
      </c>
      <c r="G202" s="50">
        <f t="shared" si="6"/>
        <v>0.79939117199391174</v>
      </c>
    </row>
    <row r="203" spans="1:7" x14ac:dyDescent="0.25">
      <c r="A203" s="49" t="str">
        <f>'Data Vlaue (Cr)'!C198</f>
        <v>TIINDIA</v>
      </c>
      <c r="B203" s="50">
        <f>VLOOKUP($A203,'Data shares'!$C:$FM,102)</f>
        <v>32.53</v>
      </c>
      <c r="C203" s="50">
        <f>VLOOKUP($A203,'Data shares'!$C:$FM,110)</f>
        <v>32.159999999999997</v>
      </c>
      <c r="D203" s="50">
        <f>VLOOKUP($A203,'Data shares'!$C:$FM,114)</f>
        <v>33.04</v>
      </c>
      <c r="E203" s="50">
        <f>VLOOKUP($A203,'Data shares'!$C:$FM,106)</f>
        <v>43.94</v>
      </c>
      <c r="F203" s="50">
        <f>VLOOKUP($A203,'Data shares'!$C:$FM,108)</f>
        <v>-11.41</v>
      </c>
      <c r="G203" s="50">
        <f t="shared" si="6"/>
        <v>0.74032771961766053</v>
      </c>
    </row>
    <row r="204" spans="1:7" x14ac:dyDescent="0.25">
      <c r="A204" s="49" t="str">
        <f>'Data Vlaue (Cr)'!C199</f>
        <v>TITAN</v>
      </c>
      <c r="B204" s="50">
        <f>VLOOKUP($A204,'Data shares'!$C:$FM,102)</f>
        <v>20.76</v>
      </c>
      <c r="C204" s="50">
        <f>VLOOKUP($A204,'Data shares'!$C:$FM,110)</f>
        <v>21.14</v>
      </c>
      <c r="D204" s="50">
        <f>VLOOKUP($A204,'Data shares'!$C:$FM,114)</f>
        <v>20.190000000000001</v>
      </c>
      <c r="E204" s="50">
        <f>VLOOKUP($A204,'Data shares'!$C:$FM,106)</f>
        <v>29.33</v>
      </c>
      <c r="F204" s="50">
        <f>VLOOKUP($A204,'Data shares'!$C:$FM,108)</f>
        <v>-8.57</v>
      </c>
      <c r="G204" s="50">
        <f t="shared" si="6"/>
        <v>0.70780770542107063</v>
      </c>
    </row>
    <row r="205" spans="1:7" x14ac:dyDescent="0.25">
      <c r="A205" s="49" t="str">
        <f>'Data Vlaue (Cr)'!C200</f>
        <v>TMPV</v>
      </c>
      <c r="B205" s="50">
        <f>VLOOKUP($A205,'Data shares'!$C:$FM,102)</f>
        <v>29.18</v>
      </c>
      <c r="C205" s="50">
        <f>VLOOKUP($A205,'Data shares'!$C:$FM,110)</f>
        <v>28.6</v>
      </c>
      <c r="D205" s="50">
        <f>VLOOKUP($A205,'Data shares'!$C:$FM,114)</f>
        <v>30.64</v>
      </c>
      <c r="E205" s="50">
        <f>VLOOKUP($A205,'Data shares'!$C:$FM,106)</f>
        <v>38.729999999999997</v>
      </c>
      <c r="F205" s="50">
        <f>VLOOKUP($A205,'Data shares'!$C:$FM,108)</f>
        <v>-9.5500000000000007</v>
      </c>
      <c r="G205" s="50">
        <f t="shared" ref="G205:G214" si="7">B205/E205</f>
        <v>0.75342112057836308</v>
      </c>
    </row>
    <row r="206" spans="1:7" x14ac:dyDescent="0.25">
      <c r="A206" s="49" t="str">
        <f>'Data Vlaue (Cr)'!C201</f>
        <v>TORNTPHARM</v>
      </c>
      <c r="B206" s="50">
        <f>VLOOKUP($A206,'Data shares'!$C:$FM,102)</f>
        <v>24.59</v>
      </c>
      <c r="C206" s="50">
        <f>VLOOKUP($A206,'Data shares'!$C:$FM,110)</f>
        <v>25.11</v>
      </c>
      <c r="D206" s="50">
        <f>VLOOKUP($A206,'Data shares'!$C:$FM,114)</f>
        <v>23.68</v>
      </c>
      <c r="E206" s="50">
        <f>VLOOKUP($A206,'Data shares'!$C:$FM,106)</f>
        <v>26.09</v>
      </c>
      <c r="F206" s="50">
        <f>VLOOKUP($A206,'Data shares'!$C:$FM,108)</f>
        <v>-1.5</v>
      </c>
      <c r="G206" s="50">
        <f t="shared" si="7"/>
        <v>0.94250670755078569</v>
      </c>
    </row>
    <row r="207" spans="1:7" x14ac:dyDescent="0.25">
      <c r="A207" s="49" t="str">
        <f>'Data Vlaue (Cr)'!C202</f>
        <v>TRENT</v>
      </c>
      <c r="B207" s="50">
        <f>VLOOKUP($A207,'Data shares'!$C:$FM,102)</f>
        <v>29.06</v>
      </c>
      <c r="C207" s="50">
        <f>VLOOKUP($A207,'Data shares'!$C:$FM,110)</f>
        <v>29.24</v>
      </c>
      <c r="D207" s="50">
        <f>VLOOKUP($A207,'Data shares'!$C:$FM,114)</f>
        <v>28.71</v>
      </c>
      <c r="E207" s="50">
        <f>VLOOKUP($A207,'Data shares'!$C:$FM,106)</f>
        <v>43.39</v>
      </c>
      <c r="F207" s="50">
        <f>VLOOKUP($A207,'Data shares'!$C:$FM,108)</f>
        <v>-14.33</v>
      </c>
      <c r="G207" s="50">
        <f t="shared" si="7"/>
        <v>0.66973957132979944</v>
      </c>
    </row>
    <row r="208" spans="1:7" x14ac:dyDescent="0.25">
      <c r="A208" s="49" t="str">
        <f>'Data Vlaue (Cr)'!C203</f>
        <v>TVSMOTOR</v>
      </c>
      <c r="B208" s="50">
        <f>VLOOKUP($A208,'Data shares'!$C:$FM,102)</f>
        <v>26.45</v>
      </c>
      <c r="C208" s="50">
        <f>VLOOKUP($A208,'Data shares'!$C:$FM,110)</f>
        <v>26.46</v>
      </c>
      <c r="D208" s="50">
        <f>VLOOKUP($A208,'Data shares'!$C:$FM,114)</f>
        <v>26.43</v>
      </c>
      <c r="E208" s="50">
        <f>VLOOKUP($A208,'Data shares'!$C:$FM,106)</f>
        <v>34</v>
      </c>
      <c r="F208" s="50">
        <f>VLOOKUP($A208,'Data shares'!$C:$FM,108)</f>
        <v>-7.55</v>
      </c>
      <c r="G208" s="50">
        <f t="shared" si="7"/>
        <v>0.77794117647058825</v>
      </c>
    </row>
    <row r="209" spans="1:7" x14ac:dyDescent="0.25">
      <c r="A209" s="49" t="str">
        <f>'Data Vlaue (Cr)'!C204</f>
        <v>ULTRACEMCO</v>
      </c>
      <c r="B209" s="50">
        <f>VLOOKUP($A209,'Data shares'!$C:$FM,102)</f>
        <v>22.09</v>
      </c>
      <c r="C209" s="50">
        <f>VLOOKUP($A209,'Data shares'!$C:$FM,110)</f>
        <v>22.2</v>
      </c>
      <c r="D209" s="50">
        <f>VLOOKUP($A209,'Data shares'!$C:$FM,114)</f>
        <v>21.87</v>
      </c>
      <c r="E209" s="50">
        <f>VLOOKUP($A209,'Data shares'!$C:$FM,106)</f>
        <v>29.48</v>
      </c>
      <c r="F209" s="50">
        <f>VLOOKUP($A209,'Data shares'!$C:$FM,108)</f>
        <v>-7.39</v>
      </c>
      <c r="G209" s="50">
        <f t="shared" si="7"/>
        <v>0.74932157394843957</v>
      </c>
    </row>
    <row r="210" spans="1:7" x14ac:dyDescent="0.25">
      <c r="A210" s="49" t="str">
        <f>'Data Vlaue (Cr)'!C205</f>
        <v>UNIONBANK</v>
      </c>
      <c r="B210" s="50">
        <f>VLOOKUP($A210,'Data shares'!$C:$FM,102)</f>
        <v>31.09</v>
      </c>
      <c r="C210" s="50">
        <f>VLOOKUP($A210,'Data shares'!$C:$FM,110)</f>
        <v>31.18</v>
      </c>
      <c r="D210" s="50">
        <f>VLOOKUP($A210,'Data shares'!$C:$FM,114)</f>
        <v>30.88</v>
      </c>
      <c r="E210" s="50">
        <f>VLOOKUP($A210,'Data shares'!$C:$FM,106)</f>
        <v>43.72</v>
      </c>
      <c r="F210" s="50">
        <f>VLOOKUP($A210,'Data shares'!$C:$FM,108)</f>
        <v>-12.63</v>
      </c>
      <c r="G210" s="50">
        <f t="shared" si="7"/>
        <v>0.71111619396157366</v>
      </c>
    </row>
    <row r="211" spans="1:7" x14ac:dyDescent="0.25">
      <c r="A211" s="49" t="str">
        <f>'Data Vlaue (Cr)'!C206</f>
        <v>UNITDSPR</v>
      </c>
      <c r="B211" s="50">
        <f>VLOOKUP($A211,'Data shares'!$C:$FM,102)</f>
        <v>21.29</v>
      </c>
      <c r="C211" s="50">
        <f>VLOOKUP($A211,'Data shares'!$C:$FM,110)</f>
        <v>21.81</v>
      </c>
      <c r="D211" s="50">
        <f>VLOOKUP($A211,'Data shares'!$C:$FM,114)</f>
        <v>20.6</v>
      </c>
      <c r="E211" s="50">
        <f>VLOOKUP($A211,'Data shares'!$C:$FM,106)</f>
        <v>30</v>
      </c>
      <c r="F211" s="50">
        <f>VLOOKUP($A211,'Data shares'!$C:$FM,108)</f>
        <v>-8.7100000000000009</v>
      </c>
      <c r="G211" s="50">
        <f t="shared" si="7"/>
        <v>0.70966666666666667</v>
      </c>
    </row>
    <row r="212" spans="1:7" x14ac:dyDescent="0.25">
      <c r="A212" s="49" t="str">
        <f>'Data Vlaue (Cr)'!C207</f>
        <v>UNOMINDA</v>
      </c>
      <c r="B212" s="50">
        <f>VLOOKUP($A212,'Data shares'!$C:$FM,102)</f>
        <v>32.020000000000003</v>
      </c>
      <c r="C212" s="50">
        <f>VLOOKUP($A212,'Data shares'!$C:$FM,110)</f>
        <v>32.21</v>
      </c>
      <c r="D212" s="50">
        <f>VLOOKUP($A212,'Data shares'!$C:$FM,114)</f>
        <v>31.69</v>
      </c>
      <c r="E212" s="50">
        <f>VLOOKUP($A212,'Data shares'!$C:$FM,106)</f>
        <v>42.32</v>
      </c>
      <c r="F212" s="50">
        <f>VLOOKUP($A212,'Data shares'!$C:$FM,108)</f>
        <v>-10.3</v>
      </c>
      <c r="G212" s="50">
        <f t="shared" si="7"/>
        <v>0.75661625708884694</v>
      </c>
    </row>
    <row r="213" spans="1:7" x14ac:dyDescent="0.25">
      <c r="A213" s="49" t="str">
        <f>'Data Vlaue (Cr)'!C208</f>
        <v>UPL</v>
      </c>
      <c r="B213" s="50">
        <f>VLOOKUP($A213,'Data shares'!$C:$FM,102)</f>
        <v>24.76</v>
      </c>
      <c r="C213" s="50">
        <f>VLOOKUP($A213,'Data shares'!$C:$FM,110)</f>
        <v>24.29</v>
      </c>
      <c r="D213" s="50">
        <f>VLOOKUP($A213,'Data shares'!$C:$FM,114)</f>
        <v>25.6</v>
      </c>
      <c r="E213" s="50">
        <f>VLOOKUP($A213,'Data shares'!$C:$FM,106)</f>
        <v>41.35</v>
      </c>
      <c r="F213" s="50">
        <f>VLOOKUP($A213,'Data shares'!$C:$FM,108)</f>
        <v>-16.59</v>
      </c>
      <c r="G213" s="50">
        <f t="shared" si="7"/>
        <v>0.59879081015719471</v>
      </c>
    </row>
    <row r="214" spans="1:7" x14ac:dyDescent="0.25">
      <c r="A214" s="49" t="str">
        <f>'Data Vlaue (Cr)'!C209</f>
        <v>VBL</v>
      </c>
      <c r="B214" s="50">
        <f>VLOOKUP($A214,'Data shares'!$C:$FM,102)</f>
        <v>26.77</v>
      </c>
      <c r="C214" s="50">
        <f>VLOOKUP($A214,'Data shares'!$C:$FM,110)</f>
        <v>26.28</v>
      </c>
      <c r="D214" s="50">
        <f>VLOOKUP($A214,'Data shares'!$C:$FM,114)</f>
        <v>27.89</v>
      </c>
      <c r="E214" s="50">
        <f>VLOOKUP($A214,'Data shares'!$C:$FM,106)</f>
        <v>38.340000000000003</v>
      </c>
      <c r="F214" s="50">
        <f>VLOOKUP($A214,'Data shares'!$C:$FM,108)</f>
        <v>-11.57</v>
      </c>
      <c r="G214" s="50">
        <f t="shared" si="7"/>
        <v>0.69822639540949394</v>
      </c>
    </row>
    <row r="215" spans="1:7" x14ac:dyDescent="0.25">
      <c r="A215" s="49" t="str">
        <f>'Data Vlaue (Cr)'!C210</f>
        <v>VEDL</v>
      </c>
      <c r="B215" s="50">
        <f>VLOOKUP($A215,'Data shares'!$C:$FM,102)</f>
        <v>39.94</v>
      </c>
      <c r="C215" s="50">
        <f>VLOOKUP($A215,'Data shares'!$C:$FM,110)</f>
        <v>40.090000000000003</v>
      </c>
      <c r="D215" s="50">
        <f>VLOOKUP($A215,'Data shares'!$C:$FM,114)</f>
        <v>39.57</v>
      </c>
      <c r="E215" s="50">
        <f>VLOOKUP($A215,'Data shares'!$C:$FM,106)</f>
        <v>44.37</v>
      </c>
      <c r="F215" s="50">
        <f>VLOOKUP($A215,'Data shares'!$C:$FM,108)</f>
        <v>-4.43</v>
      </c>
      <c r="G215" s="50">
        <f t="shared" ref="G215:G217" si="8">B215/E215</f>
        <v>0.90015776425512739</v>
      </c>
    </row>
    <row r="216" spans="1:7" x14ac:dyDescent="0.25">
      <c r="A216" s="49" t="str">
        <f>'Data Vlaue (Cr)'!C211</f>
        <v>VMM</v>
      </c>
      <c r="B216" s="50">
        <f>VLOOKUP($A216,'Data shares'!$C:$FM,102)</f>
        <v>33.24</v>
      </c>
      <c r="C216" s="50">
        <f>VLOOKUP($A216,'Data shares'!$C:$FM,110)</f>
        <v>33.520000000000003</v>
      </c>
      <c r="D216" s="50">
        <f>VLOOKUP($A216,'Data shares'!$C:$FM,114)</f>
        <v>32.840000000000003</v>
      </c>
      <c r="E216" s="50">
        <f>VLOOKUP($A216,'Data shares'!$C:$FM,106)</f>
        <v>37.17</v>
      </c>
      <c r="F216" s="50">
        <f>VLOOKUP($A216,'Data shares'!$C:$FM,108)</f>
        <v>-3.93</v>
      </c>
      <c r="G216" s="50">
        <f t="shared" si="8"/>
        <v>0.89426957223567394</v>
      </c>
    </row>
    <row r="217" spans="1:7" x14ac:dyDescent="0.25">
      <c r="A217" s="49" t="str">
        <f>'Data Vlaue (Cr)'!C212</f>
        <v>VOLTAS</v>
      </c>
      <c r="B217" s="50">
        <f>VLOOKUP($A217,'Data shares'!$C:$FM,102)</f>
        <v>33.31</v>
      </c>
      <c r="C217" s="50">
        <f>VLOOKUP($A217,'Data shares'!$C:$FM,110)</f>
        <v>33.78</v>
      </c>
      <c r="D217" s="50">
        <f>VLOOKUP($A217,'Data shares'!$C:$FM,114)</f>
        <v>32.450000000000003</v>
      </c>
      <c r="E217" s="50">
        <f>VLOOKUP($A217,'Data shares'!$C:$FM,106)</f>
        <v>40.64</v>
      </c>
      <c r="F217" s="50">
        <f>VLOOKUP($A217,'Data shares'!$C:$FM,108)</f>
        <v>-7.33</v>
      </c>
      <c r="G217" s="50">
        <f t="shared" si="8"/>
        <v>0.81963582677165359</v>
      </c>
    </row>
    <row r="218" spans="1:7" x14ac:dyDescent="0.25">
      <c r="A218" s="49" t="str">
        <f>'Data Vlaue (Cr)'!C213</f>
        <v>WAAREEENER</v>
      </c>
      <c r="B218" s="50">
        <f>VLOOKUP($A218,'Data shares'!$C:$FM,102)</f>
        <v>33.51</v>
      </c>
      <c r="C218" s="50">
        <f>VLOOKUP($A218,'Data shares'!$C:$FM,110)</f>
        <v>33.86</v>
      </c>
      <c r="D218" s="50">
        <f>VLOOKUP($A218,'Data shares'!$C:$FM,114)</f>
        <v>32.630000000000003</v>
      </c>
      <c r="E218" s="50">
        <f>VLOOKUP($A218,'Data shares'!$C:$FM,106)</f>
        <v>52.74</v>
      </c>
      <c r="F218" s="50">
        <f>VLOOKUP($A218,'Data shares'!$C:$FM,108)</f>
        <v>-19.23</v>
      </c>
      <c r="G218" s="50">
        <f t="shared" ref="G218:G221" si="9">B218/E218</f>
        <v>0.63538111490329918</v>
      </c>
    </row>
    <row r="219" spans="1:7" x14ac:dyDescent="0.25">
      <c r="A219" s="49" t="str">
        <f>'Data Vlaue (Cr)'!C214</f>
        <v>WIPRO</v>
      </c>
      <c r="B219" s="50">
        <f>VLOOKUP($A219,'Data shares'!$C:$FM,102)</f>
        <v>33.54</v>
      </c>
      <c r="C219" s="50">
        <f>VLOOKUP($A219,'Data shares'!$C:$FM,110)</f>
        <v>34.94</v>
      </c>
      <c r="D219" s="50">
        <f>VLOOKUP($A219,'Data shares'!$C:$FM,114)</f>
        <v>30.77</v>
      </c>
      <c r="E219" s="50">
        <f>VLOOKUP($A219,'Data shares'!$C:$FM,106)</f>
        <v>31.06</v>
      </c>
      <c r="F219" s="50">
        <f>VLOOKUP($A219,'Data shares'!$C:$FM,108)</f>
        <v>2.48</v>
      </c>
      <c r="G219" s="50">
        <f t="shared" si="9"/>
        <v>1.0798454603992274</v>
      </c>
    </row>
    <row r="220" spans="1:7" x14ac:dyDescent="0.25">
      <c r="A220" s="49" t="str">
        <f>'Data Vlaue (Cr)'!C215</f>
        <v>YESBANK</v>
      </c>
      <c r="B220" s="50">
        <f>VLOOKUP($A220,'Data shares'!$C:$FM,102)</f>
        <v>30.82</v>
      </c>
      <c r="C220" s="50">
        <f>VLOOKUP($A220,'Data shares'!$C:$FM,110)</f>
        <v>31.01</v>
      </c>
      <c r="D220" s="50">
        <f>VLOOKUP($A220,'Data shares'!$C:$FM,114)</f>
        <v>30.42</v>
      </c>
      <c r="E220" s="50">
        <f>VLOOKUP($A220,'Data shares'!$C:$FM,106)</f>
        <v>38.72</v>
      </c>
      <c r="F220" s="50">
        <f>VLOOKUP($A220,'Data shares'!$C:$FM,108)</f>
        <v>-7.9</v>
      </c>
      <c r="G220" s="50">
        <f t="shared" si="9"/>
        <v>0.79597107438016534</v>
      </c>
    </row>
    <row r="221" spans="1:7" x14ac:dyDescent="0.25">
      <c r="A221" s="49" t="str">
        <f>'Data Vlaue (Cr)'!C216</f>
        <v>ZYDUSLIFE</v>
      </c>
      <c r="B221" s="50">
        <f>VLOOKUP($A221,'Data shares'!$C:$FM,102)</f>
        <v>24.18</v>
      </c>
      <c r="C221" s="50">
        <f>VLOOKUP($A221,'Data shares'!$C:$FM,110)</f>
        <v>23.9</v>
      </c>
      <c r="D221" s="50">
        <f>VLOOKUP($A221,'Data shares'!$C:$FM,114)</f>
        <v>24.81</v>
      </c>
      <c r="E221" s="50">
        <f>VLOOKUP($A221,'Data shares'!$C:$FM,106)</f>
        <v>29.59</v>
      </c>
      <c r="F221" s="50">
        <f>VLOOKUP($A221,'Data shares'!$C:$FM,108)</f>
        <v>-5.41</v>
      </c>
      <c r="G221" s="50">
        <f t="shared" si="9"/>
        <v>0.81716796214937482</v>
      </c>
    </row>
    <row r="222" spans="1:7" x14ac:dyDescent="0.25">
      <c r="A222" s="49"/>
      <c r="B222" s="50"/>
      <c r="C222" s="50"/>
      <c r="D222" s="50"/>
      <c r="E222" s="50"/>
      <c r="F222" s="50"/>
      <c r="G222" s="50"/>
    </row>
    <row r="223" spans="1:7" x14ac:dyDescent="0.25">
      <c r="A223" s="49"/>
      <c r="B223" s="50"/>
      <c r="C223" s="50"/>
      <c r="D223" s="50"/>
      <c r="E223" s="50"/>
      <c r="F223" s="50"/>
      <c r="G223" s="50"/>
    </row>
    <row r="224" spans="1:7" x14ac:dyDescent="0.25">
      <c r="A224" s="49"/>
      <c r="B224" s="50"/>
      <c r="C224" s="50"/>
      <c r="D224" s="50"/>
      <c r="E224" s="50"/>
      <c r="F224" s="50"/>
      <c r="G224" s="50"/>
    </row>
    <row r="225" spans="1:7" x14ac:dyDescent="0.25">
      <c r="A225" s="49"/>
      <c r="B225" s="50"/>
      <c r="C225" s="50"/>
      <c r="D225" s="50"/>
      <c r="E225" s="50"/>
      <c r="F225" s="50"/>
      <c r="G225" s="50"/>
    </row>
    <row r="226" spans="1:7" x14ac:dyDescent="0.25">
      <c r="A226" s="49"/>
      <c r="B226" s="50"/>
      <c r="C226" s="50"/>
      <c r="D226" s="50"/>
      <c r="E226" s="50"/>
      <c r="F226" s="50"/>
      <c r="G226" s="50"/>
    </row>
    <row r="227" spans="1:7" x14ac:dyDescent="0.25">
      <c r="A227" s="49"/>
      <c r="B227" s="50"/>
      <c r="C227" s="50"/>
      <c r="D227" s="50"/>
      <c r="E227" s="50"/>
      <c r="F227" s="50"/>
      <c r="G227" s="50"/>
    </row>
    <row r="228" spans="1:7" x14ac:dyDescent="0.25">
      <c r="A228" s="49"/>
      <c r="B228" s="50"/>
      <c r="C228" s="50"/>
      <c r="D228" s="50"/>
      <c r="E228" s="50"/>
      <c r="F228" s="50"/>
      <c r="G228" s="50"/>
    </row>
    <row r="229" spans="1:7" x14ac:dyDescent="0.25">
      <c r="A229" s="49"/>
      <c r="B229" s="50"/>
      <c r="C229" s="50"/>
      <c r="D229" s="50"/>
      <c r="E229" s="50"/>
      <c r="F229" s="50"/>
      <c r="G229"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8" activePane="bottomLeft" state="frozen"/>
      <selection pane="bottomLeft" activeCell="O39" sqref="O39:O40"/>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9" t="s">
        <v>416</v>
      </c>
      <c r="B3" s="320"/>
      <c r="C3" s="320"/>
      <c r="D3" s="320"/>
      <c r="E3" s="320"/>
      <c r="F3" s="320"/>
    </row>
    <row r="4" spans="1:6" s="107" customFormat="1" ht="16.5" customHeight="1" x14ac:dyDescent="0.25">
      <c r="A4" s="174" t="s">
        <v>366</v>
      </c>
      <c r="B4" s="76" t="s">
        <v>417</v>
      </c>
      <c r="C4" s="76" t="s">
        <v>412</v>
      </c>
      <c r="D4" s="162" t="s">
        <v>418</v>
      </c>
      <c r="E4" s="162" t="s">
        <v>419</v>
      </c>
      <c r="F4" s="162" t="s">
        <v>419</v>
      </c>
    </row>
    <row r="5" spans="1:6" x14ac:dyDescent="0.25">
      <c r="A5" s="99" t="s">
        <v>678</v>
      </c>
      <c r="B5" s="49">
        <v>37756901</v>
      </c>
      <c r="C5" s="49">
        <v>5289000</v>
      </c>
      <c r="D5" s="49">
        <v>4703027.6786099998</v>
      </c>
      <c r="E5" s="50">
        <f>VLOOKUP($A5,'Data shares'!$C:$FA,154)*100</f>
        <v>14.09</v>
      </c>
      <c r="F5" s="173">
        <f>C5/B5</f>
        <v>0.14008035246324904</v>
      </c>
    </row>
    <row r="6" spans="1:6" x14ac:dyDescent="0.25">
      <c r="A6" s="99" t="s">
        <v>553</v>
      </c>
      <c r="B6" s="49">
        <v>7946564</v>
      </c>
      <c r="C6" s="49">
        <v>3431625</v>
      </c>
      <c r="D6" s="49">
        <v>2252442.1784862499</v>
      </c>
      <c r="E6" s="50">
        <f>VLOOKUP($A6,'Data shares'!$C:$FA,154)*100</f>
        <v>44.07</v>
      </c>
      <c r="F6" s="173">
        <f>C6/B6</f>
        <v>0.43183758414328505</v>
      </c>
    </row>
    <row r="7" spans="1:6" x14ac:dyDescent="0.25">
      <c r="A7" s="99" t="s">
        <v>544</v>
      </c>
      <c r="B7" s="49">
        <v>123369777</v>
      </c>
      <c r="C7" s="49">
        <v>66352400</v>
      </c>
      <c r="D7" s="49">
        <v>53722930.691316001</v>
      </c>
      <c r="E7" s="50">
        <f>VLOOKUP($A7,'Data shares'!$C:$FA,154)*100</f>
        <v>54.02</v>
      </c>
      <c r="F7" s="173">
        <f>C7/B7</f>
        <v>0.53783350844510325</v>
      </c>
    </row>
    <row r="8" spans="1:6" x14ac:dyDescent="0.25">
      <c r="A8" s="99" t="s">
        <v>578</v>
      </c>
      <c r="B8" s="49">
        <v>35196587</v>
      </c>
      <c r="C8" s="49">
        <v>24189975</v>
      </c>
      <c r="D8" s="49">
        <v>17193416.443895198</v>
      </c>
      <c r="E8" s="50"/>
      <c r="F8" s="173">
        <f>C8/B8</f>
        <v>0.68728183786683639</v>
      </c>
    </row>
    <row r="9" spans="1:6" x14ac:dyDescent="0.25">
      <c r="A9" s="99" t="s">
        <v>159</v>
      </c>
      <c r="B9" s="49">
        <v>33645895</v>
      </c>
      <c r="C9" s="49">
        <v>27986748</v>
      </c>
      <c r="D9" s="49">
        <v>18060672.2550148</v>
      </c>
      <c r="E9" s="50">
        <f>VLOOKUP($A9,'Data shares'!$C:$FA,154)*100</f>
        <v>84.45</v>
      </c>
      <c r="F9" s="173">
        <f>C9/B9</f>
        <v>0.83180275038009832</v>
      </c>
    </row>
    <row r="10" spans="1:6" x14ac:dyDescent="0.25">
      <c r="A10" s="99" t="s">
        <v>605</v>
      </c>
      <c r="B10" s="49">
        <v>64724093</v>
      </c>
      <c r="C10" s="49">
        <v>27871800</v>
      </c>
      <c r="D10" s="49">
        <v>18662391.215046</v>
      </c>
      <c r="E10" s="50">
        <f>VLOOKUP($A10,'Data shares'!$C:$FA,154)*100</f>
        <v>43.56</v>
      </c>
      <c r="F10" s="173">
        <f>C10/B10</f>
        <v>0.43062480612899434</v>
      </c>
    </row>
    <row r="11" spans="1:6" x14ac:dyDescent="0.25">
      <c r="A11" s="99" t="s">
        <v>160</v>
      </c>
      <c r="B11" s="49">
        <v>88142691</v>
      </c>
      <c r="C11" s="49">
        <v>27100650</v>
      </c>
      <c r="D11" s="49">
        <v>20469828.9536517</v>
      </c>
      <c r="E11" s="50">
        <f>VLOOKUP($A11,'Data shares'!$C:$FA,154)*100</f>
        <v>30.98</v>
      </c>
      <c r="F11" s="173">
        <f>C11/B11</f>
        <v>0.30746338343584267</v>
      </c>
    </row>
    <row r="12" spans="1:6" x14ac:dyDescent="0.25">
      <c r="A12" s="99" t="s">
        <v>693</v>
      </c>
      <c r="B12" s="49">
        <v>482906787</v>
      </c>
      <c r="C12" s="49">
        <v>137392100</v>
      </c>
      <c r="D12" s="49">
        <v>89818374.933596</v>
      </c>
      <c r="E12" s="50">
        <f>VLOOKUP($A12,'Data shares'!$C:$FA,154)*100</f>
        <v>28.939999999999998</v>
      </c>
      <c r="F12" s="173">
        <f>C12/B12</f>
        <v>0.28451060059340189</v>
      </c>
    </row>
    <row r="13" spans="1:6" x14ac:dyDescent="0.25">
      <c r="A13" s="99" t="s">
        <v>497</v>
      </c>
      <c r="B13" s="49">
        <v>5873365</v>
      </c>
      <c r="C13" s="49">
        <v>1421375</v>
      </c>
      <c r="D13" s="49">
        <v>1207275.6091575001</v>
      </c>
      <c r="E13" s="50">
        <f>VLOOKUP($A13,'Data shares'!$C:$FA,154)*100</f>
        <v>24.3</v>
      </c>
      <c r="F13" s="173">
        <f>C13/B13</f>
        <v>0.24200351927727973</v>
      </c>
    </row>
    <row r="14" spans="1:6" x14ac:dyDescent="0.25">
      <c r="A14" s="99" t="s">
        <v>677</v>
      </c>
      <c r="B14" s="49">
        <v>3260820</v>
      </c>
      <c r="C14" s="49">
        <v>4877000</v>
      </c>
      <c r="D14" s="49">
        <v>2563404.0652000001</v>
      </c>
      <c r="E14" s="50">
        <f>VLOOKUP($A14,'Data shares'!$C:$FA,154)*100</f>
        <v>152.22999999999999</v>
      </c>
      <c r="F14" s="173">
        <f>C14/B14</f>
        <v>1.4956360670015518</v>
      </c>
    </row>
    <row r="15" spans="1:6" x14ac:dyDescent="0.25">
      <c r="A15" s="99" t="s">
        <v>164</v>
      </c>
      <c r="B15" s="49">
        <v>97233107</v>
      </c>
      <c r="C15" s="49">
        <v>85821150</v>
      </c>
      <c r="D15" s="49">
        <v>64278295.483120501</v>
      </c>
      <c r="E15" s="50">
        <f>VLOOKUP($A15,'Data shares'!$C:$FA,154)*100</f>
        <v>89.39</v>
      </c>
      <c r="F15" s="173">
        <f>C15/B15</f>
        <v>0.88263301099696423</v>
      </c>
    </row>
    <row r="16" spans="1:6" x14ac:dyDescent="0.25">
      <c r="A16" s="99" t="s">
        <v>608</v>
      </c>
      <c r="B16" s="49">
        <v>96940911</v>
      </c>
      <c r="C16" s="49">
        <v>37850000</v>
      </c>
      <c r="D16" s="49">
        <v>20751664.753024999</v>
      </c>
      <c r="E16" s="50">
        <f>VLOOKUP($A16,'Data shares'!$C:$FA,154)*100</f>
        <v>40.04</v>
      </c>
      <c r="F16" s="173">
        <f>C16/B16</f>
        <v>0.39044403038465358</v>
      </c>
    </row>
    <row r="17" spans="1:6" x14ac:dyDescent="0.25">
      <c r="A17" s="99" t="s">
        <v>597</v>
      </c>
      <c r="B17" s="49">
        <v>29871221</v>
      </c>
      <c r="C17" s="49">
        <v>6243650</v>
      </c>
      <c r="D17" s="49">
        <v>5477045.9442894999</v>
      </c>
      <c r="E17" s="50">
        <f>VLOOKUP($A17,'Data shares'!$C:$FA,154)*100</f>
        <v>21.62</v>
      </c>
      <c r="F17" s="173">
        <f>C17/B17</f>
        <v>0.20901890819929991</v>
      </c>
    </row>
    <row r="18" spans="1:6" x14ac:dyDescent="0.25">
      <c r="A18" s="99" t="s">
        <v>165</v>
      </c>
      <c r="B18" s="49">
        <v>15524629</v>
      </c>
      <c r="C18" s="49">
        <v>2693125</v>
      </c>
      <c r="D18" s="49">
        <v>1845664.08317875</v>
      </c>
      <c r="E18" s="50">
        <f>VLOOKUP($A18,'Data shares'!$C:$FA,154)*100</f>
        <v>17.61</v>
      </c>
      <c r="F18" s="173">
        <f>C18/B18</f>
        <v>0.1734743548460965</v>
      </c>
    </row>
    <row r="19" spans="1:6" x14ac:dyDescent="0.25">
      <c r="A19" s="99" t="s">
        <v>167</v>
      </c>
      <c r="B19" s="49">
        <v>423779104</v>
      </c>
      <c r="C19" s="49">
        <v>256055000</v>
      </c>
      <c r="D19" s="49">
        <v>166867438.65924999</v>
      </c>
      <c r="E19" s="50"/>
      <c r="F19" s="173">
        <f>C19/B19</f>
        <v>0.60421808811035671</v>
      </c>
    </row>
    <row r="20" spans="1:6" x14ac:dyDescent="0.25">
      <c r="A20" s="99" t="s">
        <v>169</v>
      </c>
      <c r="B20" s="49">
        <v>62818628</v>
      </c>
      <c r="C20" s="49">
        <v>14159250</v>
      </c>
      <c r="D20" s="49">
        <v>11317571.20425</v>
      </c>
      <c r="E20" s="50">
        <f>VLOOKUP($A20,'Data shares'!$C:$FA,154)*100</f>
        <v>22.830000000000002</v>
      </c>
      <c r="F20" s="173">
        <f>C20/B20</f>
        <v>0.22539890556030609</v>
      </c>
    </row>
    <row r="21" spans="1:6" x14ac:dyDescent="0.25">
      <c r="A21" s="99" t="s">
        <v>503</v>
      </c>
      <c r="B21" s="49">
        <v>17577908</v>
      </c>
      <c r="C21" s="49">
        <v>9418850</v>
      </c>
      <c r="D21" s="49">
        <v>6420763.9116042498</v>
      </c>
      <c r="E21" s="50">
        <f>VLOOKUP($A21,'Data shares'!$C:$FA,154)*100</f>
        <v>53.839999999999996</v>
      </c>
      <c r="F21" s="173">
        <f>C21/B21</f>
        <v>0.53583452592879655</v>
      </c>
    </row>
    <row r="22" spans="1:6" x14ac:dyDescent="0.25">
      <c r="A22" s="99" t="s">
        <v>495</v>
      </c>
      <c r="B22" s="49">
        <v>86532345</v>
      </c>
      <c r="C22" s="49">
        <v>29519000</v>
      </c>
      <c r="D22" s="49">
        <v>24486243.625840001</v>
      </c>
      <c r="E22" s="50">
        <f>VLOOKUP($A22,'Data shares'!$C:$FA,154)*100</f>
        <v>34.380000000000003</v>
      </c>
      <c r="F22" s="173">
        <f>C22/B22</f>
        <v>0.34113255569348083</v>
      </c>
    </row>
    <row r="23" spans="1:6" x14ac:dyDescent="0.25">
      <c r="A23" s="99" t="s">
        <v>171</v>
      </c>
      <c r="B23" s="49">
        <v>41977935</v>
      </c>
      <c r="C23" s="49">
        <v>22224400</v>
      </c>
      <c r="D23" s="49">
        <v>17331870.560526501</v>
      </c>
      <c r="E23" s="50">
        <f>VLOOKUP($A23,'Data shares'!$C:$FA,154)*100</f>
        <v>53.33</v>
      </c>
      <c r="F23" s="173">
        <f>C23/B23</f>
        <v>0.52943052105826549</v>
      </c>
    </row>
    <row r="24" spans="1:6" x14ac:dyDescent="0.25">
      <c r="A24" s="99" t="s">
        <v>173</v>
      </c>
      <c r="B24" s="49">
        <v>331596880</v>
      </c>
      <c r="C24" s="49">
        <v>74528750</v>
      </c>
      <c r="D24" s="49">
        <v>65545573.717881203</v>
      </c>
      <c r="E24" s="50">
        <f>VLOOKUP($A24,'Data shares'!$C:$FA,154)*100</f>
        <v>22.720000000000002</v>
      </c>
      <c r="F24" s="173">
        <f>C24/B24</f>
        <v>0.22475709059747487</v>
      </c>
    </row>
    <row r="25" spans="1:6" x14ac:dyDescent="0.25">
      <c r="A25" s="99" t="s">
        <v>174</v>
      </c>
      <c r="B25" s="49">
        <v>12553818</v>
      </c>
      <c r="C25" s="49">
        <v>3565650</v>
      </c>
      <c r="D25" s="49">
        <v>2152465.1418030001</v>
      </c>
      <c r="E25" s="50"/>
      <c r="F25" s="173">
        <f>C25/B25</f>
        <v>0.284029129624151</v>
      </c>
    </row>
    <row r="26" spans="1:6" x14ac:dyDescent="0.25">
      <c r="A26" s="99" t="s">
        <v>176</v>
      </c>
      <c r="B26" s="49">
        <v>65784745</v>
      </c>
      <c r="C26" s="49">
        <v>14018900</v>
      </c>
      <c r="D26" s="49">
        <v>11112793.704913</v>
      </c>
      <c r="E26" s="50">
        <f>VLOOKUP($A26,'Data shares'!$C:$FA,154)*100</f>
        <v>21.38</v>
      </c>
      <c r="F26" s="173">
        <f>C26/B26</f>
        <v>0.21310259696225925</v>
      </c>
    </row>
    <row r="27" spans="1:6" x14ac:dyDescent="0.25">
      <c r="A27" s="99" t="s">
        <v>687</v>
      </c>
      <c r="B27" s="49">
        <v>5401993</v>
      </c>
      <c r="C27" s="49">
        <v>302550</v>
      </c>
      <c r="D27" s="49">
        <v>255762.29667449999</v>
      </c>
      <c r="E27" s="50"/>
      <c r="F27" s="173">
        <f>C27/B27</f>
        <v>5.6007107006617741E-2</v>
      </c>
    </row>
    <row r="28" spans="1:6" x14ac:dyDescent="0.25">
      <c r="A28" s="99" t="s">
        <v>177</v>
      </c>
      <c r="B28" s="49">
        <v>387962395</v>
      </c>
      <c r="C28" s="49">
        <v>87570000</v>
      </c>
      <c r="D28" s="49">
        <v>71665582.8159675</v>
      </c>
      <c r="E28" s="50">
        <f>VLOOKUP($A28,'Data shares'!$C:$FA,154)*100</f>
        <v>22.82</v>
      </c>
      <c r="F28" s="173">
        <f>C28/B28</f>
        <v>0.22571775287653845</v>
      </c>
    </row>
    <row r="29" spans="1:6" x14ac:dyDescent="0.25">
      <c r="A29" s="99" t="s">
        <v>179</v>
      </c>
      <c r="B29" s="49">
        <v>145616308</v>
      </c>
      <c r="C29" s="49">
        <v>132192000</v>
      </c>
      <c r="D29" s="49">
        <v>97914492.163764</v>
      </c>
      <c r="E29" s="50">
        <f>VLOOKUP($A29,'Data shares'!$C:$FA,154)*100</f>
        <v>91.43</v>
      </c>
      <c r="F29" s="173">
        <f>C29/B29</f>
        <v>0.90781040815840486</v>
      </c>
    </row>
    <row r="30" spans="1:6" x14ac:dyDescent="0.25">
      <c r="A30" s="99" t="s">
        <v>180</v>
      </c>
      <c r="B30" s="49">
        <v>279476623</v>
      </c>
      <c r="C30" s="49">
        <v>155756250</v>
      </c>
      <c r="D30" s="49">
        <v>116614786.155981</v>
      </c>
      <c r="E30" s="50">
        <f>VLOOKUP($A30,'Data shares'!$C:$FA,154)*100</f>
        <v>56.07</v>
      </c>
      <c r="F30" s="173">
        <f>C30/B30</f>
        <v>0.55731405485030494</v>
      </c>
    </row>
    <row r="31" spans="1:6" x14ac:dyDescent="0.25">
      <c r="A31" s="99" t="s">
        <v>601</v>
      </c>
      <c r="B31" s="49">
        <v>181770921</v>
      </c>
      <c r="C31" s="49">
        <v>80735200</v>
      </c>
      <c r="D31" s="49">
        <v>61003393.152312003</v>
      </c>
      <c r="E31" s="50">
        <f>VLOOKUP($A31,'Data shares'!$C:$FA,154)*100</f>
        <v>44.75</v>
      </c>
      <c r="F31" s="173">
        <f>C31/B31</f>
        <v>0.44415905226116997</v>
      </c>
    </row>
    <row r="32" spans="1:6" x14ac:dyDescent="0.25">
      <c r="A32" s="99" t="s">
        <v>668</v>
      </c>
      <c r="B32" s="49">
        <v>13786716</v>
      </c>
      <c r="C32" s="49">
        <v>5543025</v>
      </c>
      <c r="D32" s="49">
        <v>2804865.28434675</v>
      </c>
      <c r="E32" s="50">
        <f>VLOOKUP($A32,'Data shares'!$C:$FA,154)*100</f>
        <v>40.71</v>
      </c>
      <c r="F32" s="173">
        <f>C32/B32</f>
        <v>0.40205550038167176</v>
      </c>
    </row>
    <row r="33" spans="1:6" x14ac:dyDescent="0.25">
      <c r="A33" s="99" t="s">
        <v>185</v>
      </c>
      <c r="B33" s="49">
        <v>535778534</v>
      </c>
      <c r="C33" s="49">
        <v>151071375</v>
      </c>
      <c r="D33" s="49">
        <v>100105446.392012</v>
      </c>
      <c r="E33" s="50">
        <f>VLOOKUP($A33,'Data shares'!$C:$FA,154)*100</f>
        <v>28.57</v>
      </c>
      <c r="F33" s="173">
        <f>C33/B33</f>
        <v>0.281966083769978</v>
      </c>
    </row>
    <row r="34" spans="1:6" x14ac:dyDescent="0.25">
      <c r="A34" s="99" t="s">
        <v>187</v>
      </c>
      <c r="B34" s="49">
        <v>40107751</v>
      </c>
      <c r="C34" s="49">
        <v>8396000</v>
      </c>
      <c r="D34" s="49">
        <v>6698159.2920399997</v>
      </c>
      <c r="E34" s="50"/>
      <c r="F34" s="173">
        <f>C34/B34</f>
        <v>0.20933609565891639</v>
      </c>
    </row>
    <row r="35" spans="1:6" x14ac:dyDescent="0.25">
      <c r="A35" s="99" t="s">
        <v>189</v>
      </c>
      <c r="B35" s="49">
        <v>342859930</v>
      </c>
      <c r="C35" s="49">
        <v>68397625</v>
      </c>
      <c r="D35" s="49">
        <v>57052408.256652497</v>
      </c>
      <c r="E35" s="50"/>
      <c r="F35" s="173">
        <f>C35/B35</f>
        <v>0.19949145121741116</v>
      </c>
    </row>
    <row r="36" spans="1:6" x14ac:dyDescent="0.25">
      <c r="A36" s="99" t="s">
        <v>190</v>
      </c>
      <c r="B36" s="49">
        <v>192361942</v>
      </c>
      <c r="C36" s="49">
        <v>156284625</v>
      </c>
      <c r="D36" s="49">
        <v>108034310.541648</v>
      </c>
      <c r="E36" s="50">
        <f>VLOOKUP($A36,'Data shares'!$C:$FA,154)*100</f>
        <v>82.399999999999991</v>
      </c>
      <c r="F36" s="173">
        <f>C36/B36</f>
        <v>0.81245085891262214</v>
      </c>
    </row>
    <row r="37" spans="1:6" x14ac:dyDescent="0.25">
      <c r="A37" s="99" t="s">
        <v>191</v>
      </c>
      <c r="B37" s="49">
        <v>108004143</v>
      </c>
      <c r="C37" s="49">
        <v>55725000</v>
      </c>
      <c r="D37" s="49">
        <v>38038390.998149998</v>
      </c>
      <c r="E37" s="50">
        <f>VLOOKUP($A37,'Data shares'!$C:$FA,154)*100</f>
        <v>52.129999999999995</v>
      </c>
      <c r="F37" s="173">
        <f>C37/B37</f>
        <v>0.51595242971373789</v>
      </c>
    </row>
    <row r="38" spans="1:6" x14ac:dyDescent="0.25">
      <c r="A38" s="99" t="s">
        <v>675</v>
      </c>
      <c r="B38" s="49">
        <v>15745076</v>
      </c>
      <c r="C38" s="49">
        <v>3773900</v>
      </c>
      <c r="D38" s="49">
        <v>2633764.7325957501</v>
      </c>
      <c r="E38" s="50">
        <f>VLOOKUP($A38,'Data shares'!$C:$FA,154)*100</f>
        <v>24.15</v>
      </c>
      <c r="F38" s="173">
        <f>C38/B38</f>
        <v>0.23968763313686134</v>
      </c>
    </row>
    <row r="39" spans="1:6" x14ac:dyDescent="0.25">
      <c r="A39" s="99" t="s">
        <v>192</v>
      </c>
      <c r="B39" s="49">
        <v>868841</v>
      </c>
      <c r="C39" s="49">
        <v>492125</v>
      </c>
      <c r="D39" s="49">
        <v>335436.20223599998</v>
      </c>
      <c r="E39" s="50">
        <f>VLOOKUP($A39,'Data shares'!$C:$FA,154)*100</f>
        <v>56.910000000000004</v>
      </c>
      <c r="F39" s="173">
        <f>C39/B39</f>
        <v>0.5664154891401304</v>
      </c>
    </row>
    <row r="40" spans="1:6" x14ac:dyDescent="0.25">
      <c r="A40" s="99" t="s">
        <v>194</v>
      </c>
      <c r="B40" s="49">
        <v>306020745</v>
      </c>
      <c r="C40" s="49">
        <v>63200000</v>
      </c>
      <c r="D40" s="49">
        <v>48202083.353834003</v>
      </c>
      <c r="E40" s="50"/>
      <c r="F40" s="173">
        <f>C40/B40</f>
        <v>0.20652194673926436</v>
      </c>
    </row>
    <row r="41" spans="1:6" x14ac:dyDescent="0.25">
      <c r="A41" s="99" t="s">
        <v>195</v>
      </c>
      <c r="B41" s="49">
        <v>14553559</v>
      </c>
      <c r="C41" s="49">
        <v>3183750</v>
      </c>
      <c r="D41" s="49">
        <v>2373742.8269987502</v>
      </c>
      <c r="E41" s="50">
        <f>VLOOKUP($A41,'Data shares'!$C:$FA,154)*100</f>
        <v>22.11</v>
      </c>
      <c r="F41" s="173">
        <f>C41/B41</f>
        <v>0.2187609230154631</v>
      </c>
    </row>
    <row r="42" spans="1:6" x14ac:dyDescent="0.25">
      <c r="A42" s="99" t="s">
        <v>583</v>
      </c>
      <c r="B42" s="49">
        <v>61182611</v>
      </c>
      <c r="C42" s="49">
        <v>14615925</v>
      </c>
      <c r="D42" s="49">
        <v>8036770.9438504996</v>
      </c>
      <c r="E42" s="50">
        <f>VLOOKUP($A42,'Data shares'!$C:$FA,154)*100</f>
        <v>25.330000000000002</v>
      </c>
      <c r="F42" s="173">
        <f>C42/B42</f>
        <v>0.23889018074106055</v>
      </c>
    </row>
    <row r="43" spans="1:6" x14ac:dyDescent="0.25">
      <c r="A43" s="99" t="s">
        <v>610</v>
      </c>
      <c r="B43" s="49">
        <v>37147595</v>
      </c>
      <c r="C43" s="49">
        <v>7139175</v>
      </c>
      <c r="D43" s="49">
        <v>5360471.9115150003</v>
      </c>
      <c r="E43" s="50">
        <f>VLOOKUP($A43,'Data shares'!$C:$FA,154)*100</f>
        <v>19.28</v>
      </c>
      <c r="F43" s="173">
        <f>C43/B43</f>
        <v>0.19218404313926649</v>
      </c>
    </row>
    <row r="44" spans="1:6" x14ac:dyDescent="0.25">
      <c r="A44" s="99" t="s">
        <v>196</v>
      </c>
      <c r="B44" s="49">
        <v>504315430</v>
      </c>
      <c r="C44" s="49">
        <v>320503500</v>
      </c>
      <c r="D44" s="49">
        <v>231574601.63749501</v>
      </c>
      <c r="E44" s="50">
        <f>VLOOKUP($A44,'Data shares'!$C:$FA,154)*100</f>
        <v>64.010000000000005</v>
      </c>
      <c r="F44" s="173">
        <f>C44/B44</f>
        <v>0.63552189945883675</v>
      </c>
    </row>
    <row r="45" spans="1:6" x14ac:dyDescent="0.25">
      <c r="A45" s="99" t="s">
        <v>596</v>
      </c>
      <c r="B45" s="49">
        <v>26647500</v>
      </c>
      <c r="C45" s="49">
        <v>19193325</v>
      </c>
      <c r="D45" s="49">
        <v>9879167.5590230003</v>
      </c>
      <c r="E45" s="50">
        <f>VLOOKUP($A45,'Data shares'!$C:$FA,154)*100</f>
        <v>72.72999999999999</v>
      </c>
      <c r="F45" s="173">
        <f>C45/B45</f>
        <v>0.72026737967914434</v>
      </c>
    </row>
    <row r="46" spans="1:6" x14ac:dyDescent="0.25">
      <c r="A46" s="99" t="s">
        <v>611</v>
      </c>
      <c r="B46" s="49">
        <v>103080397</v>
      </c>
      <c r="C46" s="49">
        <v>24180800</v>
      </c>
      <c r="D46" s="49">
        <v>19213248.175796501</v>
      </c>
      <c r="E46" s="50">
        <f>VLOOKUP($A46,'Data shares'!$C:$FA,154)*100</f>
        <v>23.580000000000002</v>
      </c>
      <c r="F46" s="173">
        <f>C46/B46</f>
        <v>0.23458194480954511</v>
      </c>
    </row>
    <row r="47" spans="1:6" x14ac:dyDescent="0.25">
      <c r="A47" s="99" t="s">
        <v>198</v>
      </c>
      <c r="B47" s="49">
        <v>63646863</v>
      </c>
      <c r="C47" s="49">
        <v>19716875</v>
      </c>
      <c r="D47" s="49">
        <v>17023304.249087501</v>
      </c>
      <c r="E47" s="50">
        <f>VLOOKUP($A47,'Data shares'!$C:$FA,154)*100</f>
        <v>31.14</v>
      </c>
      <c r="F47" s="173">
        <f>C47/B47</f>
        <v>0.30978549563393248</v>
      </c>
    </row>
    <row r="48" spans="1:6" x14ac:dyDescent="0.25">
      <c r="A48" s="99" t="s">
        <v>199</v>
      </c>
      <c r="B48" s="49">
        <v>76385219</v>
      </c>
      <c r="C48" s="49">
        <v>17762275</v>
      </c>
      <c r="D48" s="49">
        <v>14906640.008467199</v>
      </c>
      <c r="E48" s="50">
        <f>VLOOKUP($A48,'Data shares'!$C:$FA,154)*100</f>
        <v>23.51</v>
      </c>
      <c r="F48" s="173">
        <f>C48/B48</f>
        <v>0.23253549878543911</v>
      </c>
    </row>
    <row r="49" spans="1:6" x14ac:dyDescent="0.25">
      <c r="A49" s="99" t="s">
        <v>200</v>
      </c>
      <c r="B49" s="49">
        <v>320531323</v>
      </c>
      <c r="C49" s="49">
        <v>88396650</v>
      </c>
      <c r="D49" s="49">
        <v>57079093.404676497</v>
      </c>
      <c r="E49" s="50">
        <f>VLOOKUP($A49,'Data shares'!$C:$FA,154)*100</f>
        <v>29.84</v>
      </c>
      <c r="F49" s="173">
        <f>C49/B49</f>
        <v>0.27578162774438114</v>
      </c>
    </row>
    <row r="50" spans="1:6" x14ac:dyDescent="0.25">
      <c r="A50" s="99" t="s">
        <v>694</v>
      </c>
      <c r="B50" s="49">
        <v>12661431</v>
      </c>
      <c r="C50" s="49">
        <v>3985600</v>
      </c>
      <c r="D50" s="49">
        <v>2805734.9011960002</v>
      </c>
      <c r="E50" s="50">
        <f>VLOOKUP($A50,'Data shares'!$C:$FA,154)*100</f>
        <v>31.56</v>
      </c>
      <c r="F50" s="173">
        <f>C50/B50</f>
        <v>0.31478274454127658</v>
      </c>
    </row>
    <row r="51" spans="1:6" x14ac:dyDescent="0.25">
      <c r="A51" s="99" t="s">
        <v>470</v>
      </c>
      <c r="B51" s="49">
        <v>50256271</v>
      </c>
      <c r="C51" s="49">
        <v>20572900</v>
      </c>
      <c r="D51" s="49">
        <v>15612328.275449701</v>
      </c>
      <c r="E51" s="50">
        <f>VLOOKUP($A51,'Data shares'!$C:$FA,154)*100</f>
        <v>42.27</v>
      </c>
      <c r="F51" s="173">
        <f>C51/B51</f>
        <v>0.40935985879254749</v>
      </c>
    </row>
    <row r="52" spans="1:6" x14ac:dyDescent="0.25">
      <c r="A52" s="99" t="s">
        <v>201</v>
      </c>
      <c r="B52" s="49">
        <v>19054573</v>
      </c>
      <c r="C52" s="49">
        <v>7176625</v>
      </c>
      <c r="D52" s="49">
        <v>4752509.3455962501</v>
      </c>
      <c r="E52" s="50">
        <f>VLOOKUP($A52,'Data shares'!$C:$FA,154)*100</f>
        <v>37.99</v>
      </c>
      <c r="F52" s="173">
        <f>C52/B52</f>
        <v>0.376635309539605</v>
      </c>
    </row>
    <row r="53" spans="1:6" x14ac:dyDescent="0.25">
      <c r="A53" s="99" t="s">
        <v>202</v>
      </c>
      <c r="B53" s="49">
        <v>51639257</v>
      </c>
      <c r="C53" s="49">
        <v>37822500</v>
      </c>
      <c r="D53" s="49">
        <v>22840708.792412501</v>
      </c>
      <c r="E53" s="50">
        <f>VLOOKUP($A53,'Data shares'!$C:$FA,154)*100</f>
        <v>74.050000000000011</v>
      </c>
      <c r="F53" s="173">
        <f>C53/B53</f>
        <v>0.73243695198790326</v>
      </c>
    </row>
    <row r="54" spans="1:6" x14ac:dyDescent="0.25">
      <c r="A54" s="99" t="s">
        <v>523</v>
      </c>
      <c r="B54" s="49">
        <v>96587231</v>
      </c>
      <c r="C54" s="49">
        <v>60918800</v>
      </c>
      <c r="D54" s="49">
        <v>48905548.016443998</v>
      </c>
      <c r="E54" s="50">
        <f>VLOOKUP($A54,'Data shares'!$C:$FA,154)*100</f>
        <v>63.23</v>
      </c>
      <c r="F54" s="173">
        <f>C54/B54</f>
        <v>0.63071276988984182</v>
      </c>
    </row>
    <row r="55" spans="1:6" x14ac:dyDescent="0.25">
      <c r="A55" s="99" t="s">
        <v>203</v>
      </c>
      <c r="B55" s="49">
        <v>20374200</v>
      </c>
      <c r="C55" s="49">
        <v>3957800</v>
      </c>
      <c r="D55" s="49">
        <v>3315737.7361340001</v>
      </c>
      <c r="E55" s="50">
        <f>VLOOKUP($A55,'Data shares'!$C:$FA,154)*100</f>
        <v>19.62</v>
      </c>
      <c r="F55" s="173">
        <f>C55/B55</f>
        <v>0.19425547996976569</v>
      </c>
    </row>
    <row r="56" spans="1:6" x14ac:dyDescent="0.25">
      <c r="A56" s="99" t="s">
        <v>204</v>
      </c>
      <c r="B56" s="49">
        <v>76827821</v>
      </c>
      <c r="C56" s="49">
        <v>28353750</v>
      </c>
      <c r="D56" s="49">
        <v>21711074.575775001</v>
      </c>
      <c r="E56" s="50">
        <f>VLOOKUP($A56,'Data shares'!$C:$FA,154)*100</f>
        <v>37.01</v>
      </c>
      <c r="F56" s="173">
        <f>C56/B56</f>
        <v>0.36905576171423632</v>
      </c>
    </row>
    <row r="57" spans="1:6" x14ac:dyDescent="0.25">
      <c r="A57" s="99" t="s">
        <v>524</v>
      </c>
      <c r="B57" s="49">
        <v>12425160</v>
      </c>
      <c r="C57" s="49">
        <v>4258800</v>
      </c>
      <c r="D57" s="49">
        <v>3457680.9329205002</v>
      </c>
      <c r="E57" s="50"/>
      <c r="F57" s="173">
        <f>C57/B57</f>
        <v>0.34275614961899886</v>
      </c>
    </row>
    <row r="58" spans="1:6" x14ac:dyDescent="0.25">
      <c r="A58" s="99" t="s">
        <v>599</v>
      </c>
      <c r="B58" s="49">
        <v>83072620</v>
      </c>
      <c r="C58" s="49">
        <v>34870375</v>
      </c>
      <c r="D58" s="49">
        <v>28582342.787561201</v>
      </c>
      <c r="E58" s="50">
        <f>VLOOKUP($A58,'Data shares'!$C:$FA,154)*100</f>
        <v>42.059999999999995</v>
      </c>
      <c r="F58" s="173">
        <f>C58/B58</f>
        <v>0.41975773726650251</v>
      </c>
    </row>
    <row r="59" spans="1:6" x14ac:dyDescent="0.25">
      <c r="A59" s="99" t="s">
        <v>205</v>
      </c>
      <c r="B59" s="49">
        <v>15815194</v>
      </c>
      <c r="C59" s="49">
        <v>3001900</v>
      </c>
      <c r="D59" s="49">
        <v>2185048.473458</v>
      </c>
      <c r="E59" s="50">
        <f>VLOOKUP($A59,'Data shares'!$C:$FA,154)*100</f>
        <v>19.18</v>
      </c>
      <c r="F59" s="173">
        <f>C59/B59</f>
        <v>0.18981113984438003</v>
      </c>
    </row>
    <row r="60" spans="1:6" x14ac:dyDescent="0.25">
      <c r="A60" s="99" t="s">
        <v>512</v>
      </c>
      <c r="B60" s="49">
        <v>6478285</v>
      </c>
      <c r="C60" s="49">
        <v>4001450</v>
      </c>
      <c r="D60" s="49">
        <v>2204167.9278334999</v>
      </c>
      <c r="E60" s="50">
        <f>VLOOKUP($A60,'Data shares'!$C:$FA,154)*100</f>
        <v>63.260000000000005</v>
      </c>
      <c r="F60" s="173">
        <f>C60/B60</f>
        <v>0.61767118921134223</v>
      </c>
    </row>
    <row r="61" spans="1:6" x14ac:dyDescent="0.25">
      <c r="A61" s="99" t="s">
        <v>207</v>
      </c>
      <c r="B61" s="49">
        <v>96251298</v>
      </c>
      <c r="C61" s="49">
        <v>50151050</v>
      </c>
      <c r="D61" s="49">
        <v>39341860.490786202</v>
      </c>
      <c r="E61" s="50">
        <f>VLOOKUP($A61,'Data shares'!$C:$FA,154)*100</f>
        <v>52.42</v>
      </c>
      <c r="F61" s="173">
        <f>C61/B61</f>
        <v>0.52104284349495211</v>
      </c>
    </row>
    <row r="62" spans="1:6" x14ac:dyDescent="0.25">
      <c r="A62" s="99" t="s">
        <v>582</v>
      </c>
      <c r="B62" s="49">
        <v>16494391</v>
      </c>
      <c r="C62" s="49">
        <v>4685850</v>
      </c>
      <c r="D62" s="49">
        <v>3507895.2958304998</v>
      </c>
      <c r="E62" s="50">
        <f>VLOOKUP($A62,'Data shares'!$C:$FA,154)*100</f>
        <v>28.660000000000004</v>
      </c>
      <c r="F62" s="173">
        <f>C62/B62</f>
        <v>0.28408748161723585</v>
      </c>
    </row>
    <row r="63" spans="1:6" x14ac:dyDescent="0.25">
      <c r="A63" s="99" t="s">
        <v>208</v>
      </c>
      <c r="B63" s="49">
        <v>61026255</v>
      </c>
      <c r="C63" s="49">
        <v>21270625</v>
      </c>
      <c r="D63" s="49">
        <v>15278995.553293699</v>
      </c>
      <c r="E63" s="50">
        <f>VLOOKUP($A63,'Data shares'!$C:$FA,154)*100</f>
        <v>35.880000000000003</v>
      </c>
      <c r="F63" s="173">
        <f>C63/B63</f>
        <v>0.34854875168073152</v>
      </c>
    </row>
    <row r="64" spans="1:6" x14ac:dyDescent="0.25">
      <c r="A64" s="99" t="s">
        <v>209</v>
      </c>
      <c r="B64" s="49">
        <v>20960143</v>
      </c>
      <c r="C64" s="49">
        <v>4903000</v>
      </c>
      <c r="D64" s="49">
        <v>3184137.3740900001</v>
      </c>
      <c r="E64" s="50">
        <f>VLOOKUP($A64,'Data shares'!$C:$FA,154)*100</f>
        <v>23.630000000000003</v>
      </c>
      <c r="F64" s="173">
        <f>C64/B64</f>
        <v>0.23392015980043648</v>
      </c>
    </row>
    <row r="65" spans="1:6" x14ac:dyDescent="0.25">
      <c r="A65" s="99" t="s">
        <v>664</v>
      </c>
      <c r="B65" s="49">
        <v>1366821859</v>
      </c>
      <c r="C65" s="49">
        <v>240996500</v>
      </c>
      <c r="D65" s="49">
        <v>185801580.419664</v>
      </c>
      <c r="E65" s="50">
        <f>VLOOKUP($A65,'Data shares'!$C:$FA,154)*100</f>
        <v>17.77</v>
      </c>
      <c r="F65" s="173">
        <f>C65/B65</f>
        <v>0.17631888048404412</v>
      </c>
    </row>
    <row r="66" spans="1:6" x14ac:dyDescent="0.25">
      <c r="A66" s="99" t="s">
        <v>211</v>
      </c>
      <c r="B66" s="49">
        <v>50211048</v>
      </c>
      <c r="C66" s="49">
        <v>34412400</v>
      </c>
      <c r="D66" s="49">
        <v>14575991.494212</v>
      </c>
      <c r="E66" s="50"/>
      <c r="F66" s="173">
        <f>C66/B66</f>
        <v>0.68535514335410808</v>
      </c>
    </row>
    <row r="67" spans="1:6" x14ac:dyDescent="0.25">
      <c r="A67" s="99" t="s">
        <v>212</v>
      </c>
      <c r="B67" s="49">
        <v>359450597</v>
      </c>
      <c r="C67" s="49">
        <v>96235000</v>
      </c>
      <c r="D67" s="49">
        <v>78226044.516749993</v>
      </c>
      <c r="E67" s="50">
        <f>VLOOKUP($A67,'Data shares'!$C:$FA,154)*100</f>
        <v>27.33</v>
      </c>
      <c r="F67" s="173">
        <f>C67/B67</f>
        <v>0.26772802939592838</v>
      </c>
    </row>
    <row r="68" spans="1:6" x14ac:dyDescent="0.25">
      <c r="A68" s="99" t="s">
        <v>698</v>
      </c>
      <c r="B68" s="49">
        <v>736885</v>
      </c>
      <c r="C68" s="49">
        <v>263550</v>
      </c>
      <c r="D68" s="49">
        <v>160792.66162075</v>
      </c>
      <c r="E68" s="50">
        <f>VLOOKUP($A68,'Data shares'!$C:$FA,154)*100</f>
        <v>35.9</v>
      </c>
      <c r="F68" s="173">
        <f>C68/B68</f>
        <v>0.35765417941741251</v>
      </c>
    </row>
    <row r="69" spans="1:6" x14ac:dyDescent="0.25">
      <c r="A69" s="99" t="s">
        <v>674</v>
      </c>
      <c r="B69" s="49">
        <v>70894446</v>
      </c>
      <c r="C69" s="49">
        <v>11163100</v>
      </c>
      <c r="D69" s="49">
        <v>9269111.8934537508</v>
      </c>
      <c r="E69" s="50">
        <f>VLOOKUP($A69,'Data shares'!$C:$FA,154)*100</f>
        <v>15.879999999999999</v>
      </c>
      <c r="F69" s="173">
        <f>C69/B69</f>
        <v>0.15746085384460159</v>
      </c>
    </row>
    <row r="70" spans="1:6" x14ac:dyDescent="0.25">
      <c r="A70" s="99" t="s">
        <v>213</v>
      </c>
      <c r="B70" s="49">
        <v>471255857</v>
      </c>
      <c r="C70" s="49">
        <v>109096450</v>
      </c>
      <c r="D70" s="49">
        <v>77148291.353475496</v>
      </c>
      <c r="E70" s="50">
        <f>VLOOKUP($A70,'Data shares'!$C:$FA,154)*100</f>
        <v>23.35</v>
      </c>
      <c r="F70" s="173">
        <f>C70/B70</f>
        <v>0.23150152593222836</v>
      </c>
    </row>
    <row r="71" spans="1:6" x14ac:dyDescent="0.25">
      <c r="A71" s="99" t="s">
        <v>214</v>
      </c>
      <c r="B71" s="49">
        <v>15844372</v>
      </c>
      <c r="C71" s="49">
        <v>13864500</v>
      </c>
      <c r="D71" s="49">
        <v>10319006.1961987</v>
      </c>
      <c r="E71" s="50">
        <f>VLOOKUP($A71,'Data shares'!$C:$FA,154)*100</f>
        <v>88.12</v>
      </c>
      <c r="F71" s="173">
        <f>C71/B71</f>
        <v>0.87504257032086852</v>
      </c>
    </row>
    <row r="72" spans="1:6" x14ac:dyDescent="0.25">
      <c r="A72" s="99" t="s">
        <v>630</v>
      </c>
      <c r="B72" s="49">
        <v>534704421</v>
      </c>
      <c r="C72" s="49">
        <v>156770100</v>
      </c>
      <c r="D72" s="49">
        <v>109793000.97272199</v>
      </c>
      <c r="E72" s="50">
        <f>VLOOKUP($A72,'Data shares'!$C:$FA,154)*100</f>
        <v>29.470000000000002</v>
      </c>
      <c r="F72" s="173">
        <f>C72/B72</f>
        <v>0.29319020723039807</v>
      </c>
    </row>
    <row r="73" spans="1:6" x14ac:dyDescent="0.25">
      <c r="A73" s="99" t="s">
        <v>697</v>
      </c>
      <c r="B73" s="49">
        <v>6329596</v>
      </c>
      <c r="C73" s="49">
        <v>3259300</v>
      </c>
      <c r="D73" s="49">
        <v>2044889.2379739999</v>
      </c>
      <c r="E73" s="50">
        <f>VLOOKUP($A73,'Data shares'!$C:$FA,154)*100</f>
        <v>52.17</v>
      </c>
      <c r="F73" s="173">
        <f>C73/B73</f>
        <v>0.51493017879814129</v>
      </c>
    </row>
    <row r="74" spans="1:6" x14ac:dyDescent="0.25">
      <c r="A74" s="99" t="s">
        <v>217</v>
      </c>
      <c r="B74" s="49">
        <v>53250524</v>
      </c>
      <c r="C74" s="49">
        <v>13067500</v>
      </c>
      <c r="D74" s="49">
        <v>11879473.993249999</v>
      </c>
      <c r="E74" s="50">
        <f>VLOOKUP($A74,'Data shares'!$C:$FA,154)*100</f>
        <v>24.65</v>
      </c>
      <c r="F74" s="173">
        <f>C74/B74</f>
        <v>0.24539664623769711</v>
      </c>
    </row>
    <row r="75" spans="1:6" x14ac:dyDescent="0.25">
      <c r="A75" s="99" t="s">
        <v>218</v>
      </c>
      <c r="B75" s="49">
        <v>23870110</v>
      </c>
      <c r="C75" s="49">
        <v>10008100</v>
      </c>
      <c r="D75" s="49">
        <v>7733944.4953889996</v>
      </c>
      <c r="E75" s="50">
        <f>VLOOKUP($A75,'Data shares'!$C:$FA,154)*100</f>
        <v>42.120000000000005</v>
      </c>
      <c r="F75" s="173">
        <f>C75/B75</f>
        <v>0.41927330875308072</v>
      </c>
    </row>
    <row r="76" spans="1:6" x14ac:dyDescent="0.25">
      <c r="A76" s="99" t="s">
        <v>219</v>
      </c>
      <c r="B76" s="49">
        <v>38401443</v>
      </c>
      <c r="C76" s="49">
        <v>16877750</v>
      </c>
      <c r="D76" s="49">
        <v>14464529.066395</v>
      </c>
      <c r="E76" s="50">
        <f>VLOOKUP($A76,'Data shares'!$C:$FA,154)*100</f>
        <v>44.12</v>
      </c>
      <c r="F76" s="173">
        <f>C76/B76</f>
        <v>0.43950822368836506</v>
      </c>
    </row>
    <row r="77" spans="1:6" x14ac:dyDescent="0.25">
      <c r="A77" s="99" t="s">
        <v>513</v>
      </c>
      <c r="B77" s="49">
        <v>28450886</v>
      </c>
      <c r="C77" s="49">
        <v>9268350</v>
      </c>
      <c r="D77" s="49">
        <v>6305232.6388095003</v>
      </c>
      <c r="E77" s="50"/>
      <c r="F77" s="173">
        <f>C77/B77</f>
        <v>0.32576665626511597</v>
      </c>
    </row>
    <row r="78" spans="1:6" x14ac:dyDescent="0.25">
      <c r="A78" s="99" t="s">
        <v>220</v>
      </c>
      <c r="B78" s="49">
        <v>29751886</v>
      </c>
      <c r="C78" s="49">
        <v>11724000</v>
      </c>
      <c r="D78" s="49">
        <v>9225892.7908549998</v>
      </c>
      <c r="E78" s="50">
        <f>VLOOKUP($A78,'Data shares'!$C:$FA,154)*100</f>
        <v>39.58</v>
      </c>
      <c r="F78" s="173">
        <f>C78/B78</f>
        <v>0.39405905225638471</v>
      </c>
    </row>
    <row r="79" spans="1:6" x14ac:dyDescent="0.25">
      <c r="A79" s="99" t="s">
        <v>222</v>
      </c>
      <c r="B79" s="49">
        <v>145140505</v>
      </c>
      <c r="C79" s="49">
        <v>47142900</v>
      </c>
      <c r="D79" s="49">
        <v>34849988.580664001</v>
      </c>
      <c r="E79" s="50">
        <f>VLOOKUP($A79,'Data shares'!$C:$FA,154)*100</f>
        <v>32.68</v>
      </c>
      <c r="F79" s="173">
        <f>C79/B79</f>
        <v>0.32480870863719263</v>
      </c>
    </row>
    <row r="80" spans="1:6" x14ac:dyDescent="0.25">
      <c r="A80" s="99" t="s">
        <v>475</v>
      </c>
      <c r="B80" s="49">
        <v>30592324</v>
      </c>
      <c r="C80" s="49">
        <v>7467900</v>
      </c>
      <c r="D80" s="49">
        <v>6705254.6195520004</v>
      </c>
      <c r="E80" s="50">
        <f>VLOOKUP($A80,'Data shares'!$C:$FA,154)*100</f>
        <v>24.5</v>
      </c>
      <c r="F80" s="173">
        <f>C80/B80</f>
        <v>0.24411025458543131</v>
      </c>
    </row>
    <row r="81" spans="1:6" x14ac:dyDescent="0.25">
      <c r="A81" s="99" t="s">
        <v>224</v>
      </c>
      <c r="B81" s="49">
        <v>1496665645</v>
      </c>
      <c r="C81" s="49">
        <v>425061850</v>
      </c>
      <c r="D81" s="49">
        <v>341234850.41020697</v>
      </c>
      <c r="E81" s="50">
        <f>VLOOKUP($A81,'Data shares'!$C:$FA,154)*100</f>
        <v>28.59</v>
      </c>
      <c r="F81" s="173">
        <f>C81/B81</f>
        <v>0.28400588429354906</v>
      </c>
    </row>
    <row r="82" spans="1:6" x14ac:dyDescent="0.25">
      <c r="A82" s="99" t="s">
        <v>225</v>
      </c>
      <c r="B82" s="49">
        <v>156090005</v>
      </c>
      <c r="C82" s="49">
        <v>63409500</v>
      </c>
      <c r="D82" s="49">
        <v>52789234.345452003</v>
      </c>
      <c r="E82" s="50">
        <f>VLOOKUP($A82,'Data shares'!$C:$FA,154)*100</f>
        <v>40.75</v>
      </c>
      <c r="F82" s="173">
        <f>C82/B82</f>
        <v>0.40623677345644266</v>
      </c>
    </row>
    <row r="83" spans="1:6" x14ac:dyDescent="0.25">
      <c r="A83" s="99" t="s">
        <v>226</v>
      </c>
      <c r="B83" s="49">
        <v>19589014</v>
      </c>
      <c r="C83" s="49">
        <v>5749050</v>
      </c>
      <c r="D83" s="49">
        <v>3752732.2980525</v>
      </c>
      <c r="E83" s="50">
        <f>VLOOKUP($A83,'Data shares'!$C:$FA,154)*100</f>
        <v>29.65</v>
      </c>
      <c r="F83" s="173">
        <f>C83/B83</f>
        <v>0.29348337797910606</v>
      </c>
    </row>
    <row r="84" spans="1:6" x14ac:dyDescent="0.25">
      <c r="A84" s="99" t="s">
        <v>228</v>
      </c>
      <c r="B84" s="49">
        <v>218611634</v>
      </c>
      <c r="C84" s="49">
        <v>41986700</v>
      </c>
      <c r="D84" s="49">
        <v>33244555.704346001</v>
      </c>
      <c r="E84" s="50">
        <f>VLOOKUP($A84,'Data shares'!$C:$FA,154)*100</f>
        <v>19.55</v>
      </c>
      <c r="F84" s="173">
        <f>C84/B84</f>
        <v>0.19206068419945116</v>
      </c>
    </row>
    <row r="85" spans="1:6" x14ac:dyDescent="0.25">
      <c r="A85" s="99" t="s">
        <v>229</v>
      </c>
      <c r="B85" s="49">
        <v>143933168</v>
      </c>
      <c r="C85" s="49">
        <v>46417050</v>
      </c>
      <c r="D85" s="49">
        <v>31205358.070341699</v>
      </c>
      <c r="E85" s="50">
        <f>VLOOKUP($A85,'Data shares'!$C:$FA,154)*100</f>
        <v>32.6</v>
      </c>
      <c r="F85" s="173">
        <f>C85/B85</f>
        <v>0.32249029632975218</v>
      </c>
    </row>
    <row r="86" spans="1:6" x14ac:dyDescent="0.25">
      <c r="A86" s="99" t="s">
        <v>230</v>
      </c>
      <c r="B86" s="49">
        <v>89517840</v>
      </c>
      <c r="C86" s="49">
        <v>21300300</v>
      </c>
      <c r="D86" s="49">
        <v>15364624.077156</v>
      </c>
      <c r="E86" s="50">
        <f>VLOOKUP($A86,'Data shares'!$C:$FA,154)*100</f>
        <v>24.03</v>
      </c>
      <c r="F86" s="173">
        <f>C86/B86</f>
        <v>0.23794474933711537</v>
      </c>
    </row>
    <row r="87" spans="1:6" x14ac:dyDescent="0.25">
      <c r="A87" s="99" t="s">
        <v>665</v>
      </c>
      <c r="B87" s="49">
        <v>241870587</v>
      </c>
      <c r="C87" s="49">
        <v>50183350</v>
      </c>
      <c r="D87" s="49">
        <v>32709420.921225999</v>
      </c>
      <c r="E87" s="50">
        <f>VLOOKUP($A87,'Data shares'!$C:$FA,154)*100</f>
        <v>21.060000000000002</v>
      </c>
      <c r="F87" s="173">
        <f>C87/B87</f>
        <v>0.20748016789656198</v>
      </c>
    </row>
    <row r="88" spans="1:6" x14ac:dyDescent="0.25">
      <c r="A88" s="99" t="s">
        <v>692</v>
      </c>
      <c r="B88" s="49">
        <v>21329205</v>
      </c>
      <c r="C88" s="49">
        <v>11262900</v>
      </c>
      <c r="D88" s="49">
        <v>10318308.828118499</v>
      </c>
      <c r="E88" s="50">
        <f>VLOOKUP($A88,'Data shares'!$C:$FA,154)*100</f>
        <v>53.39</v>
      </c>
      <c r="F88" s="173">
        <f>C88/B88</f>
        <v>0.52805062354644727</v>
      </c>
    </row>
    <row r="89" spans="1:6" x14ac:dyDescent="0.25">
      <c r="A89" s="99" t="s">
        <v>232</v>
      </c>
      <c r="B89" s="49">
        <v>668616020</v>
      </c>
      <c r="C89" s="49">
        <v>181871900</v>
      </c>
      <c r="D89" s="49">
        <v>155329396.79359201</v>
      </c>
      <c r="E89" s="50">
        <f>VLOOKUP($A89,'Data shares'!$C:$FA,154)*100</f>
        <v>27.52</v>
      </c>
      <c r="F89" s="173">
        <f>C89/B89</f>
        <v>0.27201247735583722</v>
      </c>
    </row>
    <row r="90" spans="1:6" x14ac:dyDescent="0.25">
      <c r="A90" s="99" t="s">
        <v>472</v>
      </c>
      <c r="B90" s="49">
        <v>27086521</v>
      </c>
      <c r="C90" s="49">
        <v>5059275</v>
      </c>
      <c r="D90" s="49">
        <v>4621099.4177042497</v>
      </c>
      <c r="E90" s="50">
        <f>VLOOKUP($A90,'Data shares'!$C:$FA,154)*100</f>
        <v>18.8</v>
      </c>
      <c r="F90" s="173">
        <f>C90/B90</f>
        <v>0.18678201604406855</v>
      </c>
    </row>
    <row r="91" spans="1:6" x14ac:dyDescent="0.25">
      <c r="A91" s="99" t="s">
        <v>233</v>
      </c>
      <c r="B91" s="49">
        <v>58892926</v>
      </c>
      <c r="C91" s="49">
        <v>18325175</v>
      </c>
      <c r="D91" s="49">
        <v>15702239.039697699</v>
      </c>
      <c r="E91" s="50">
        <f>VLOOKUP($A91,'Data shares'!$C:$FA,154)*100</f>
        <v>31.180000000000003</v>
      </c>
      <c r="F91" s="173">
        <f>C91/B91</f>
        <v>0.3111608854346955</v>
      </c>
    </row>
    <row r="92" spans="1:6" x14ac:dyDescent="0.25">
      <c r="A92" s="99" t="s">
        <v>234</v>
      </c>
      <c r="B92" s="49">
        <v>12096038468</v>
      </c>
      <c r="C92" s="49">
        <v>7240346025</v>
      </c>
      <c r="D92" s="49">
        <v>4872258309.4520397</v>
      </c>
      <c r="E92" s="50">
        <f>VLOOKUP($A92,'Data shares'!$C:$FA,154)*100</f>
        <v>60.58</v>
      </c>
      <c r="F92" s="173">
        <f>C92/B92</f>
        <v>0.59857167651659626</v>
      </c>
    </row>
    <row r="93" spans="1:6" x14ac:dyDescent="0.25">
      <c r="A93" s="99" t="s">
        <v>235</v>
      </c>
      <c r="B93" s="49">
        <v>1101871266</v>
      </c>
      <c r="C93" s="49">
        <v>515523050</v>
      </c>
      <c r="D93" s="49">
        <v>400837939.44935602</v>
      </c>
      <c r="E93" s="50">
        <f>VLOOKUP($A93,'Data shares'!$C:$FA,154)*100</f>
        <v>47.14</v>
      </c>
      <c r="F93" s="173">
        <f>C93/B93</f>
        <v>0.46786141530983527</v>
      </c>
    </row>
    <row r="94" spans="1:6" x14ac:dyDescent="0.25">
      <c r="A94" s="99" t="s">
        <v>514</v>
      </c>
      <c r="B94" s="49">
        <v>133395043</v>
      </c>
      <c r="C94" s="49">
        <v>97554450</v>
      </c>
      <c r="D94" s="49">
        <v>63675111.5722875</v>
      </c>
      <c r="E94" s="50">
        <f>VLOOKUP($A94,'Data shares'!$C:$FA,154)*100</f>
        <v>73.42</v>
      </c>
      <c r="F94" s="173">
        <f>C94/B94</f>
        <v>0.73131990369387267</v>
      </c>
    </row>
    <row r="95" spans="1:6" x14ac:dyDescent="0.25">
      <c r="A95" s="99" t="s">
        <v>501</v>
      </c>
      <c r="B95" s="49">
        <v>123332004</v>
      </c>
      <c r="C95" s="49">
        <v>29487000</v>
      </c>
      <c r="D95" s="49">
        <v>24309093.752440002</v>
      </c>
      <c r="E95" s="50">
        <f>VLOOKUP($A95,'Data shares'!$C:$FA,154)*100</f>
        <v>24.02</v>
      </c>
      <c r="F95" s="173">
        <f>C95/B95</f>
        <v>0.23908636074704503</v>
      </c>
    </row>
    <row r="96" spans="1:6" x14ac:dyDescent="0.25">
      <c r="A96" s="99" t="s">
        <v>577</v>
      </c>
      <c r="B96" s="49">
        <v>52862157</v>
      </c>
      <c r="C96" s="49">
        <v>14958000</v>
      </c>
      <c r="D96" s="49">
        <v>10518457.774110001</v>
      </c>
      <c r="E96" s="50">
        <f>VLOOKUP($A96,'Data shares'!$C:$FA,154)*100</f>
        <v>28.63</v>
      </c>
      <c r="F96" s="173">
        <f>C96/B96</f>
        <v>0.28296234676916421</v>
      </c>
    </row>
    <row r="97" spans="1:6" x14ac:dyDescent="0.25">
      <c r="A97" s="99" t="s">
        <v>238</v>
      </c>
      <c r="B97" s="49">
        <v>33878797</v>
      </c>
      <c r="C97" s="49">
        <v>10268550</v>
      </c>
      <c r="D97" s="49">
        <v>7306948.6902254997</v>
      </c>
      <c r="E97" s="50"/>
      <c r="F97" s="173">
        <f>C97/B97</f>
        <v>0.30309665363855748</v>
      </c>
    </row>
    <row r="98" spans="1:6" x14ac:dyDescent="0.25">
      <c r="A98" s="99" t="s">
        <v>239</v>
      </c>
      <c r="B98" s="49">
        <v>93808799</v>
      </c>
      <c r="C98" s="49">
        <v>41396600</v>
      </c>
      <c r="D98" s="49">
        <v>36011448.765138</v>
      </c>
      <c r="E98" s="50">
        <f>VLOOKUP($A98,'Data shares'!$C:$FA,154)*100</f>
        <v>44.22</v>
      </c>
      <c r="F98" s="173">
        <f>C98/B98</f>
        <v>0.44128696285729019</v>
      </c>
    </row>
    <row r="99" spans="1:6" x14ac:dyDescent="0.25">
      <c r="A99" s="99" t="s">
        <v>473</v>
      </c>
      <c r="B99" s="49">
        <v>193625858</v>
      </c>
      <c r="C99" s="49">
        <v>121983500</v>
      </c>
      <c r="D99" s="49">
        <v>85109983.196072996</v>
      </c>
      <c r="E99" s="50">
        <f>VLOOKUP($A99,'Data shares'!$C:$FA,154)*100</f>
        <v>63.29</v>
      </c>
      <c r="F99" s="173">
        <f>C99/B99</f>
        <v>0.62999591717754966</v>
      </c>
    </row>
    <row r="100" spans="1:6" x14ac:dyDescent="0.25">
      <c r="A100" s="99" t="s">
        <v>240</v>
      </c>
      <c r="B100" s="49">
        <v>475237614</v>
      </c>
      <c r="C100" s="49">
        <v>116789200</v>
      </c>
      <c r="D100" s="49">
        <v>84975987.503015995</v>
      </c>
      <c r="E100" s="50">
        <f>VLOOKUP($A100,'Data shares'!$C:$FA,154)*100</f>
        <v>24.75</v>
      </c>
      <c r="F100" s="173">
        <f>C100/B100</f>
        <v>0.24574906648698056</v>
      </c>
    </row>
    <row r="101" spans="1:6" x14ac:dyDescent="0.25">
      <c r="A101" s="99" t="s">
        <v>666</v>
      </c>
      <c r="B101" s="49">
        <v>144708707</v>
      </c>
      <c r="C101" s="49">
        <v>99278450</v>
      </c>
      <c r="D101" s="49">
        <v>70323309.986649707</v>
      </c>
      <c r="E101" s="50">
        <f>VLOOKUP($A101,'Data shares'!$C:$FA,154)*100</f>
        <v>68.86</v>
      </c>
      <c r="F101" s="173">
        <f>C101/B101</f>
        <v>0.68605719765017315</v>
      </c>
    </row>
    <row r="102" spans="1:6" x14ac:dyDescent="0.25">
      <c r="A102" s="99" t="s">
        <v>241</v>
      </c>
      <c r="B102" s="49">
        <v>684903861</v>
      </c>
      <c r="C102" s="49">
        <v>159363750</v>
      </c>
      <c r="D102" s="49">
        <v>99472721.346082494</v>
      </c>
      <c r="E102" s="50"/>
      <c r="F102" s="173">
        <f>C102/B102</f>
        <v>0.23268046666771527</v>
      </c>
    </row>
    <row r="103" spans="1:6" x14ac:dyDescent="0.25">
      <c r="A103" s="99" t="s">
        <v>662</v>
      </c>
      <c r="B103" s="49">
        <v>119011160</v>
      </c>
      <c r="C103" s="49">
        <v>71534825</v>
      </c>
      <c r="D103" s="49">
        <v>38164030.490538701</v>
      </c>
      <c r="E103" s="50">
        <f>VLOOKUP($A103,'Data shares'!$C:$FA,154)*100</f>
        <v>60.46</v>
      </c>
      <c r="F103" s="173">
        <f>C103/B103</f>
        <v>0.60107661331928874</v>
      </c>
    </row>
    <row r="104" spans="1:6" x14ac:dyDescent="0.25">
      <c r="A104" s="99" t="s">
        <v>591</v>
      </c>
      <c r="B104" s="49">
        <v>267310350</v>
      </c>
      <c r="C104" s="49">
        <v>97851375</v>
      </c>
      <c r="D104" s="49">
        <v>45931444.017807499</v>
      </c>
      <c r="E104" s="50">
        <f>VLOOKUP($A104,'Data shares'!$C:$FA,154)*100</f>
        <v>36.840000000000003</v>
      </c>
      <c r="F104" s="173">
        <f>C104/B104</f>
        <v>0.36605905831929064</v>
      </c>
    </row>
    <row r="105" spans="1:6" x14ac:dyDescent="0.25">
      <c r="A105" s="99" t="s">
        <v>242</v>
      </c>
      <c r="B105" s="49">
        <v>1317896781</v>
      </c>
      <c r="C105" s="49">
        <v>241958750</v>
      </c>
      <c r="D105" s="49">
        <v>164592553.812538</v>
      </c>
      <c r="E105" s="50">
        <f>VLOOKUP($A105,'Data shares'!$C:$FA,154)*100</f>
        <v>18.670000000000002</v>
      </c>
      <c r="F105" s="173">
        <f>C105/B105</f>
        <v>0.18359461339332309</v>
      </c>
    </row>
    <row r="106" spans="1:6" x14ac:dyDescent="0.25">
      <c r="A106" s="99" t="s">
        <v>243</v>
      </c>
      <c r="B106" s="49">
        <v>45844541</v>
      </c>
      <c r="C106" s="49">
        <v>13998125</v>
      </c>
      <c r="D106" s="49">
        <v>11350402.5953875</v>
      </c>
      <c r="E106" s="50">
        <f>VLOOKUP($A106,'Data shares'!$C:$FA,154)*100</f>
        <v>30.7</v>
      </c>
      <c r="F106" s="173">
        <f>C106/B106</f>
        <v>0.30533897154734302</v>
      </c>
    </row>
    <row r="107" spans="1:6" x14ac:dyDescent="0.25">
      <c r="A107" s="99" t="s">
        <v>569</v>
      </c>
      <c r="B107" s="49">
        <v>490240515</v>
      </c>
      <c r="C107" s="49">
        <v>223289950</v>
      </c>
      <c r="D107" s="49">
        <v>158372728.788223</v>
      </c>
      <c r="E107" s="50">
        <f>VLOOKUP($A107,'Data shares'!$C:$FA,154)*100</f>
        <v>45.81</v>
      </c>
      <c r="F107" s="173">
        <f>C107/B107</f>
        <v>0.45547020935224009</v>
      </c>
    </row>
    <row r="108" spans="1:6" x14ac:dyDescent="0.25">
      <c r="A108" s="99" t="s">
        <v>579</v>
      </c>
      <c r="B108" s="49">
        <v>75294901</v>
      </c>
      <c r="C108" s="49">
        <v>27545625</v>
      </c>
      <c r="D108" s="49">
        <v>21981105.641472999</v>
      </c>
      <c r="E108" s="50">
        <f>VLOOKUP($A108,'Data shares'!$C:$FA,154)*100</f>
        <v>36.840000000000003</v>
      </c>
      <c r="F108" s="173">
        <f>C108/B108</f>
        <v>0.36583652590233168</v>
      </c>
    </row>
    <row r="109" spans="1:6" x14ac:dyDescent="0.25">
      <c r="A109" s="99" t="s">
        <v>244</v>
      </c>
      <c r="B109" s="49">
        <v>133242960</v>
      </c>
      <c r="C109" s="49">
        <v>47291850</v>
      </c>
      <c r="D109" s="49">
        <v>43066762.7940697</v>
      </c>
      <c r="E109" s="50">
        <f>VLOOKUP($A109,'Data shares'!$C:$FA,154)*100</f>
        <v>35.589999999999996</v>
      </c>
      <c r="F109" s="173">
        <f>C109/B109</f>
        <v>0.35492944617861988</v>
      </c>
    </row>
    <row r="110" spans="1:6" x14ac:dyDescent="0.25">
      <c r="A110" s="99" t="s">
        <v>245</v>
      </c>
      <c r="B110" s="49">
        <v>58777851</v>
      </c>
      <c r="C110" s="49">
        <v>43780000</v>
      </c>
      <c r="D110" s="49">
        <v>30219937.592374999</v>
      </c>
      <c r="E110" s="50">
        <f>VLOOKUP($A110,'Data shares'!$C:$FA,154)*100</f>
        <v>75.38</v>
      </c>
      <c r="F110" s="173">
        <f>C110/B110</f>
        <v>0.74483839159073717</v>
      </c>
    </row>
    <row r="111" spans="1:6" x14ac:dyDescent="0.25">
      <c r="A111" s="99" t="s">
        <v>581</v>
      </c>
      <c r="B111" s="49">
        <v>57686748</v>
      </c>
      <c r="C111" s="49">
        <v>43332850</v>
      </c>
      <c r="D111" s="49">
        <v>28520181.475343</v>
      </c>
      <c r="E111" s="50">
        <f>VLOOKUP($A111,'Data shares'!$C:$FA,154)*100</f>
        <v>75.449999999999989</v>
      </c>
      <c r="F111" s="173">
        <f>C111/B111</f>
        <v>0.75117512257754593</v>
      </c>
    </row>
    <row r="112" spans="1:6" x14ac:dyDescent="0.25">
      <c r="A112" s="99" t="s">
        <v>673</v>
      </c>
      <c r="B112" s="49">
        <v>4679418</v>
      </c>
      <c r="C112" s="49">
        <v>5588950</v>
      </c>
      <c r="D112" s="49">
        <v>3476228.5873004999</v>
      </c>
      <c r="E112" s="50">
        <f>VLOOKUP($A112,'Data shares'!$C:$FA,154)*100</f>
        <v>120.74000000000001</v>
      </c>
      <c r="F112" s="173">
        <f>C112/B112</f>
        <v>1.1943686159261686</v>
      </c>
    </row>
    <row r="113" spans="1:6" x14ac:dyDescent="0.25">
      <c r="A113" s="99" t="s">
        <v>609</v>
      </c>
      <c r="B113" s="49">
        <v>9320940</v>
      </c>
      <c r="C113" s="49">
        <v>1767325</v>
      </c>
      <c r="D113" s="49">
        <v>1383413.9272712499</v>
      </c>
      <c r="E113" s="50">
        <f>VLOOKUP($A113,'Data shares'!$C:$FA,154)*100</f>
        <v>19.309999999999999</v>
      </c>
      <c r="F113" s="173">
        <f>C113/B113</f>
        <v>0.18960802236684282</v>
      </c>
    </row>
    <row r="114" spans="1:6" x14ac:dyDescent="0.25">
      <c r="A114" s="99" t="s">
        <v>679</v>
      </c>
      <c r="B114" s="49">
        <v>19953342</v>
      </c>
      <c r="C114" s="49">
        <v>5969325</v>
      </c>
      <c r="D114" s="49">
        <v>4370657.3394689998</v>
      </c>
      <c r="E114" s="50">
        <f>VLOOKUP($A114,'Data shares'!$C:$FA,154)*100</f>
        <v>30.28</v>
      </c>
      <c r="F114" s="173">
        <f>C114/B114</f>
        <v>0.29916417009240859</v>
      </c>
    </row>
    <row r="115" spans="1:6" x14ac:dyDescent="0.25">
      <c r="A115" s="99" t="s">
        <v>246</v>
      </c>
      <c r="B115" s="49">
        <v>882793124</v>
      </c>
      <c r="C115" s="49">
        <v>215314000</v>
      </c>
      <c r="D115" s="49">
        <v>178648050.80608001</v>
      </c>
      <c r="E115" s="50">
        <f>VLOOKUP($A115,'Data shares'!$C:$FA,154)*100</f>
        <v>24.529999999999998</v>
      </c>
      <c r="F115" s="173">
        <f>C115/B115</f>
        <v>0.24390085756943436</v>
      </c>
    </row>
    <row r="116" spans="1:6" x14ac:dyDescent="0.25">
      <c r="A116" s="99" t="s">
        <v>576</v>
      </c>
      <c r="B116" s="49">
        <v>24611073</v>
      </c>
      <c r="C116" s="49">
        <v>11627975</v>
      </c>
      <c r="D116" s="49">
        <v>7182760.0114794997</v>
      </c>
      <c r="E116" s="50">
        <f>VLOOKUP($A116,'Data shares'!$C:$FA,154)*100</f>
        <v>47.68</v>
      </c>
      <c r="F116" s="173">
        <f>C116/B116</f>
        <v>0.47246924179209904</v>
      </c>
    </row>
    <row r="117" spans="1:6" x14ac:dyDescent="0.25">
      <c r="A117" s="99" t="s">
        <v>535</v>
      </c>
      <c r="B117" s="49">
        <v>58713729</v>
      </c>
      <c r="C117" s="49">
        <v>24019300</v>
      </c>
      <c r="D117" s="49">
        <v>16053557.804908499</v>
      </c>
      <c r="E117" s="50">
        <f>VLOOKUP($A117,'Data shares'!$C:$FA,154)*100</f>
        <v>41.620000000000005</v>
      </c>
      <c r="F117" s="173">
        <f>C117/B117</f>
        <v>0.40909171345597894</v>
      </c>
    </row>
    <row r="118" spans="1:6" x14ac:dyDescent="0.25">
      <c r="A118" s="99" t="s">
        <v>248</v>
      </c>
      <c r="B118" s="49">
        <v>45183075</v>
      </c>
      <c r="C118" s="49">
        <v>35307000</v>
      </c>
      <c r="D118" s="49">
        <v>27722306.223669998</v>
      </c>
      <c r="E118" s="50">
        <f>VLOOKUP($A118,'Data shares'!$C:$FA,154)*100</f>
        <v>78.78</v>
      </c>
      <c r="F118" s="173">
        <f>C118/B118</f>
        <v>0.78142091922694501</v>
      </c>
    </row>
    <row r="119" spans="1:6" x14ac:dyDescent="0.25">
      <c r="A119" s="99" t="s">
        <v>606</v>
      </c>
      <c r="B119" s="49">
        <v>33206238</v>
      </c>
      <c r="C119" s="49">
        <v>17630200</v>
      </c>
      <c r="D119" s="49">
        <v>9548884.8506940007</v>
      </c>
      <c r="E119" s="50">
        <f>VLOOKUP($A119,'Data shares'!$C:$FA,154)*100</f>
        <v>53.769999999999996</v>
      </c>
      <c r="F119" s="173">
        <f>C119/B119</f>
        <v>0.53093036314441888</v>
      </c>
    </row>
    <row r="120" spans="1:6" x14ac:dyDescent="0.25">
      <c r="A120" s="99" t="s">
        <v>587</v>
      </c>
      <c r="B120" s="49">
        <v>42165698</v>
      </c>
      <c r="C120" s="49">
        <v>13803525</v>
      </c>
      <c r="D120" s="49">
        <v>11287399.123266499</v>
      </c>
      <c r="E120" s="50">
        <f>VLOOKUP($A120,'Data shares'!$C:$FA,154)*100</f>
        <v>32.769999999999996</v>
      </c>
      <c r="F120" s="173">
        <f>C120/B120</f>
        <v>0.32736384442159594</v>
      </c>
    </row>
    <row r="121" spans="1:6" x14ac:dyDescent="0.25">
      <c r="A121" s="99" t="s">
        <v>249</v>
      </c>
      <c r="B121" s="49">
        <v>136099497</v>
      </c>
      <c r="C121" s="49">
        <v>20317325</v>
      </c>
      <c r="D121" s="49">
        <v>14417809.67963</v>
      </c>
      <c r="E121" s="50">
        <f>VLOOKUP($A121,'Data shares'!$C:$FA,154)*100</f>
        <v>15.07</v>
      </c>
      <c r="F121" s="173">
        <f>C121/B121</f>
        <v>0.14928288089117625</v>
      </c>
    </row>
    <row r="122" spans="1:6" x14ac:dyDescent="0.25">
      <c r="A122" s="99" t="s">
        <v>564</v>
      </c>
      <c r="B122" s="49">
        <v>127514625</v>
      </c>
      <c r="C122" s="49">
        <v>56805750</v>
      </c>
      <c r="D122" s="49">
        <v>36809190.055845</v>
      </c>
      <c r="E122" s="50">
        <f>VLOOKUP($A122,'Data shares'!$C:$FA,154)*100</f>
        <v>44.76</v>
      </c>
      <c r="F122" s="173">
        <f>C122/B122</f>
        <v>0.44548419446004722</v>
      </c>
    </row>
    <row r="123" spans="1:6" x14ac:dyDescent="0.25">
      <c r="A123" s="99" t="s">
        <v>690</v>
      </c>
      <c r="B123" s="49">
        <v>12564965</v>
      </c>
      <c r="C123" s="49">
        <v>4866000</v>
      </c>
      <c r="D123" s="49">
        <v>3492325.9779989999</v>
      </c>
      <c r="E123" s="50">
        <f>VLOOKUP($A123,'Data shares'!$C:$FA,154)*100</f>
        <v>38.85</v>
      </c>
      <c r="F123" s="173">
        <f>C123/B123</f>
        <v>0.38726729441745361</v>
      </c>
    </row>
    <row r="124" spans="1:6" x14ac:dyDescent="0.25">
      <c r="A124" s="99" t="s">
        <v>250</v>
      </c>
      <c r="B124" s="49">
        <v>32222448</v>
      </c>
      <c r="C124" s="49">
        <v>8964100</v>
      </c>
      <c r="D124" s="49">
        <v>6458218.9573067501</v>
      </c>
      <c r="E124" s="50">
        <f>VLOOKUP($A124,'Data shares'!$C:$FA,154)*100</f>
        <v>28.02</v>
      </c>
      <c r="F124" s="173">
        <f>C124/B124</f>
        <v>0.2781942576181673</v>
      </c>
    </row>
    <row r="125" spans="1:6" x14ac:dyDescent="0.25">
      <c r="A125" s="99" t="s">
        <v>251</v>
      </c>
      <c r="B125" s="49">
        <v>120808308</v>
      </c>
      <c r="C125" s="49">
        <v>23377600</v>
      </c>
      <c r="D125" s="49">
        <v>18135683.20648</v>
      </c>
      <c r="E125" s="50">
        <f>VLOOKUP($A125,'Data shares'!$C:$FA,154)*100</f>
        <v>19.52</v>
      </c>
      <c r="F125" s="173">
        <f>C125/B125</f>
        <v>0.19350987019866217</v>
      </c>
    </row>
    <row r="126" spans="1:6" x14ac:dyDescent="0.25">
      <c r="A126" s="99" t="s">
        <v>253</v>
      </c>
      <c r="B126" s="49">
        <v>82205057</v>
      </c>
      <c r="C126" s="49">
        <v>58086000</v>
      </c>
      <c r="D126" s="49">
        <v>44613941.280749999</v>
      </c>
      <c r="E126" s="50">
        <f>VLOOKUP($A126,'Data shares'!$C:$FA,154)*100</f>
        <v>71.179999999999993</v>
      </c>
      <c r="F126" s="173">
        <f>C126/B126</f>
        <v>0.70659886532284744</v>
      </c>
    </row>
    <row r="127" spans="1:6" x14ac:dyDescent="0.25">
      <c r="A127" s="99" t="s">
        <v>669</v>
      </c>
      <c r="B127" s="49">
        <v>16926669</v>
      </c>
      <c r="C127" s="49">
        <v>4119025</v>
      </c>
      <c r="D127" s="49">
        <v>3480470.0313402498</v>
      </c>
      <c r="E127" s="50">
        <f>VLOOKUP($A127,'Data shares'!$C:$FA,154)*100</f>
        <v>24.58</v>
      </c>
      <c r="F127" s="173">
        <f>C127/B127</f>
        <v>0.2433452795703632</v>
      </c>
    </row>
    <row r="128" spans="1:6" x14ac:dyDescent="0.25">
      <c r="A128" s="99" t="s">
        <v>254</v>
      </c>
      <c r="B128" s="49">
        <v>77572761</v>
      </c>
      <c r="C128" s="49">
        <v>18788400</v>
      </c>
      <c r="D128" s="49">
        <v>17199488.397888001</v>
      </c>
      <c r="E128" s="50"/>
      <c r="F128" s="173">
        <f>C128/B128</f>
        <v>0.24220357452534144</v>
      </c>
    </row>
    <row r="129" spans="1:6" x14ac:dyDescent="0.25">
      <c r="A129" s="99" t="s">
        <v>255</v>
      </c>
      <c r="B129" s="49">
        <v>19673414</v>
      </c>
      <c r="C129" s="49">
        <v>4008850</v>
      </c>
      <c r="D129" s="49">
        <v>3109122.2132035</v>
      </c>
      <c r="E129" s="50">
        <f>VLOOKUP($A129,'Data shares'!$C:$FA,154)*100</f>
        <v>20.53</v>
      </c>
      <c r="F129" s="173">
        <f>C129/B129</f>
        <v>0.20376992015722334</v>
      </c>
    </row>
    <row r="130" spans="1:6" x14ac:dyDescent="0.25">
      <c r="A130" s="99" t="s">
        <v>602</v>
      </c>
      <c r="B130" s="49">
        <v>111298748</v>
      </c>
      <c r="C130" s="49">
        <v>19957875</v>
      </c>
      <c r="D130" s="49">
        <v>13951631.256701199</v>
      </c>
      <c r="E130" s="50">
        <f>VLOOKUP($A130,'Data shares'!$C:$FA,154)*100</f>
        <v>18.16</v>
      </c>
      <c r="F130" s="173">
        <f>C130/B130</f>
        <v>0.17931805486257582</v>
      </c>
    </row>
    <row r="131" spans="1:6" x14ac:dyDescent="0.25">
      <c r="A131" s="99" t="s">
        <v>670</v>
      </c>
      <c r="B131" s="49">
        <v>11364224</v>
      </c>
      <c r="C131" s="49">
        <v>5729950</v>
      </c>
      <c r="D131" s="49">
        <v>3812575.6390579999</v>
      </c>
      <c r="E131" s="50">
        <f>VLOOKUP($A131,'Data shares'!$C:$FA,154)*100</f>
        <v>50.7</v>
      </c>
      <c r="F131" s="173">
        <f>C131/B131</f>
        <v>0.50420952631697513</v>
      </c>
    </row>
    <row r="132" spans="1:6" x14ac:dyDescent="0.25">
      <c r="A132" s="99" t="s">
        <v>517</v>
      </c>
      <c r="B132" s="49">
        <v>38177113</v>
      </c>
      <c r="C132" s="49">
        <v>16520550</v>
      </c>
      <c r="D132" s="49">
        <v>10693951.676223001</v>
      </c>
      <c r="E132" s="50">
        <f>VLOOKUP($A132,'Data shares'!$C:$FA,154)*100</f>
        <v>45.08</v>
      </c>
      <c r="F132" s="173">
        <f>C132/B132</f>
        <v>0.43273439770052807</v>
      </c>
    </row>
    <row r="133" spans="1:6" x14ac:dyDescent="0.25">
      <c r="A133" s="99" t="s">
        <v>257</v>
      </c>
      <c r="B133" s="49">
        <v>35051266</v>
      </c>
      <c r="C133" s="49">
        <v>10415200</v>
      </c>
      <c r="D133" s="49">
        <v>9646171.5216719992</v>
      </c>
      <c r="E133" s="50">
        <f>VLOOKUP($A133,'Data shares'!$C:$FA,154)*100</f>
        <v>29.81</v>
      </c>
      <c r="F133" s="173">
        <f>C133/B133</f>
        <v>0.29714190637222632</v>
      </c>
    </row>
    <row r="134" spans="1:6" x14ac:dyDescent="0.25">
      <c r="A134" s="99" t="s">
        <v>558</v>
      </c>
      <c r="B134" s="49">
        <v>588447385</v>
      </c>
      <c r="C134" s="49">
        <v>189985800</v>
      </c>
      <c r="D134" s="49">
        <v>150852080.28944999</v>
      </c>
      <c r="E134" s="50">
        <f>VLOOKUP($A134,'Data shares'!$C:$FA,154)*100</f>
        <v>32.690000000000005</v>
      </c>
      <c r="F134" s="173">
        <f>C134/B134</f>
        <v>0.32285945157186824</v>
      </c>
    </row>
    <row r="135" spans="1:6" x14ac:dyDescent="0.25">
      <c r="A135" s="99" t="s">
        <v>696</v>
      </c>
      <c r="B135" s="49">
        <v>29196111</v>
      </c>
      <c r="C135" s="49">
        <v>5259150</v>
      </c>
      <c r="D135" s="49">
        <v>3936336.4229512499</v>
      </c>
      <c r="E135" s="50">
        <f>VLOOKUP($A135,'Data shares'!$C:$FA,154)*100</f>
        <v>18.18</v>
      </c>
      <c r="F135" s="173">
        <f>C135/B135</f>
        <v>0.1801318675627723</v>
      </c>
    </row>
    <row r="136" spans="1:6" x14ac:dyDescent="0.25">
      <c r="A136" s="99" t="s">
        <v>487</v>
      </c>
      <c r="B136" s="49">
        <v>19838356</v>
      </c>
      <c r="C136" s="49">
        <v>5060550</v>
      </c>
      <c r="D136" s="49">
        <v>4183108.2063567499</v>
      </c>
      <c r="E136" s="50">
        <f>VLOOKUP($A136,'Data shares'!$C:$FA,154)*100</f>
        <v>25.64</v>
      </c>
      <c r="F136" s="173">
        <f>C136/B136</f>
        <v>0.25508918178502293</v>
      </c>
    </row>
    <row r="137" spans="1:6" x14ac:dyDescent="0.25">
      <c r="A137" s="99" t="s">
        <v>262</v>
      </c>
      <c r="B137" s="49">
        <v>16050690</v>
      </c>
      <c r="C137" s="49">
        <v>5308875</v>
      </c>
      <c r="D137" s="49">
        <v>3654730.29544975</v>
      </c>
      <c r="E137" s="50">
        <f>VLOOKUP($A137,'Data shares'!$C:$FA,154)*100</f>
        <v>33.4</v>
      </c>
      <c r="F137" s="173">
        <f>C137/B137</f>
        <v>0.33075680858579909</v>
      </c>
    </row>
    <row r="138" spans="1:6" x14ac:dyDescent="0.25">
      <c r="A138" s="99" t="s">
        <v>486</v>
      </c>
      <c r="B138" s="49">
        <v>26709548</v>
      </c>
      <c r="C138" s="49">
        <v>3700625</v>
      </c>
      <c r="D138" s="49">
        <v>3208864.6198749999</v>
      </c>
      <c r="E138" s="50">
        <f>VLOOKUP($A138,'Data shares'!$C:$FA,154)*100</f>
        <v>13.950000000000001</v>
      </c>
      <c r="F138" s="173">
        <f>C138/B138</f>
        <v>0.13855064114151239</v>
      </c>
    </row>
    <row r="139" spans="1:6" x14ac:dyDescent="0.25">
      <c r="A139" s="99" t="s">
        <v>263</v>
      </c>
      <c r="B139" s="49">
        <v>134225816</v>
      </c>
      <c r="C139" s="49">
        <v>57802500</v>
      </c>
      <c r="D139" s="49">
        <v>40792347.031949997</v>
      </c>
      <c r="E139" s="50">
        <f>VLOOKUP($A139,'Data shares'!$C:$FA,154)*100</f>
        <v>43.86</v>
      </c>
      <c r="F139" s="173">
        <f>C139/B139</f>
        <v>0.43063623468677592</v>
      </c>
    </row>
    <row r="140" spans="1:6" x14ac:dyDescent="0.25">
      <c r="A140" s="99" t="s">
        <v>264</v>
      </c>
      <c r="B140" s="49">
        <v>60562281</v>
      </c>
      <c r="C140" s="49">
        <v>19574575</v>
      </c>
      <c r="D140" s="49">
        <v>15010994.3237145</v>
      </c>
      <c r="E140" s="50">
        <f>VLOOKUP($A140,'Data shares'!$C:$FA,154)*100</f>
        <v>32.74</v>
      </c>
      <c r="F140" s="173">
        <f>C140/B140</f>
        <v>0.32321396547134679</v>
      </c>
    </row>
    <row r="141" spans="1:6" x14ac:dyDescent="0.25">
      <c r="A141" s="99" t="s">
        <v>550</v>
      </c>
      <c r="B141" s="49">
        <v>154894704</v>
      </c>
      <c r="C141" s="49">
        <v>123955000</v>
      </c>
      <c r="D141" s="49">
        <v>78219196.447600007</v>
      </c>
      <c r="E141" s="50">
        <f>VLOOKUP($A141,'Data shares'!$C:$FA,154)*100</f>
        <v>80.63</v>
      </c>
      <c r="F141" s="173">
        <f>C141/B141</f>
        <v>0.80025331272785161</v>
      </c>
    </row>
    <row r="142" spans="1:6" x14ac:dyDescent="0.25">
      <c r="A142" s="99" t="s">
        <v>265</v>
      </c>
      <c r="B142" s="49">
        <v>71801274</v>
      </c>
      <c r="C142" s="49">
        <v>14954000</v>
      </c>
      <c r="D142" s="49">
        <v>13335102.541890001</v>
      </c>
      <c r="E142" s="50">
        <f>VLOOKUP($A142,'Data shares'!$C:$FA,154)*100</f>
        <v>20.95</v>
      </c>
      <c r="F142" s="173">
        <f>C142/B142</f>
        <v>0.20826928502689243</v>
      </c>
    </row>
    <row r="143" spans="1:6" x14ac:dyDescent="0.25">
      <c r="A143" s="99" t="s">
        <v>584</v>
      </c>
      <c r="B143" s="49">
        <v>491233252</v>
      </c>
      <c r="C143" s="49">
        <v>150989850</v>
      </c>
      <c r="D143" s="49">
        <v>102569010.76666699</v>
      </c>
      <c r="E143" s="50">
        <f>VLOOKUP($A143,'Data shares'!$C:$FA,154)*100</f>
        <v>31.16</v>
      </c>
      <c r="F143" s="173">
        <f>C143/B143</f>
        <v>0.30736895229559907</v>
      </c>
    </row>
    <row r="144" spans="1:6" x14ac:dyDescent="0.25">
      <c r="A144" s="99" t="s">
        <v>267</v>
      </c>
      <c r="B144" s="49">
        <v>517037525</v>
      </c>
      <c r="C144" s="49">
        <v>429232500</v>
      </c>
      <c r="D144" s="49">
        <v>295558063.554757</v>
      </c>
      <c r="E144" s="50">
        <f>VLOOKUP($A144,'Data shares'!$C:$FA,154)*100</f>
        <v>83.76</v>
      </c>
      <c r="F144" s="173">
        <f>C144/B144</f>
        <v>0.83017668785258869</v>
      </c>
    </row>
    <row r="145" spans="1:6" x14ac:dyDescent="0.25">
      <c r="A145" s="99" t="s">
        <v>268</v>
      </c>
      <c r="B145" s="49">
        <v>550512361</v>
      </c>
      <c r="C145" s="49">
        <v>145575000</v>
      </c>
      <c r="D145" s="49">
        <v>107463774.93196499</v>
      </c>
      <c r="E145" s="50">
        <f>VLOOKUP($A145,'Data shares'!$C:$FA,154)*100</f>
        <v>26.83</v>
      </c>
      <c r="F145" s="173">
        <f>C145/B145</f>
        <v>0.26443547922441657</v>
      </c>
    </row>
    <row r="146" spans="1:6" x14ac:dyDescent="0.25">
      <c r="A146" s="99" t="s">
        <v>681</v>
      </c>
      <c r="B146" s="49">
        <v>12490416</v>
      </c>
      <c r="C146" s="49">
        <v>1979500</v>
      </c>
      <c r="D146" s="49">
        <v>1533033.1301800001</v>
      </c>
      <c r="E146" s="50">
        <f>VLOOKUP($A146,'Data shares'!$C:$FA,154)*100</f>
        <v>16.11</v>
      </c>
      <c r="F146" s="173">
        <f>C146/B146</f>
        <v>0.15848151094407104</v>
      </c>
    </row>
    <row r="147" spans="1:6" x14ac:dyDescent="0.25">
      <c r="A147" s="99" t="s">
        <v>612</v>
      </c>
      <c r="B147" s="49">
        <v>205669742</v>
      </c>
      <c r="C147" s="49">
        <v>79275000</v>
      </c>
      <c r="D147" s="49">
        <v>49815910.428874999</v>
      </c>
      <c r="E147" s="50">
        <f>VLOOKUP($A147,'Data shares'!$C:$FA,154)*100</f>
        <v>39.11</v>
      </c>
      <c r="F147" s="173">
        <f>C147/B147</f>
        <v>0.38544804514803155</v>
      </c>
    </row>
    <row r="148" spans="1:6" x14ac:dyDescent="0.25">
      <c r="A148" s="99" t="s">
        <v>528</v>
      </c>
      <c r="B148" s="49">
        <v>17614093</v>
      </c>
      <c r="C148" s="49">
        <v>6715800</v>
      </c>
      <c r="D148" s="49">
        <v>6073844.4168919995</v>
      </c>
      <c r="E148" s="50">
        <f>VLOOKUP($A148,'Data shares'!$C:$FA,154)*100</f>
        <v>38.47</v>
      </c>
      <c r="F148" s="173">
        <f>C148/B148</f>
        <v>0.38127424443597524</v>
      </c>
    </row>
    <row r="149" spans="1:6" x14ac:dyDescent="0.25">
      <c r="A149" s="99" t="s">
        <v>518</v>
      </c>
      <c r="B149" s="49">
        <v>3594855</v>
      </c>
      <c r="C149" s="49">
        <v>1493700</v>
      </c>
      <c r="D149" s="49">
        <v>953868.24085399997</v>
      </c>
      <c r="E149" s="50">
        <f>VLOOKUP($A149,'Data shares'!$C:$FA,154)*100</f>
        <v>41.870000000000005</v>
      </c>
      <c r="F149" s="173">
        <f>C149/B149</f>
        <v>0.41551050042352194</v>
      </c>
    </row>
    <row r="150" spans="1:6" x14ac:dyDescent="0.25">
      <c r="A150" s="99" t="s">
        <v>586</v>
      </c>
      <c r="B150" s="49">
        <v>105756420</v>
      </c>
      <c r="C150" s="49">
        <v>18593400</v>
      </c>
      <c r="D150" s="49">
        <v>15279036.017266</v>
      </c>
      <c r="E150" s="50">
        <f>VLOOKUP($A150,'Data shares'!$C:$FA,154)*100</f>
        <v>17.91</v>
      </c>
      <c r="F150" s="173">
        <f>C150/B150</f>
        <v>0.17581343997839563</v>
      </c>
    </row>
    <row r="151" spans="1:6" x14ac:dyDescent="0.25">
      <c r="A151" s="99" t="s">
        <v>269</v>
      </c>
      <c r="B151" s="49">
        <v>711370982</v>
      </c>
      <c r="C151" s="49">
        <v>127496250</v>
      </c>
      <c r="D151" s="49">
        <v>95110282.240695</v>
      </c>
      <c r="E151" s="50">
        <f>VLOOKUP($A151,'Data shares'!$C:$FA,154)*100</f>
        <v>18.060000000000002</v>
      </c>
      <c r="F151" s="173">
        <f>C151/B151</f>
        <v>0.17922610455876031</v>
      </c>
    </row>
    <row r="152" spans="1:6" x14ac:dyDescent="0.25">
      <c r="A152" s="99" t="s">
        <v>270</v>
      </c>
      <c r="B152" s="49">
        <v>955549</v>
      </c>
      <c r="C152" s="49">
        <v>336840</v>
      </c>
      <c r="D152" s="49">
        <v>274362.25534430001</v>
      </c>
      <c r="E152" s="50">
        <f>VLOOKUP($A152,'Data shares'!$C:$FA,154)*100</f>
        <v>35.68</v>
      </c>
      <c r="F152" s="173">
        <f>C152/B152</f>
        <v>0.35250939512259444</v>
      </c>
    </row>
    <row r="153" spans="1:6" x14ac:dyDescent="0.25">
      <c r="A153" s="99" t="s">
        <v>663</v>
      </c>
      <c r="B153" s="49">
        <v>51786533</v>
      </c>
      <c r="C153" s="49">
        <v>36520300</v>
      </c>
      <c r="D153" s="49">
        <v>20088051.795683</v>
      </c>
      <c r="E153" s="50">
        <f>VLOOKUP($A153,'Data shares'!$C:$FA,154)*100</f>
        <v>70.650000000000006</v>
      </c>
      <c r="F153" s="173">
        <f>C153/B153</f>
        <v>0.70520843710468128</v>
      </c>
    </row>
    <row r="154" spans="1:6" x14ac:dyDescent="0.25">
      <c r="A154" s="99" t="s">
        <v>574</v>
      </c>
      <c r="B154" s="49">
        <v>95930888</v>
      </c>
      <c r="C154" s="49">
        <v>21962425</v>
      </c>
      <c r="D154" s="49">
        <v>16532680.4384117</v>
      </c>
      <c r="E154" s="50">
        <f>VLOOKUP($A154,'Data shares'!$C:$FA,154)*100</f>
        <v>23.07</v>
      </c>
      <c r="F154" s="173">
        <f>C154/B154</f>
        <v>0.22894007819462694</v>
      </c>
    </row>
    <row r="155" spans="1:6" x14ac:dyDescent="0.25">
      <c r="A155" s="99" t="s">
        <v>529</v>
      </c>
      <c r="B155" s="49">
        <v>16286398</v>
      </c>
      <c r="C155" s="49">
        <v>4096000</v>
      </c>
      <c r="D155" s="49">
        <v>3010975.6094260002</v>
      </c>
      <c r="E155" s="50">
        <f>VLOOKUP($A155,'Data shares'!$C:$FA,154)*100</f>
        <v>25.259999999999998</v>
      </c>
      <c r="F155" s="173">
        <f>C155/B155</f>
        <v>0.25149821341711043</v>
      </c>
    </row>
    <row r="156" spans="1:6" x14ac:dyDescent="0.25">
      <c r="A156" s="99" t="s">
        <v>272</v>
      </c>
      <c r="B156" s="49">
        <v>112500013</v>
      </c>
      <c r="C156" s="49">
        <v>40528900</v>
      </c>
      <c r="D156" s="49">
        <v>23562845.235787999</v>
      </c>
      <c r="E156" s="50">
        <f>VLOOKUP($A156,'Data shares'!$C:$FA,154)*100</f>
        <v>36.340000000000003</v>
      </c>
      <c r="F156" s="173">
        <f>C156/B156</f>
        <v>0.36025684725920876</v>
      </c>
    </row>
    <row r="157" spans="1:6" x14ac:dyDescent="0.25">
      <c r="A157" s="99" t="s">
        <v>273</v>
      </c>
      <c r="B157" s="49">
        <v>217835555</v>
      </c>
      <c r="C157" s="49">
        <v>72428200</v>
      </c>
      <c r="D157" s="49">
        <v>52525418.553035997</v>
      </c>
      <c r="E157" s="50">
        <f>VLOOKUP($A157,'Data shares'!$C:$FA,154)*100</f>
        <v>33.739999999999995</v>
      </c>
      <c r="F157" s="173">
        <f>C157/B157</f>
        <v>0.33249025853470066</v>
      </c>
    </row>
    <row r="158" spans="1:6" x14ac:dyDescent="0.25">
      <c r="A158" s="99" t="s">
        <v>676</v>
      </c>
      <c r="B158" s="49">
        <v>24101986</v>
      </c>
      <c r="C158" s="49">
        <v>21873750</v>
      </c>
      <c r="D158" s="49">
        <v>11649716.355938001</v>
      </c>
      <c r="E158" s="50">
        <f>VLOOKUP($A158,'Data shares'!$C:$FA,154)*100</f>
        <v>91.93</v>
      </c>
      <c r="F158" s="173">
        <f>C158/B158</f>
        <v>0.90754969320785428</v>
      </c>
    </row>
    <row r="159" spans="1:6" x14ac:dyDescent="0.25">
      <c r="A159" s="99" t="s">
        <v>644</v>
      </c>
      <c r="B159" s="49">
        <v>21502901</v>
      </c>
      <c r="C159" s="49">
        <v>3763900</v>
      </c>
      <c r="D159" s="49">
        <v>3328663.2668205001</v>
      </c>
      <c r="E159" s="50"/>
      <c r="F159" s="173">
        <f>C159/B159</f>
        <v>0.17504149788905227</v>
      </c>
    </row>
    <row r="160" spans="1:6" x14ac:dyDescent="0.25">
      <c r="A160" s="99" t="s">
        <v>274</v>
      </c>
      <c r="B160" s="49">
        <v>31214205</v>
      </c>
      <c r="C160" s="49">
        <v>7577000</v>
      </c>
      <c r="D160" s="49">
        <v>6588219.2270550001</v>
      </c>
      <c r="E160" s="50">
        <f>VLOOKUP($A160,'Data shares'!$C:$FA,154)*100</f>
        <v>24.4</v>
      </c>
      <c r="F160" s="173">
        <f>C160/B160</f>
        <v>0.24274204644968533</v>
      </c>
    </row>
    <row r="161" spans="1:6" x14ac:dyDescent="0.25">
      <c r="A161" s="99" t="s">
        <v>483</v>
      </c>
      <c r="B161" s="49">
        <v>8178275</v>
      </c>
      <c r="C161" s="49">
        <v>5305300</v>
      </c>
      <c r="D161" s="49">
        <v>3440410.7519215001</v>
      </c>
      <c r="E161" s="50">
        <f>VLOOKUP($A161,'Data shares'!$C:$FA,154)*100</f>
        <v>65.45</v>
      </c>
      <c r="F161" s="173">
        <f>C161/B161</f>
        <v>0.64870648150129462</v>
      </c>
    </row>
    <row r="162" spans="1:6" x14ac:dyDescent="0.25">
      <c r="A162" s="99" t="s">
        <v>275</v>
      </c>
      <c r="B162" s="49">
        <v>515822637</v>
      </c>
      <c r="C162" s="49">
        <v>404320000</v>
      </c>
      <c r="D162" s="49">
        <v>298332040.94992</v>
      </c>
      <c r="E162" s="50">
        <f>VLOOKUP($A162,'Data shares'!$C:$FA,154)*100</f>
        <v>78.88</v>
      </c>
      <c r="F162" s="173">
        <f>C162/B162</f>
        <v>0.78383531663423289</v>
      </c>
    </row>
    <row r="163" spans="1:6" x14ac:dyDescent="0.25">
      <c r="A163" s="99" t="s">
        <v>667</v>
      </c>
      <c r="B163" s="49">
        <v>28118603</v>
      </c>
      <c r="C163" s="49">
        <v>12806950</v>
      </c>
      <c r="D163" s="49">
        <v>11538890.340172</v>
      </c>
      <c r="E163" s="50">
        <f>VLOOKUP($A163,'Data shares'!$C:$FA,154)*100</f>
        <v>45.769999999999996</v>
      </c>
      <c r="F163" s="173">
        <f>C163/B163</f>
        <v>0.4554618165063179</v>
      </c>
    </row>
    <row r="164" spans="1:6" x14ac:dyDescent="0.25">
      <c r="A164" s="99" t="s">
        <v>572</v>
      </c>
      <c r="B164" s="49">
        <v>69300607</v>
      </c>
      <c r="C164" s="49">
        <v>8410150</v>
      </c>
      <c r="D164" s="49">
        <v>6904248.724653</v>
      </c>
      <c r="E164" s="50">
        <f>VLOOKUP($A164,'Data shares'!$C:$FA,154)*100</f>
        <v>12.26</v>
      </c>
      <c r="F164" s="173">
        <f>C164/B164</f>
        <v>0.12135752288576636</v>
      </c>
    </row>
    <row r="165" spans="1:6" x14ac:dyDescent="0.25">
      <c r="A165" s="99" t="s">
        <v>519</v>
      </c>
      <c r="B165" s="49">
        <v>8693344</v>
      </c>
      <c r="C165" s="49">
        <v>2786375</v>
      </c>
      <c r="D165" s="49">
        <v>1885052.8448212501</v>
      </c>
      <c r="E165" s="50"/>
      <c r="F165" s="173">
        <f>C165/B165</f>
        <v>0.32051820335189773</v>
      </c>
    </row>
    <row r="166" spans="1:6" x14ac:dyDescent="0.25">
      <c r="A166" s="99" t="s">
        <v>276</v>
      </c>
      <c r="B166" s="49">
        <v>660840864</v>
      </c>
      <c r="C166" s="49">
        <v>103945200</v>
      </c>
      <c r="D166" s="49">
        <v>85442737.543614</v>
      </c>
      <c r="E166" s="50">
        <f>VLOOKUP($A166,'Data shares'!$C:$FA,154)*100</f>
        <v>15.85</v>
      </c>
      <c r="F166" s="173">
        <f>C166/B166</f>
        <v>0.15729233112315524</v>
      </c>
    </row>
    <row r="167" spans="1:6" x14ac:dyDescent="0.25">
      <c r="A167" s="99" t="s">
        <v>683</v>
      </c>
      <c r="B167" s="49">
        <v>1917916</v>
      </c>
      <c r="C167" s="49">
        <v>802300</v>
      </c>
      <c r="D167" s="49">
        <v>469476.94006574998</v>
      </c>
      <c r="E167" s="50">
        <f>VLOOKUP($A167,'Data shares'!$C:$FA,154)*100</f>
        <v>42.91</v>
      </c>
      <c r="F167" s="173">
        <f>C167/B167</f>
        <v>0.41831863334994857</v>
      </c>
    </row>
    <row r="168" spans="1:6" x14ac:dyDescent="0.25">
      <c r="A168" s="99" t="s">
        <v>686</v>
      </c>
      <c r="B168" s="49">
        <v>23961540</v>
      </c>
      <c r="C168" s="49">
        <v>14927200</v>
      </c>
      <c r="D168" s="49">
        <v>9120511.199298</v>
      </c>
      <c r="E168" s="50">
        <f>VLOOKUP($A168,'Data shares'!$C:$FA,154)*100</f>
        <v>62.99</v>
      </c>
      <c r="F168" s="173">
        <f>C168/B168</f>
        <v>0.62296496802793144</v>
      </c>
    </row>
    <row r="169" spans="1:6" x14ac:dyDescent="0.25">
      <c r="A169" s="99" t="s">
        <v>604</v>
      </c>
      <c r="B169" s="49">
        <v>25234534</v>
      </c>
      <c r="C169" s="49">
        <v>5786550</v>
      </c>
      <c r="D169" s="49">
        <v>5058043.4636639999</v>
      </c>
      <c r="E169" s="50">
        <f>VLOOKUP($A169,'Data shares'!$C:$FA,154)*100</f>
        <v>22.98</v>
      </c>
      <c r="F169" s="173">
        <f>C169/B169</f>
        <v>0.22931075327168712</v>
      </c>
    </row>
    <row r="170" spans="1:6" x14ac:dyDescent="0.25">
      <c r="A170" s="99" t="s">
        <v>279</v>
      </c>
      <c r="B170" s="49">
        <v>92573471</v>
      </c>
      <c r="C170" s="49">
        <v>82870675</v>
      </c>
      <c r="D170" s="49">
        <v>55995579.673558198</v>
      </c>
      <c r="E170" s="50">
        <f>VLOOKUP($A170,'Data shares'!$C:$FA,154)*100</f>
        <v>90.05</v>
      </c>
      <c r="F170" s="173">
        <f>C170/B170</f>
        <v>0.89518815817114605</v>
      </c>
    </row>
    <row r="171" spans="1:6" x14ac:dyDescent="0.25">
      <c r="A171" s="99" t="s">
        <v>280</v>
      </c>
      <c r="B171" s="49">
        <v>187084550</v>
      </c>
      <c r="C171" s="49">
        <v>88838225</v>
      </c>
      <c r="D171" s="49">
        <v>60130782.040861003</v>
      </c>
      <c r="E171" s="50">
        <f>VLOOKUP($A171,'Data shares'!$C:$FA,154)*100</f>
        <v>48.1</v>
      </c>
      <c r="F171" s="173">
        <f>C171/B171</f>
        <v>0.47485602098088803</v>
      </c>
    </row>
    <row r="172" spans="1:6" x14ac:dyDescent="0.25">
      <c r="A172" s="99" t="s">
        <v>281</v>
      </c>
      <c r="B172" s="49">
        <v>664381721</v>
      </c>
      <c r="C172" s="49">
        <v>167753000</v>
      </c>
      <c r="D172" s="49">
        <v>110168104.800455</v>
      </c>
      <c r="E172" s="50">
        <f>VLOOKUP($A172,'Data shares'!$C:$FA,154)*100</f>
        <v>25.66</v>
      </c>
      <c r="F172" s="173">
        <f>C172/B172</f>
        <v>0.25249490571098959</v>
      </c>
    </row>
    <row r="173" spans="1:6" x14ac:dyDescent="0.25">
      <c r="A173" s="99" t="s">
        <v>672</v>
      </c>
      <c r="B173" s="49">
        <v>84941460</v>
      </c>
      <c r="C173" s="49">
        <v>73703650</v>
      </c>
      <c r="D173" s="49">
        <v>38988075.223497503</v>
      </c>
      <c r="E173" s="50">
        <f>VLOOKUP($A173,'Data shares'!$C:$FA,154)*100</f>
        <v>88.460000000000008</v>
      </c>
      <c r="F173" s="173">
        <f>C173/B173</f>
        <v>0.86769935435534074</v>
      </c>
    </row>
    <row r="174" spans="1:6" x14ac:dyDescent="0.25">
      <c r="A174" s="99" t="s">
        <v>282</v>
      </c>
      <c r="B174" s="49">
        <v>216861410</v>
      </c>
      <c r="C174" s="49">
        <v>171145800</v>
      </c>
      <c r="D174" s="49">
        <v>158519148.646568</v>
      </c>
      <c r="E174" s="50"/>
      <c r="F174" s="173">
        <f>C174/B174</f>
        <v>0.78919435228240931</v>
      </c>
    </row>
    <row r="175" spans="1:6" x14ac:dyDescent="0.25">
      <c r="A175" s="99" t="s">
        <v>682</v>
      </c>
      <c r="B175" s="49">
        <v>122372064</v>
      </c>
      <c r="C175" s="49">
        <v>110535800</v>
      </c>
      <c r="D175" s="49">
        <v>68954265.719065994</v>
      </c>
      <c r="E175" s="50"/>
      <c r="F175" s="173">
        <f>C175/B175</f>
        <v>0.90327642099752437</v>
      </c>
    </row>
    <row r="176" spans="1:6" x14ac:dyDescent="0.25">
      <c r="A176" s="99" t="s">
        <v>536</v>
      </c>
      <c r="B176" s="49">
        <v>44841373</v>
      </c>
      <c r="C176" s="49">
        <v>36133600</v>
      </c>
      <c r="D176" s="49">
        <v>23942228.876904</v>
      </c>
      <c r="E176" s="50">
        <f>VLOOKUP($A176,'Data shares'!$C:$FA,154)*100</f>
        <v>81.06</v>
      </c>
      <c r="F176" s="173">
        <f>C176/B176</f>
        <v>0.80580940284767821</v>
      </c>
    </row>
    <row r="177" spans="1:6" x14ac:dyDescent="0.25">
      <c r="A177" s="99" t="s">
        <v>462</v>
      </c>
      <c r="B177" s="49">
        <v>45527821</v>
      </c>
      <c r="C177" s="49">
        <v>9166875</v>
      </c>
      <c r="D177" s="49">
        <v>8147282.8436625004</v>
      </c>
      <c r="E177" s="50">
        <f>VLOOKUP($A177,'Data shares'!$C:$FA,154)*100</f>
        <v>20.239999999999998</v>
      </c>
      <c r="F177" s="173">
        <f>C177/B177</f>
        <v>0.20134666668980269</v>
      </c>
    </row>
    <row r="178" spans="1:6" x14ac:dyDescent="0.25">
      <c r="A178" s="99" t="s">
        <v>283</v>
      </c>
      <c r="B178" s="49">
        <v>580324288</v>
      </c>
      <c r="C178" s="49">
        <v>157570500</v>
      </c>
      <c r="D178" s="49">
        <v>95383219.168657497</v>
      </c>
      <c r="E178" s="50"/>
      <c r="F178" s="173">
        <f>C178/B178</f>
        <v>0.27152146353040457</v>
      </c>
    </row>
    <row r="179" spans="1:6" x14ac:dyDescent="0.25">
      <c r="A179" s="99" t="s">
        <v>284</v>
      </c>
      <c r="B179" s="49">
        <v>1655049</v>
      </c>
      <c r="C179" s="49">
        <v>417875</v>
      </c>
      <c r="D179" s="49">
        <v>360762.31358999998</v>
      </c>
      <c r="E179" s="50">
        <f>VLOOKUP($A179,'Data shares'!$C:$FA,154)*100</f>
        <v>25.94</v>
      </c>
      <c r="F179" s="173">
        <f>C179/B179</f>
        <v>0.252484971744039</v>
      </c>
    </row>
    <row r="180" spans="1:6" x14ac:dyDescent="0.25">
      <c r="A180" s="99" t="s">
        <v>561</v>
      </c>
      <c r="B180" s="49">
        <v>210567108</v>
      </c>
      <c r="C180" s="49">
        <v>49581675</v>
      </c>
      <c r="D180" s="49">
        <v>39863735.402510203</v>
      </c>
      <c r="E180" s="50">
        <f>VLOOKUP($A180,'Data shares'!$C:$FA,154)*100</f>
        <v>23.69</v>
      </c>
      <c r="F180" s="173">
        <f>C180/B180</f>
        <v>0.23546733139346721</v>
      </c>
    </row>
    <row r="181" spans="1:6" x14ac:dyDescent="0.25">
      <c r="A181" s="99" t="s">
        <v>285</v>
      </c>
      <c r="B181" s="49">
        <v>10374894</v>
      </c>
      <c r="C181" s="49">
        <v>4753000</v>
      </c>
      <c r="D181" s="49">
        <v>2872183.2011075001</v>
      </c>
      <c r="E181" s="50">
        <f>VLOOKUP($A181,'Data shares'!$C:$FA,154)*100</f>
        <v>46.86</v>
      </c>
      <c r="F181" s="173">
        <f>C181/B181</f>
        <v>0.45812516253178104</v>
      </c>
    </row>
    <row r="182" spans="1:6" x14ac:dyDescent="0.25">
      <c r="A182" s="99" t="s">
        <v>645</v>
      </c>
      <c r="B182" s="49">
        <v>3644817</v>
      </c>
      <c r="C182" s="49">
        <v>980750</v>
      </c>
      <c r="D182" s="49">
        <v>748753.23782849999</v>
      </c>
      <c r="E182" s="50">
        <f>VLOOKUP($A182,'Data shares'!$C:$FA,154)*100</f>
        <v>27.279999999999998</v>
      </c>
      <c r="F182" s="173">
        <f>C182/B182</f>
        <v>0.26908072476615424</v>
      </c>
    </row>
    <row r="183" spans="1:6" x14ac:dyDescent="0.25">
      <c r="A183" s="99" t="s">
        <v>613</v>
      </c>
      <c r="B183" s="49">
        <v>61283708</v>
      </c>
      <c r="C183" s="49">
        <v>18159400</v>
      </c>
      <c r="D183" s="49">
        <v>12336716.554057</v>
      </c>
      <c r="E183" s="50">
        <f>VLOOKUP($A183,'Data shares'!$C:$FA,154)*100</f>
        <v>29.7</v>
      </c>
      <c r="F183" s="173">
        <f>C183/B183</f>
        <v>0.29631692651495567</v>
      </c>
    </row>
    <row r="184" spans="1:6" x14ac:dyDescent="0.25">
      <c r="A184" s="99" t="s">
        <v>286</v>
      </c>
      <c r="B184" s="49">
        <v>19721628</v>
      </c>
      <c r="C184" s="49">
        <v>4268400</v>
      </c>
      <c r="D184" s="49">
        <v>3380547.8475640002</v>
      </c>
      <c r="E184" s="50">
        <f>VLOOKUP($A184,'Data shares'!$C:$FA,154)*100</f>
        <v>21.86</v>
      </c>
      <c r="F184" s="173">
        <f>C184/B184</f>
        <v>0.2164324365108195</v>
      </c>
    </row>
    <row r="185" spans="1:6" x14ac:dyDescent="0.25">
      <c r="A185" s="99" t="s">
        <v>288</v>
      </c>
      <c r="B185" s="49">
        <v>121755902</v>
      </c>
      <c r="C185" s="49">
        <v>31680250</v>
      </c>
      <c r="D185" s="49">
        <v>23979919.701734498</v>
      </c>
      <c r="E185" s="50">
        <f>VLOOKUP($A185,'Data shares'!$C:$FA,154)*100</f>
        <v>26.26</v>
      </c>
      <c r="F185" s="173">
        <f>C185/B185</f>
        <v>0.26019477889457876</v>
      </c>
    </row>
    <row r="186" spans="1:6" x14ac:dyDescent="0.25">
      <c r="A186" s="99" t="s">
        <v>573</v>
      </c>
      <c r="B186" s="49">
        <v>9724371</v>
      </c>
      <c r="C186" s="49">
        <v>2296175</v>
      </c>
      <c r="D186" s="49">
        <v>2025441.4071657499</v>
      </c>
      <c r="E186" s="50">
        <f>VLOOKUP($A186,'Data shares'!$C:$FA,154)*100</f>
        <v>23.75</v>
      </c>
      <c r="F186" s="173">
        <f>C186/B186</f>
        <v>0.2361258121476443</v>
      </c>
    </row>
    <row r="187" spans="1:6" x14ac:dyDescent="0.25">
      <c r="A187" s="99" t="s">
        <v>680</v>
      </c>
      <c r="B187" s="49">
        <v>1815546735</v>
      </c>
      <c r="C187" s="49">
        <v>453050225</v>
      </c>
      <c r="D187" s="49">
        <v>289702853.33498901</v>
      </c>
      <c r="E187" s="50">
        <f>VLOOKUP($A187,'Data shares'!$C:$FA,154)*100</f>
        <v>25.34</v>
      </c>
      <c r="F187" s="173">
        <f>C187/B187</f>
        <v>0.24953927996791556</v>
      </c>
    </row>
    <row r="188" spans="1:6" x14ac:dyDescent="0.25">
      <c r="A188" s="99" t="s">
        <v>689</v>
      </c>
      <c r="B188" s="49">
        <v>389472858</v>
      </c>
      <c r="C188" s="49">
        <v>50291075</v>
      </c>
      <c r="D188" s="49">
        <v>42064889.213745497</v>
      </c>
      <c r="E188" s="50">
        <f>VLOOKUP($A188,'Data shares'!$C:$FA,154)*100</f>
        <v>13.059999999999999</v>
      </c>
      <c r="F188" s="173">
        <f>C188/B188</f>
        <v>0.12912600702973762</v>
      </c>
    </row>
    <row r="189" spans="1:6" x14ac:dyDescent="0.25">
      <c r="A189" s="99" t="s">
        <v>291</v>
      </c>
      <c r="B189" s="49">
        <v>65472757</v>
      </c>
      <c r="C189" s="49">
        <v>16954850</v>
      </c>
      <c r="D189" s="49">
        <v>15075548.000309501</v>
      </c>
      <c r="E189" s="50">
        <f>VLOOKUP($A189,'Data shares'!$C:$FA,154)*100</f>
        <v>26.169999999999998</v>
      </c>
      <c r="F189" s="173">
        <f>C189/B189</f>
        <v>0.25896037950563161</v>
      </c>
    </row>
    <row r="190" spans="1:6" x14ac:dyDescent="0.25">
      <c r="A190" s="99" t="s">
        <v>603</v>
      </c>
      <c r="B190" s="49">
        <v>5241946</v>
      </c>
      <c r="C190" s="49">
        <v>2416100</v>
      </c>
      <c r="D190" s="49">
        <v>1388617.6071512499</v>
      </c>
      <c r="E190" s="50">
        <f>VLOOKUP($A190,'Data shares'!$C:$FA,154)*100</f>
        <v>46.33</v>
      </c>
      <c r="F190" s="173">
        <f>C190/B190</f>
        <v>0.46091661379190096</v>
      </c>
    </row>
    <row r="191" spans="1:6" x14ac:dyDescent="0.25">
      <c r="A191" s="99" t="s">
        <v>293</v>
      </c>
      <c r="B191" s="49">
        <v>169808198</v>
      </c>
      <c r="C191" s="49">
        <v>89628850</v>
      </c>
      <c r="D191" s="49">
        <v>57575782.945589997</v>
      </c>
      <c r="E191" s="50">
        <f>VLOOKUP($A191,'Data shares'!$C:$FA,154)*100</f>
        <v>53.47</v>
      </c>
      <c r="F191" s="173">
        <f>C191/B191</f>
        <v>0.52782404533849425</v>
      </c>
    </row>
    <row r="192" spans="1:6" x14ac:dyDescent="0.25">
      <c r="A192" s="99" t="s">
        <v>294</v>
      </c>
      <c r="B192" s="49">
        <v>1049350971</v>
      </c>
      <c r="C192" s="49">
        <v>260306750</v>
      </c>
      <c r="D192" s="49">
        <v>187001971.04440501</v>
      </c>
      <c r="E192" s="50">
        <f>VLOOKUP($A192,'Data shares'!$C:$FA,154)*100</f>
        <v>25.2</v>
      </c>
      <c r="F192" s="173">
        <f>C192/B192</f>
        <v>0.24806452482903357</v>
      </c>
    </row>
    <row r="193" spans="1:6" x14ac:dyDescent="0.25">
      <c r="A193" s="99" t="s">
        <v>295</v>
      </c>
      <c r="B193" s="49">
        <v>153229333</v>
      </c>
      <c r="C193" s="49">
        <v>54796475</v>
      </c>
      <c r="D193" s="49">
        <v>37538222.023617201</v>
      </c>
      <c r="E193" s="50">
        <f>VLOOKUP($A193,'Data shares'!$C:$FA,154)*100</f>
        <v>36.11</v>
      </c>
      <c r="F193" s="173">
        <f>C193/B193</f>
        <v>0.35761086945408815</v>
      </c>
    </row>
    <row r="194" spans="1:6" x14ac:dyDescent="0.25">
      <c r="A194" s="99" t="s">
        <v>296</v>
      </c>
      <c r="B194" s="49">
        <v>95553300</v>
      </c>
      <c r="C194" s="49">
        <v>22670400</v>
      </c>
      <c r="D194" s="49">
        <v>16934197.050347999</v>
      </c>
      <c r="E194" s="50">
        <f>VLOOKUP($A194,'Data shares'!$C:$FA,154)*100</f>
        <v>23.86</v>
      </c>
      <c r="F194" s="173">
        <f>C194/B194</f>
        <v>0.23725397239027851</v>
      </c>
    </row>
    <row r="195" spans="1:6" x14ac:dyDescent="0.25">
      <c r="A195" s="99" t="s">
        <v>594</v>
      </c>
      <c r="B195" s="49">
        <v>16239060</v>
      </c>
      <c r="C195" s="49">
        <v>2459400</v>
      </c>
      <c r="D195" s="49">
        <v>2221244.8407140002</v>
      </c>
      <c r="E195" s="50">
        <f>VLOOKUP($A195,'Data shares'!$C:$FA,154)*100</f>
        <v>15.21</v>
      </c>
      <c r="F195" s="173">
        <f>C195/B195</f>
        <v>0.15144965287399639</v>
      </c>
    </row>
    <row r="196" spans="1:6" x14ac:dyDescent="0.25">
      <c r="A196" s="99" t="s">
        <v>297</v>
      </c>
      <c r="B196" s="49">
        <v>41744334</v>
      </c>
      <c r="C196" s="49">
        <v>10252550</v>
      </c>
      <c r="D196" s="49">
        <v>7857660.3685352504</v>
      </c>
      <c r="E196" s="50">
        <f>VLOOKUP($A196,'Data shares'!$C:$FA,154)*100</f>
        <v>24.759999999999998</v>
      </c>
      <c r="F196" s="173">
        <f>C196/B196</f>
        <v>0.24560339134887144</v>
      </c>
    </row>
    <row r="197" spans="1:6" x14ac:dyDescent="0.25">
      <c r="A197" s="99" t="s">
        <v>685</v>
      </c>
      <c r="B197" s="49">
        <v>317244234</v>
      </c>
      <c r="C197" s="49">
        <v>102628800</v>
      </c>
      <c r="D197" s="49">
        <v>66709463.127520002</v>
      </c>
      <c r="E197" s="50">
        <f>VLOOKUP($A197,'Data shares'!$C:$FA,154)*100</f>
        <v>33.01</v>
      </c>
      <c r="F197" s="173">
        <f>C197/B197</f>
        <v>0.32350091507100487</v>
      </c>
    </row>
    <row r="198" spans="1:6" x14ac:dyDescent="0.25">
      <c r="A198" s="99" t="s">
        <v>298</v>
      </c>
      <c r="B198" s="49">
        <v>10726004</v>
      </c>
      <c r="C198" s="49">
        <v>3918875</v>
      </c>
      <c r="D198" s="49">
        <v>3169689.2718575001</v>
      </c>
      <c r="E198" s="50">
        <f>VLOOKUP($A198,'Data shares'!$C:$FA,154)*100</f>
        <v>37.57</v>
      </c>
      <c r="F198" s="173">
        <f>C198/B198</f>
        <v>0.36536206773743513</v>
      </c>
    </row>
    <row r="199" spans="1:6" x14ac:dyDescent="0.25">
      <c r="A199" s="99" t="s">
        <v>482</v>
      </c>
      <c r="B199" s="49">
        <v>33590487</v>
      </c>
      <c r="C199" s="49">
        <v>7821550</v>
      </c>
      <c r="D199" s="49">
        <v>5950288.4524184996</v>
      </c>
      <c r="E199" s="50"/>
      <c r="F199" s="173">
        <f>C199/B199</f>
        <v>0.23285015188972996</v>
      </c>
    </row>
    <row r="200" spans="1:6" x14ac:dyDescent="0.25">
      <c r="A200" s="99" t="s">
        <v>300</v>
      </c>
      <c r="B200" s="49">
        <v>32253708</v>
      </c>
      <c r="C200" s="49">
        <v>10729250</v>
      </c>
      <c r="D200" s="49">
        <v>9386000.7450107504</v>
      </c>
      <c r="E200" s="50">
        <f>VLOOKUP($A200,'Data shares'!$C:$FA,154)*100</f>
        <v>33.46</v>
      </c>
      <c r="F200" s="173">
        <f>C200/B200</f>
        <v>0.3326516752740491</v>
      </c>
    </row>
    <row r="201" spans="1:6" x14ac:dyDescent="0.25">
      <c r="A201" s="99" t="s">
        <v>302</v>
      </c>
      <c r="B201" s="49">
        <v>12994504</v>
      </c>
      <c r="C201" s="49">
        <v>2751050</v>
      </c>
      <c r="D201" s="49">
        <v>2435290.7676980002</v>
      </c>
      <c r="E201" s="50">
        <f>VLOOKUP($A201,'Data shares'!$C:$FA,154)*100</f>
        <v>21.27</v>
      </c>
      <c r="F201" s="173">
        <f>C201/B201</f>
        <v>0.21170873470815046</v>
      </c>
    </row>
    <row r="202" spans="1:6" x14ac:dyDescent="0.25">
      <c r="A202" s="99" t="s">
        <v>592</v>
      </c>
      <c r="B202" s="49">
        <v>289041713</v>
      </c>
      <c r="C202" s="49">
        <v>155255550</v>
      </c>
      <c r="D202" s="49">
        <v>111189908.77380501</v>
      </c>
      <c r="E202" s="50">
        <f>VLOOKUP($A202,'Data shares'!$C:$FA,154)*100</f>
        <v>54.11</v>
      </c>
      <c r="F202" s="173">
        <f>C202/B202</f>
        <v>0.53713890769807338</v>
      </c>
    </row>
    <row r="203" spans="1:6" x14ac:dyDescent="0.25">
      <c r="A203" s="99" t="s">
        <v>568</v>
      </c>
      <c r="B203" s="49">
        <v>38847259</v>
      </c>
      <c r="C203" s="49">
        <v>13317200</v>
      </c>
      <c r="D203" s="49">
        <v>9828338.4950479995</v>
      </c>
      <c r="E203" s="50">
        <f>VLOOKUP($A203,'Data shares'!$C:$FA,154)*100</f>
        <v>34.65</v>
      </c>
      <c r="F203" s="173">
        <f>C203/B203</f>
        <v>0.34280925714733179</v>
      </c>
    </row>
    <row r="204" spans="1:6" x14ac:dyDescent="0.25">
      <c r="A204" s="99" t="s">
        <v>671</v>
      </c>
      <c r="B204" s="49">
        <v>27343613</v>
      </c>
      <c r="C204" s="49">
        <v>4864750</v>
      </c>
      <c r="D204" s="49">
        <v>4317359.8238704996</v>
      </c>
      <c r="E204" s="50">
        <f>VLOOKUP($A204,'Data shares'!$C:$FA,154)*100</f>
        <v>17.93</v>
      </c>
      <c r="F204" s="173">
        <f>C204/B204</f>
        <v>0.1779117485315492</v>
      </c>
    </row>
    <row r="205" spans="1:6" x14ac:dyDescent="0.25">
      <c r="A205" s="99" t="s">
        <v>303</v>
      </c>
      <c r="B205" s="49">
        <v>84189026</v>
      </c>
      <c r="C205" s="49">
        <v>31845210</v>
      </c>
      <c r="D205" s="49">
        <v>24021569.4178386</v>
      </c>
      <c r="E205" s="50">
        <f>VLOOKUP($A205,'Data shares'!$C:$FA,154)*100</f>
        <v>38.04</v>
      </c>
      <c r="F205" s="173">
        <f>C205/B205</f>
        <v>0.37825844427752375</v>
      </c>
    </row>
    <row r="206" spans="1:6" x14ac:dyDescent="0.25">
      <c r="A206" s="99" t="s">
        <v>585</v>
      </c>
      <c r="B206" s="49">
        <v>205765243</v>
      </c>
      <c r="C206" s="49">
        <v>57268575</v>
      </c>
      <c r="D206" s="49">
        <v>47915865.190860003</v>
      </c>
      <c r="E206" s="50">
        <f>VLOOKUP($A206,'Data shares'!$C:$FA,154)*100</f>
        <v>27.99</v>
      </c>
      <c r="F206" s="173">
        <f>C206/B206</f>
        <v>0.27831996388233554</v>
      </c>
    </row>
    <row r="207" spans="1:6" x14ac:dyDescent="0.25">
      <c r="A207" s="99" t="s">
        <v>304</v>
      </c>
      <c r="B207" s="49">
        <v>255495438</v>
      </c>
      <c r="C207" s="49">
        <v>64922100</v>
      </c>
      <c r="D207" s="49">
        <v>41550981.047222503</v>
      </c>
      <c r="E207" s="50">
        <f>VLOOKUP($A207,'Data shares'!$C:$FA,154)*100</f>
        <v>26.38</v>
      </c>
      <c r="F207" s="173">
        <f>C207/B207</f>
        <v>0.25410277579985596</v>
      </c>
    </row>
    <row r="208" spans="1:6" x14ac:dyDescent="0.25">
      <c r="A208" s="99" t="s">
        <v>695</v>
      </c>
      <c r="B208" s="49">
        <v>321828727</v>
      </c>
      <c r="C208" s="49">
        <v>34032450</v>
      </c>
      <c r="D208" s="49">
        <v>30850341.309981</v>
      </c>
      <c r="E208" s="50">
        <f>VLOOKUP($A208,'Data shares'!$C:$FA,154)*100</f>
        <v>10.639999999999999</v>
      </c>
      <c r="F208" s="173">
        <f>C208/B208</f>
        <v>0.10574708577833078</v>
      </c>
    </row>
    <row r="209" spans="1:6" x14ac:dyDescent="0.25">
      <c r="A209" s="99" t="s">
        <v>305</v>
      </c>
      <c r="B209" s="49">
        <v>25134629</v>
      </c>
      <c r="C209" s="49">
        <v>13873875</v>
      </c>
      <c r="D209" s="49">
        <v>8556253.1722275</v>
      </c>
      <c r="E209" s="50">
        <f>VLOOKUP($A209,'Data shares'!$C:$FA,154)*100</f>
        <v>55.95</v>
      </c>
      <c r="F209" s="173">
        <f>C209/B209</f>
        <v>0.55198248599571531</v>
      </c>
    </row>
    <row r="210" spans="1:6" x14ac:dyDescent="0.25">
      <c r="A210" s="99" t="s">
        <v>688</v>
      </c>
      <c r="B210" s="49">
        <v>15436318</v>
      </c>
      <c r="C210" s="49">
        <v>7327950</v>
      </c>
      <c r="D210" s="49">
        <v>3880573.7065969999</v>
      </c>
      <c r="E210" s="50">
        <f>VLOOKUP($A210,'Data shares'!$C:$FA,154)*100</f>
        <v>47.74</v>
      </c>
      <c r="F210" s="173">
        <f>C210/B210</f>
        <v>0.47472136813973387</v>
      </c>
    </row>
    <row r="211" spans="1:6" x14ac:dyDescent="0.25">
      <c r="A211" s="99" t="s">
        <v>306</v>
      </c>
      <c r="B211" s="49">
        <v>428710078</v>
      </c>
      <c r="C211" s="49">
        <v>470805000</v>
      </c>
      <c r="D211" s="49">
        <v>240488773.80335999</v>
      </c>
      <c r="E211" s="50">
        <f>VLOOKUP($A211,'Data shares'!$C:$FA,154)*100</f>
        <v>112.06</v>
      </c>
      <c r="F211" s="173">
        <f>C211/B211</f>
        <v>1.0981897187870633</v>
      </c>
    </row>
    <row r="212" spans="1:6" x14ac:dyDescent="0.25">
      <c r="A212" s="99" t="s">
        <v>589</v>
      </c>
      <c r="B212" s="49">
        <v>3425130022</v>
      </c>
      <c r="C212" s="49">
        <v>1489254600</v>
      </c>
      <c r="D212" s="49">
        <v>1124638856.1145201</v>
      </c>
      <c r="E212" s="50">
        <f>VLOOKUP($A212,'Data shares'!$C:$FA,154)*100</f>
        <v>44.019999999999996</v>
      </c>
      <c r="F212" s="173">
        <f>C212/B212</f>
        <v>0.43480235507392367</v>
      </c>
    </row>
    <row r="213" spans="1:6" x14ac:dyDescent="0.25">
      <c r="A213" s="99" t="s">
        <v>556</v>
      </c>
      <c r="B213" s="49">
        <v>25160867</v>
      </c>
      <c r="C213" s="49">
        <v>14768100</v>
      </c>
      <c r="D213" s="49">
        <v>10689248.669643</v>
      </c>
      <c r="E213" s="50"/>
      <c r="F213" s="173">
        <f>C213/B213</f>
        <v>0.58694718270240842</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R15" sqref="R1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1" t="s">
        <v>420</v>
      </c>
      <c r="B4" s="322"/>
      <c r="C4" s="322"/>
      <c r="D4" s="322"/>
      <c r="E4" s="322"/>
      <c r="F4" s="322"/>
      <c r="G4" s="322"/>
      <c r="H4" s="322"/>
      <c r="I4" s="322"/>
      <c r="J4" s="322"/>
      <c r="K4" s="322"/>
      <c r="L4" s="322"/>
      <c r="M4" s="322"/>
      <c r="N4" s="323"/>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578</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578</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578</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605</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605</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605</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608</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608</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608</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597</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597</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597</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588</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588</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588</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601</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601</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601</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583</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583</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583</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610</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610</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610</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596</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596</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596</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600</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600</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600</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611</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611</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611</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571</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571</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571</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599</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599</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599</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582</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582</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582</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630</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630</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630</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575</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575</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575</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607</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607</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607</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577</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577</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577</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593</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593</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593</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591</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591</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591</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569</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569</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569</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580</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580</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580</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579</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579</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579</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581</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581</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581</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609</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609</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609</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576</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576</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576</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606</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606</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606</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587</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587</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587</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564</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564</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564</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560</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560</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560</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602</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602</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602</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562</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562</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562</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558</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558</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558</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590</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590</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590</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584</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584</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584</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565</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565</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565</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612</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612</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612</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586</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586</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586</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574</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574</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574</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572</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572</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572</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595</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595</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595</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604</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604</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604</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563</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563</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563</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561</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561</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561</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598</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598</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598</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613</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613</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613</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573</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573</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573</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603</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603</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603</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594</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594</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594</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592</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592</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592</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568</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568</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568</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585</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585</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585</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589</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589</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589</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570</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570</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570</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556</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556</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556</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4" t="s">
        <v>380</v>
      </c>
      <c r="B3" s="325"/>
      <c r="C3" s="325"/>
      <c r="D3" s="325"/>
      <c r="E3" s="325"/>
      <c r="F3" s="325"/>
      <c r="G3" s="326"/>
    </row>
    <row r="4" spans="1:7" s="72" customFormat="1" x14ac:dyDescent="0.25">
      <c r="A4" s="108" t="s">
        <v>330</v>
      </c>
      <c r="B4" s="327" t="s">
        <v>380</v>
      </c>
      <c r="C4" s="327"/>
      <c r="D4" s="327"/>
      <c r="E4" s="327"/>
      <c r="F4" s="327"/>
      <c r="G4" s="327"/>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81.63</v>
      </c>
      <c r="F6" s="49">
        <f>VLOOKUP($A6,'Data shares'!$C:$FA,129)</f>
        <v>9893750</v>
      </c>
      <c r="G6" s="17"/>
    </row>
    <row r="7" spans="1:7" x14ac:dyDescent="0.25">
      <c r="A7" s="101" t="s">
        <v>228</v>
      </c>
      <c r="B7" s="17">
        <v>292206563</v>
      </c>
      <c r="C7" s="17">
        <v>71903525</v>
      </c>
      <c r="D7" s="17">
        <f t="shared" ref="D7:D70" si="0">C7</f>
        <v>71903525</v>
      </c>
      <c r="E7" s="49">
        <f>VLOOKUP($A7,'Data shares'!$C:$FA,128)*100</f>
        <v>93.77</v>
      </c>
      <c r="F7" s="49">
        <f>VLOOKUP($A7,'Data shares'!$C:$FA,129)</f>
        <v>31098900</v>
      </c>
      <c r="G7" s="17"/>
    </row>
    <row r="8" spans="1:7" x14ac:dyDescent="0.25">
      <c r="A8" s="101" t="s">
        <v>200</v>
      </c>
      <c r="B8" s="17">
        <v>417418754</v>
      </c>
      <c r="C8" s="17">
        <v>109662000</v>
      </c>
      <c r="D8" s="17">
        <f t="shared" si="0"/>
        <v>109662000</v>
      </c>
      <c r="E8" s="49">
        <f>VLOOKUP($A8,'Data shares'!$C:$FA,128)*100</f>
        <v>93.06</v>
      </c>
      <c r="F8" s="49">
        <f>VLOOKUP($A8,'Data shares'!$C:$FA,129)</f>
        <v>51187950</v>
      </c>
      <c r="G8" s="17"/>
    </row>
    <row r="9" spans="1:7" x14ac:dyDescent="0.25">
      <c r="A9" s="101" t="s">
        <v>214</v>
      </c>
      <c r="B9" s="17">
        <v>30110093</v>
      </c>
      <c r="C9" s="17">
        <v>10703050</v>
      </c>
      <c r="D9" s="17">
        <f t="shared" si="0"/>
        <v>10703050</v>
      </c>
      <c r="E9" s="49">
        <f>VLOOKUP($A9,'Data shares'!$C:$FA,128)*100</f>
        <v>98.27</v>
      </c>
      <c r="F9" s="49">
        <f>VLOOKUP($A9,'Data shares'!$C:$FA,129)</f>
        <v>10456125</v>
      </c>
      <c r="G9" s="17"/>
    </row>
    <row r="10" spans="1:7" x14ac:dyDescent="0.25">
      <c r="A10" s="101" t="s">
        <v>243</v>
      </c>
      <c r="B10" s="17">
        <v>80699820</v>
      </c>
      <c r="C10" s="17">
        <v>65367500</v>
      </c>
      <c r="D10" s="17">
        <f t="shared" si="0"/>
        <v>65367500</v>
      </c>
      <c r="E10" s="49">
        <f>VLOOKUP($A10,'Data shares'!$C:$FA,128)*100</f>
        <v>97.25</v>
      </c>
      <c r="F10" s="49">
        <f>VLOOKUP($A10,'Data shares'!$C:$FA,129)</f>
        <v>8842500</v>
      </c>
      <c r="G10" s="17"/>
    </row>
    <row r="11" spans="1:7" x14ac:dyDescent="0.25">
      <c r="A11" s="101" t="s">
        <v>231</v>
      </c>
      <c r="B11" s="17">
        <v>80556813</v>
      </c>
      <c r="C11" s="17">
        <v>62967200</v>
      </c>
      <c r="D11" s="17">
        <f t="shared" si="0"/>
        <v>62967200</v>
      </c>
      <c r="E11" s="49">
        <f>VLOOKUP($A11,'Data shares'!$C:$FA,128)*100</f>
        <v>95.899999999999991</v>
      </c>
      <c r="F11" s="49">
        <f>VLOOKUP($A11,'Data shares'!$C:$FA,129)</f>
        <v>10488225</v>
      </c>
      <c r="G11" s="17"/>
    </row>
    <row r="12" spans="1:7" x14ac:dyDescent="0.25">
      <c r="A12" s="101" t="s">
        <v>195</v>
      </c>
      <c r="B12" s="17">
        <v>23823080</v>
      </c>
      <c r="C12" s="17">
        <v>2862400</v>
      </c>
      <c r="D12" s="17">
        <f t="shared" si="0"/>
        <v>2862400</v>
      </c>
      <c r="E12" s="49">
        <f>VLOOKUP($A12,'Data shares'!$C:$FA,128)*100</f>
        <v>84.94</v>
      </c>
      <c r="F12" s="49">
        <f>VLOOKUP($A12,'Data shares'!$C:$FA,129)</f>
        <v>2280375</v>
      </c>
      <c r="G12" s="17"/>
    </row>
    <row r="13" spans="1:7" x14ac:dyDescent="0.25">
      <c r="A13" s="101" t="s">
        <v>304</v>
      </c>
      <c r="B13" s="17">
        <v>223492679</v>
      </c>
      <c r="C13" s="17">
        <v>98465300</v>
      </c>
      <c r="D13" s="17">
        <f t="shared" si="0"/>
        <v>98465300</v>
      </c>
      <c r="E13" s="49">
        <f>VLOOKUP($A13,'Data shares'!$C:$FA,128)*100</f>
        <v>85.61999999999999</v>
      </c>
      <c r="F13" s="49">
        <f>VLOOKUP($A13,'Data shares'!$C:$FA,129)</f>
        <v>34934700</v>
      </c>
      <c r="G13" s="17"/>
    </row>
    <row r="14" spans="1:7" x14ac:dyDescent="0.25">
      <c r="A14" s="101" t="s">
        <v>167</v>
      </c>
      <c r="B14" s="17">
        <v>282181803</v>
      </c>
      <c r="C14" s="17">
        <v>95526000</v>
      </c>
      <c r="D14" s="17">
        <f t="shared" si="0"/>
        <v>95526000</v>
      </c>
      <c r="E14" s="49">
        <f>VLOOKUP($A14,'Data shares'!$C:$FA,128)*100</f>
        <v>91.17</v>
      </c>
      <c r="F14" s="49">
        <f>VLOOKUP($A14,'Data shares'!$C:$FA,129)</f>
        <v>147870000</v>
      </c>
      <c r="G14" s="17"/>
    </row>
    <row r="15" spans="1:7" x14ac:dyDescent="0.25">
      <c r="A15" s="101" t="s">
        <v>222</v>
      </c>
      <c r="B15" s="17">
        <v>214194964</v>
      </c>
      <c r="C15" s="17">
        <v>37437400</v>
      </c>
      <c r="D15" s="17">
        <f t="shared" si="0"/>
        <v>37437400</v>
      </c>
      <c r="E15" s="49">
        <f>VLOOKUP($A15,'Data shares'!$C:$FA,128)*100</f>
        <v>93.42</v>
      </c>
      <c r="F15" s="49">
        <f>VLOOKUP($A15,'Data shares'!$C:$FA,129)</f>
        <v>38425900</v>
      </c>
      <c r="G15" s="17"/>
    </row>
    <row r="16" spans="1:7" x14ac:dyDescent="0.25">
      <c r="A16" s="101" t="s">
        <v>290</v>
      </c>
      <c r="B16" s="17">
        <v>31601465</v>
      </c>
      <c r="C16" s="17">
        <v>13192000</v>
      </c>
      <c r="D16" s="17">
        <f t="shared" si="0"/>
        <v>13192000</v>
      </c>
      <c r="E16" s="49">
        <f>VLOOKUP($A16,'Data shares'!$C:$FA,128)*100</f>
        <v>86.59</v>
      </c>
      <c r="F16" s="49">
        <f>VLOOKUP($A16,'Data shares'!$C:$FA,129)</f>
        <v>39055850</v>
      </c>
      <c r="G16" s="17"/>
    </row>
    <row r="17" spans="1:7" x14ac:dyDescent="0.25">
      <c r="A17" s="101" t="s">
        <v>500</v>
      </c>
      <c r="B17" s="17">
        <v>24930381</v>
      </c>
      <c r="C17" s="17">
        <v>1925625</v>
      </c>
      <c r="D17" s="17">
        <f t="shared" si="0"/>
        <v>1925625</v>
      </c>
      <c r="E17" s="49">
        <f>VLOOKUP($A17,'Data shares'!$C:$FA,128)*100</f>
        <v>85.14</v>
      </c>
      <c r="F17" s="49">
        <f>VLOOKUP($A17,'Data shares'!$C:$FA,129)</f>
        <v>18370000</v>
      </c>
      <c r="G17" s="17"/>
    </row>
    <row r="18" spans="1:7" x14ac:dyDescent="0.25">
      <c r="A18" s="101" t="s">
        <v>491</v>
      </c>
      <c r="B18" s="17">
        <v>53841317</v>
      </c>
      <c r="C18" s="17">
        <v>9268750</v>
      </c>
      <c r="D18" s="17">
        <f t="shared" si="0"/>
        <v>9268750</v>
      </c>
      <c r="E18" s="49">
        <f>VLOOKUP($A18,'Data shares'!$C:$FA,128)*100</f>
        <v>96.97</v>
      </c>
      <c r="F18" s="49">
        <f>VLOOKUP($A18,'Data shares'!$C:$FA,129)</f>
        <v>14829750</v>
      </c>
      <c r="G18" s="17"/>
    </row>
    <row r="19" spans="1:7" x14ac:dyDescent="0.25">
      <c r="A19" s="101" t="s">
        <v>257</v>
      </c>
      <c r="B19" s="17">
        <v>43771086</v>
      </c>
      <c r="C19" s="17">
        <v>2865850</v>
      </c>
      <c r="D19" s="17">
        <f t="shared" si="0"/>
        <v>2865850</v>
      </c>
      <c r="E19" s="49">
        <f>VLOOKUP($A19,'Data shares'!$C:$FA,128)*100</f>
        <v>96.34</v>
      </c>
      <c r="F19" s="49">
        <f>VLOOKUP($A19,'Data shares'!$C:$FA,129)</f>
        <v>8480800</v>
      </c>
      <c r="G19" s="17"/>
    </row>
    <row r="20" spans="1:7" x14ac:dyDescent="0.25">
      <c r="A20" s="101" t="s">
        <v>259</v>
      </c>
      <c r="B20" s="17">
        <v>12838406</v>
      </c>
      <c r="C20" s="17">
        <v>3561800</v>
      </c>
      <c r="D20" s="17">
        <f t="shared" si="0"/>
        <v>3561800</v>
      </c>
      <c r="E20" s="49">
        <f>VLOOKUP($A20,'Data shares'!$C:$FA,128)*100</f>
        <v>85.36</v>
      </c>
      <c r="F20" s="49">
        <f>VLOOKUP($A20,'Data shares'!$C:$FA,129)</f>
        <v>1871400</v>
      </c>
      <c r="G20" s="17"/>
    </row>
    <row r="21" spans="1:7" x14ac:dyDescent="0.25">
      <c r="A21" s="101" t="s">
        <v>212</v>
      </c>
      <c r="B21" s="17">
        <v>393764205</v>
      </c>
      <c r="C21" s="17">
        <v>124730000</v>
      </c>
      <c r="D21" s="17">
        <f t="shared" si="0"/>
        <v>124730000</v>
      </c>
      <c r="E21" s="49">
        <f>VLOOKUP($A21,'Data shares'!$C:$FA,128)*100</f>
        <v>91.44</v>
      </c>
      <c r="F21" s="49">
        <f>VLOOKUP($A21,'Data shares'!$C:$FA,129)</f>
        <v>72350000</v>
      </c>
      <c r="G21" s="17"/>
    </row>
    <row r="22" spans="1:7" x14ac:dyDescent="0.25">
      <c r="A22" s="101" t="s">
        <v>209</v>
      </c>
      <c r="B22" s="17">
        <v>27768950</v>
      </c>
      <c r="C22" s="17">
        <v>5371100</v>
      </c>
      <c r="D22" s="17">
        <f t="shared" si="0"/>
        <v>5371100</v>
      </c>
      <c r="E22" s="49">
        <f>VLOOKUP($A22,'Data shares'!$C:$FA,128)*100</f>
        <v>94.22</v>
      </c>
      <c r="F22" s="49">
        <f>VLOOKUP($A22,'Data shares'!$C:$FA,129)</f>
        <v>3128700</v>
      </c>
      <c r="G22" s="17"/>
    </row>
    <row r="23" spans="1:7" x14ac:dyDescent="0.25">
      <c r="A23" s="101" t="s">
        <v>501</v>
      </c>
      <c r="B23" s="17">
        <v>155792872</v>
      </c>
      <c r="C23" s="17">
        <v>50166406</v>
      </c>
      <c r="D23" s="17">
        <f t="shared" si="0"/>
        <v>50166406</v>
      </c>
      <c r="E23" s="49">
        <f>VLOOKUP($A23,'Data shares'!$C:$FA,128)*100</f>
        <v>97.03</v>
      </c>
      <c r="F23" s="49">
        <f>VLOOKUP($A23,'Data shares'!$C:$FA,129)</f>
        <v>22282000</v>
      </c>
      <c r="G23" s="17"/>
    </row>
    <row r="24" spans="1:7" x14ac:dyDescent="0.25">
      <c r="A24" s="101" t="s">
        <v>276</v>
      </c>
      <c r="B24" s="17">
        <v>678857930</v>
      </c>
      <c r="C24" s="17">
        <v>84677374</v>
      </c>
      <c r="D24" s="17">
        <f t="shared" si="0"/>
        <v>84677374</v>
      </c>
      <c r="E24" s="49">
        <f>VLOOKUP($A24,'Data shares'!$C:$FA,128)*100</f>
        <v>96.82</v>
      </c>
      <c r="F24" s="49">
        <f>VLOOKUP($A24,'Data shares'!$C:$FA,129)</f>
        <v>80601800</v>
      </c>
      <c r="G24" s="17"/>
    </row>
    <row r="25" spans="1:7" x14ac:dyDescent="0.25">
      <c r="A25" s="101" t="s">
        <v>210</v>
      </c>
      <c r="B25" s="17">
        <v>14114257</v>
      </c>
      <c r="C25" s="17">
        <v>11000000</v>
      </c>
      <c r="D25" s="17">
        <f t="shared" si="0"/>
        <v>11000000</v>
      </c>
      <c r="E25" s="49">
        <f>VLOOKUP($A25,'Data shares'!$C:$FA,128)*100</f>
        <v>94.22</v>
      </c>
      <c r="F25" s="49">
        <f>VLOOKUP($A25,'Data shares'!$C:$FA,129)</f>
        <v>3128700</v>
      </c>
      <c r="G25" s="17"/>
    </row>
    <row r="26" spans="1:7" x14ac:dyDescent="0.25">
      <c r="A26" s="101" t="s">
        <v>267</v>
      </c>
      <c r="B26" s="17">
        <v>229794455</v>
      </c>
      <c r="C26" s="17">
        <v>133289800</v>
      </c>
      <c r="D26" s="17">
        <f t="shared" si="0"/>
        <v>133289800</v>
      </c>
      <c r="E26" s="49">
        <f>VLOOKUP($A26,'Data shares'!$C:$FA,128)*100</f>
        <v>97.55</v>
      </c>
      <c r="F26" s="49">
        <f>VLOOKUP($A26,'Data shares'!$C:$FA,129)</f>
        <v>305167500</v>
      </c>
      <c r="G26" s="17"/>
    </row>
    <row r="27" spans="1:7" x14ac:dyDescent="0.25">
      <c r="A27" s="101" t="s">
        <v>533</v>
      </c>
      <c r="B27" s="17">
        <v>61337685</v>
      </c>
      <c r="C27" s="17">
        <v>24741600</v>
      </c>
      <c r="D27" s="17">
        <f t="shared" si="0"/>
        <v>24741600</v>
      </c>
      <c r="E27" s="49">
        <f>VLOOKUP($A27,'Data shares'!$C:$FA,128)*100</f>
        <v>97.99</v>
      </c>
      <c r="F27" s="49">
        <f>VLOOKUP($A27,'Data shares'!$C:$FA,129)</f>
        <v>8630400</v>
      </c>
      <c r="G27" s="17"/>
    </row>
    <row r="28" spans="1:7" x14ac:dyDescent="0.25">
      <c r="A28" s="101" t="s">
        <v>502</v>
      </c>
      <c r="B28" s="17">
        <v>5165920</v>
      </c>
      <c r="C28" s="17">
        <v>1179400</v>
      </c>
      <c r="D28" s="17">
        <f t="shared" si="0"/>
        <v>1179400</v>
      </c>
      <c r="E28" s="49">
        <f>VLOOKUP($A28,'Data shares'!$C:$FA,128)*100</f>
        <v>92.38</v>
      </c>
      <c r="F28" s="49">
        <f>VLOOKUP($A28,'Data shares'!$C:$FA,129)</f>
        <v>9576100</v>
      </c>
      <c r="G28" s="17"/>
    </row>
    <row r="29" spans="1:7" x14ac:dyDescent="0.25">
      <c r="A29" s="101" t="s">
        <v>474</v>
      </c>
      <c r="B29" s="17">
        <v>7339737</v>
      </c>
      <c r="C29" s="17">
        <v>979625</v>
      </c>
      <c r="D29" s="17">
        <f t="shared" si="0"/>
        <v>979625</v>
      </c>
      <c r="E29" s="49">
        <f>VLOOKUP($A29,'Data shares'!$C:$FA,128)*100</f>
        <v>87.51</v>
      </c>
      <c r="F29" s="49">
        <f>VLOOKUP($A29,'Data shares'!$C:$FA,129)</f>
        <v>7994150</v>
      </c>
      <c r="G29" s="17"/>
    </row>
    <row r="30" spans="1:7" x14ac:dyDescent="0.25">
      <c r="A30" s="101" t="s">
        <v>158</v>
      </c>
      <c r="B30" s="17">
        <v>17078428</v>
      </c>
      <c r="C30" s="17">
        <v>3648750</v>
      </c>
      <c r="D30" s="17">
        <f t="shared" si="0"/>
        <v>3648750</v>
      </c>
      <c r="E30" s="49">
        <f>VLOOKUP($A30,'Data shares'!$C:$FA,128)*100</f>
        <v>98.350000000000009</v>
      </c>
      <c r="F30" s="49">
        <f>VLOOKUP($A30,'Data shares'!$C:$FA,129)</f>
        <v>51019800</v>
      </c>
      <c r="G30" s="17"/>
    </row>
    <row r="31" spans="1:7" x14ac:dyDescent="0.25">
      <c r="A31" s="101" t="s">
        <v>268</v>
      </c>
      <c r="B31" s="17">
        <v>948263976</v>
      </c>
      <c r="C31" s="17">
        <v>170042400</v>
      </c>
      <c r="D31" s="17">
        <f t="shared" si="0"/>
        <v>170042400</v>
      </c>
      <c r="E31" s="49">
        <f>VLOOKUP($A31,'Data shares'!$C:$FA,128)*100</f>
        <v>90.75</v>
      </c>
      <c r="F31" s="49">
        <f>VLOOKUP($A31,'Data shares'!$C:$FA,129)</f>
        <v>117973500</v>
      </c>
      <c r="G31" s="17"/>
    </row>
    <row r="32" spans="1:7" x14ac:dyDescent="0.25">
      <c r="A32" s="101" t="s">
        <v>556</v>
      </c>
      <c r="B32" s="17">
        <v>51441633</v>
      </c>
      <c r="C32" s="17">
        <v>26329600</v>
      </c>
      <c r="D32" s="17">
        <f t="shared" si="0"/>
        <v>26329600</v>
      </c>
      <c r="E32" s="49">
        <f>VLOOKUP($A32,'Data shares'!$C:$FA,128)*100</f>
        <v>91.69</v>
      </c>
      <c r="F32" s="49">
        <f>VLOOKUP($A32,'Data shares'!$C:$FA,129)</f>
        <v>10288800</v>
      </c>
      <c r="G32" s="17"/>
    </row>
    <row r="33" spans="1:7" x14ac:dyDescent="0.25">
      <c r="A33" s="101" t="s">
        <v>549</v>
      </c>
      <c r="B33" s="17">
        <v>319287188</v>
      </c>
      <c r="C33" s="17">
        <v>149780000</v>
      </c>
      <c r="D33" s="17">
        <f t="shared" si="0"/>
        <v>149780000</v>
      </c>
      <c r="E33" s="49">
        <f>VLOOKUP($A33,'Data shares'!$C:$FA,128)*100</f>
        <v>95.87</v>
      </c>
      <c r="F33" s="49">
        <f>VLOOKUP($A33,'Data shares'!$C:$FA,129)</f>
        <v>4601631975</v>
      </c>
      <c r="G33" s="17"/>
    </row>
    <row r="34" spans="1:7" x14ac:dyDescent="0.25">
      <c r="A34" s="101" t="s">
        <v>536</v>
      </c>
      <c r="B34" s="17">
        <v>57585215</v>
      </c>
      <c r="C34" s="17">
        <v>5314000</v>
      </c>
      <c r="D34" s="17">
        <f t="shared" si="0"/>
        <v>5314000</v>
      </c>
      <c r="E34" s="49">
        <f>VLOOKUP($A34,'Data shares'!$C:$FA,128)*100</f>
        <v>97.06</v>
      </c>
      <c r="F34" s="49">
        <f>VLOOKUP($A34,'Data shares'!$C:$FA,129)</f>
        <v>24774400</v>
      </c>
      <c r="G34" s="17"/>
    </row>
    <row r="35" spans="1:7" x14ac:dyDescent="0.25">
      <c r="A35" s="101" t="s">
        <v>270</v>
      </c>
      <c r="B35" s="17">
        <v>1178038</v>
      </c>
      <c r="C35" s="17">
        <v>100890</v>
      </c>
      <c r="D35" s="17">
        <f t="shared" si="0"/>
        <v>100890</v>
      </c>
      <c r="E35" s="49">
        <f>VLOOKUP($A35,'Data shares'!$C:$FA,128)*100</f>
        <v>93.92</v>
      </c>
      <c r="F35" s="49">
        <f>VLOOKUP($A35,'Data shares'!$C:$FA,129)</f>
        <v>271360</v>
      </c>
      <c r="G35" s="17"/>
    </row>
    <row r="36" spans="1:7" x14ac:dyDescent="0.25">
      <c r="A36" s="101" t="s">
        <v>258</v>
      </c>
      <c r="B36" s="17">
        <v>13335005</v>
      </c>
      <c r="C36" s="17">
        <v>5970600</v>
      </c>
      <c r="D36" s="17">
        <f t="shared" si="0"/>
        <v>5970600</v>
      </c>
      <c r="E36" s="49">
        <f>VLOOKUP($A36,'Data shares'!$C:$FA,128)*100</f>
        <v>96.34</v>
      </c>
      <c r="F36" s="49">
        <f>VLOOKUP($A36,'Data shares'!$C:$FA,129)</f>
        <v>8480800</v>
      </c>
      <c r="G36" s="17"/>
    </row>
    <row r="37" spans="1:7" x14ac:dyDescent="0.25">
      <c r="A37" s="101" t="s">
        <v>301</v>
      </c>
      <c r="B37" s="17">
        <v>14428803</v>
      </c>
      <c r="C37" s="17">
        <v>2171400</v>
      </c>
      <c r="D37" s="17">
        <f t="shared" si="0"/>
        <v>2171400</v>
      </c>
      <c r="E37" s="49">
        <f>VLOOKUP($A37,'Data shares'!$C:$FA,128)*100</f>
        <v>94.44</v>
      </c>
      <c r="F37" s="49">
        <f>VLOOKUP($A37,'Data shares'!$C:$FA,129)</f>
        <v>8804775</v>
      </c>
      <c r="G37" s="17"/>
    </row>
    <row r="38" spans="1:7" x14ac:dyDescent="0.25">
      <c r="A38" s="101" t="s">
        <v>283</v>
      </c>
      <c r="B38" s="17">
        <v>747713393</v>
      </c>
      <c r="C38" s="17">
        <v>158166000</v>
      </c>
      <c r="D38" s="17">
        <f t="shared" si="0"/>
        <v>158166000</v>
      </c>
      <c r="E38" s="49">
        <f>VLOOKUP($A38,'Data shares'!$C:$FA,128)*100</f>
        <v>89.91</v>
      </c>
      <c r="F38" s="49">
        <f>VLOOKUP($A38,'Data shares'!$C:$FA,129)</f>
        <v>82872750</v>
      </c>
      <c r="G38" s="17"/>
    </row>
    <row r="39" spans="1:7" x14ac:dyDescent="0.25">
      <c r="A39" s="101" t="s">
        <v>281</v>
      </c>
      <c r="B39" s="17">
        <v>648405756</v>
      </c>
      <c r="C39" s="17">
        <v>61815500</v>
      </c>
      <c r="D39" s="17">
        <f t="shared" si="0"/>
        <v>61815500</v>
      </c>
      <c r="E39" s="49">
        <f>VLOOKUP($A39,'Data shares'!$C:$FA,128)*100</f>
        <v>94.73</v>
      </c>
      <c r="F39" s="49">
        <f>VLOOKUP($A39,'Data shares'!$C:$FA,129)</f>
        <v>104836000</v>
      </c>
      <c r="G39" s="17"/>
    </row>
    <row r="40" spans="1:7" x14ac:dyDescent="0.25">
      <c r="A40" s="101" t="s">
        <v>198</v>
      </c>
      <c r="B40" s="17">
        <v>79546680</v>
      </c>
      <c r="C40" s="17">
        <v>13283750</v>
      </c>
      <c r="D40" s="17">
        <f t="shared" si="0"/>
        <v>13283750</v>
      </c>
      <c r="E40" s="49">
        <f>VLOOKUP($A40,'Data shares'!$C:$FA,128)*100</f>
        <v>93.69</v>
      </c>
      <c r="F40" s="49">
        <f>VLOOKUP($A40,'Data shares'!$C:$FA,129)</f>
        <v>16666250</v>
      </c>
      <c r="G40" s="17"/>
    </row>
    <row r="41" spans="1:7" x14ac:dyDescent="0.25">
      <c r="A41" s="101" t="s">
        <v>299</v>
      </c>
      <c r="B41" s="17">
        <v>44634693</v>
      </c>
      <c r="C41" s="17">
        <v>3805500</v>
      </c>
      <c r="D41" s="17">
        <f t="shared" si="0"/>
        <v>3805500</v>
      </c>
      <c r="E41" s="49">
        <f>VLOOKUP($A41,'Data shares'!$C:$FA,128)*100</f>
        <v>98.19</v>
      </c>
      <c r="F41" s="49">
        <f>VLOOKUP($A41,'Data shares'!$C:$FA,129)</f>
        <v>3072000</v>
      </c>
      <c r="G41" s="17"/>
    </row>
    <row r="42" spans="1:7" x14ac:dyDescent="0.25">
      <c r="A42" s="101" t="s">
        <v>273</v>
      </c>
      <c r="B42" s="17">
        <v>232357926</v>
      </c>
      <c r="C42" s="17">
        <v>67053000</v>
      </c>
      <c r="D42" s="17">
        <f t="shared" si="0"/>
        <v>67053000</v>
      </c>
      <c r="E42" s="49">
        <f>VLOOKUP($A42,'Data shares'!$C:$FA,128)*100</f>
        <v>91.07</v>
      </c>
      <c r="F42" s="49">
        <f>VLOOKUP($A42,'Data shares'!$C:$FA,129)</f>
        <v>49918700</v>
      </c>
      <c r="G42" s="17"/>
    </row>
    <row r="43" spans="1:7" x14ac:dyDescent="0.25">
      <c r="A43" s="101" t="s">
        <v>207</v>
      </c>
      <c r="B43" s="17">
        <v>124016568</v>
      </c>
      <c r="C43" s="17">
        <v>57530550</v>
      </c>
      <c r="D43" s="17">
        <f t="shared" si="0"/>
        <v>57530550</v>
      </c>
      <c r="E43" s="49">
        <f>VLOOKUP($A43,'Data shares'!$C:$FA,128)*100</f>
        <v>96.65</v>
      </c>
      <c r="F43" s="49">
        <f>VLOOKUP($A43,'Data shares'!$C:$FA,129)</f>
        <v>36204875</v>
      </c>
      <c r="G43" s="17"/>
    </row>
    <row r="44" spans="1:7" x14ac:dyDescent="0.25">
      <c r="A44" s="101" t="s">
        <v>191</v>
      </c>
      <c r="B44" s="17">
        <v>92946457</v>
      </c>
      <c r="C44" s="17">
        <v>36478000</v>
      </c>
      <c r="D44" s="17">
        <f t="shared" si="0"/>
        <v>36478000</v>
      </c>
      <c r="E44" s="49">
        <f>VLOOKUP($A44,'Data shares'!$C:$FA,128)*100</f>
        <v>93.51</v>
      </c>
      <c r="F44" s="49">
        <f>VLOOKUP($A44,'Data shares'!$C:$FA,129)</f>
        <v>35237500</v>
      </c>
      <c r="G44" s="17"/>
    </row>
    <row r="45" spans="1:7" x14ac:dyDescent="0.25">
      <c r="A45" s="101" t="s">
        <v>288</v>
      </c>
      <c r="B45" s="17">
        <v>218440087</v>
      </c>
      <c r="C45" s="17">
        <v>44080400</v>
      </c>
      <c r="D45" s="17">
        <f t="shared" si="0"/>
        <v>44080400</v>
      </c>
      <c r="E45" s="49">
        <f>VLOOKUP($A45,'Data shares'!$C:$FA,128)*100</f>
        <v>86.32</v>
      </c>
      <c r="F45" s="49">
        <f>VLOOKUP($A45,'Data shares'!$C:$FA,129)</f>
        <v>22410150</v>
      </c>
      <c r="G45" s="17"/>
    </row>
    <row r="46" spans="1:7" x14ac:dyDescent="0.25">
      <c r="A46" s="101" t="s">
        <v>275</v>
      </c>
      <c r="B46" s="17">
        <v>591377974</v>
      </c>
      <c r="C46" s="17">
        <v>493488000</v>
      </c>
      <c r="D46" s="17">
        <f t="shared" si="0"/>
        <v>493488000</v>
      </c>
      <c r="E46" s="49">
        <f>VLOOKUP($A46,'Data shares'!$C:$FA,128)*100</f>
        <v>95.99</v>
      </c>
      <c r="F46" s="49">
        <f>VLOOKUP($A46,'Data shares'!$C:$FA,129)</f>
        <v>267600000</v>
      </c>
      <c r="G46" s="17"/>
    </row>
    <row r="47" spans="1:7" x14ac:dyDescent="0.25">
      <c r="A47" s="101" t="s">
        <v>277</v>
      </c>
      <c r="B47" s="17">
        <v>10116165</v>
      </c>
      <c r="C47" s="17">
        <v>7378910</v>
      </c>
      <c r="D47" s="17">
        <f t="shared" si="0"/>
        <v>7378910</v>
      </c>
      <c r="E47" s="49">
        <f>VLOOKUP($A47,'Data shares'!$C:$FA,128)*100</f>
        <v>94.75</v>
      </c>
      <c r="F47" s="49">
        <f>VLOOKUP($A47,'Data shares'!$C:$FA,129)</f>
        <v>4884300</v>
      </c>
      <c r="G47" s="17"/>
    </row>
    <row r="48" spans="1:7" x14ac:dyDescent="0.25">
      <c r="A48" s="101" t="s">
        <v>196</v>
      </c>
      <c r="B48" s="17">
        <v>134484114</v>
      </c>
      <c r="C48" s="17">
        <v>73278000</v>
      </c>
      <c r="D48" s="17">
        <f t="shared" si="0"/>
        <v>73278000</v>
      </c>
      <c r="E48" s="49">
        <f>VLOOKUP($A48,'Data shares'!$C:$FA,128)*100</f>
        <v>95.3</v>
      </c>
      <c r="F48" s="49">
        <f>VLOOKUP($A48,'Data shares'!$C:$FA,129)</f>
        <v>202014000</v>
      </c>
      <c r="G48" s="17"/>
    </row>
    <row r="49" spans="1:7" x14ac:dyDescent="0.25">
      <c r="A49" s="101" t="s">
        <v>287</v>
      </c>
      <c r="B49" s="17">
        <v>40005132</v>
      </c>
      <c r="C49" s="17">
        <v>6264400</v>
      </c>
      <c r="D49" s="17">
        <f t="shared" si="0"/>
        <v>6264400</v>
      </c>
      <c r="E49" s="49">
        <f>VLOOKUP($A49,'Data shares'!$C:$FA,128)*100</f>
        <v>84.23</v>
      </c>
      <c r="F49" s="49">
        <f>VLOOKUP($A49,'Data shares'!$C:$FA,129)</f>
        <v>3266800</v>
      </c>
      <c r="G49" s="17"/>
    </row>
    <row r="50" spans="1:7" x14ac:dyDescent="0.25">
      <c r="A50" s="101" t="s">
        <v>553</v>
      </c>
      <c r="B50" s="17">
        <v>10595418</v>
      </c>
      <c r="C50" s="17">
        <v>250250</v>
      </c>
      <c r="D50" s="17">
        <f t="shared" si="0"/>
        <v>250250</v>
      </c>
      <c r="E50" s="49">
        <f>VLOOKUP($A50,'Data shares'!$C:$FA,128)*100</f>
        <v>87.94</v>
      </c>
      <c r="F50" s="49">
        <f>VLOOKUP($A50,'Data shares'!$C:$FA,129)</f>
        <v>2459750</v>
      </c>
      <c r="G50" s="17"/>
    </row>
    <row r="51" spans="1:7" x14ac:dyDescent="0.25">
      <c r="A51" s="101" t="s">
        <v>519</v>
      </c>
      <c r="B51" s="17">
        <v>9516271</v>
      </c>
      <c r="C51" s="17">
        <v>1000800</v>
      </c>
      <c r="D51" s="17">
        <f t="shared" si="0"/>
        <v>1000800</v>
      </c>
      <c r="E51" s="49">
        <f>VLOOKUP($A51,'Data shares'!$C:$FA,128)*100</f>
        <v>84.93</v>
      </c>
      <c r="F51" s="49">
        <f>VLOOKUP($A51,'Data shares'!$C:$FA,129)</f>
        <v>1491000</v>
      </c>
      <c r="G51" s="17"/>
    </row>
    <row r="52" spans="1:7" x14ac:dyDescent="0.25">
      <c r="A52" s="101" t="s">
        <v>550</v>
      </c>
      <c r="B52" s="17">
        <v>137684181</v>
      </c>
      <c r="C52" s="17">
        <v>42696000</v>
      </c>
      <c r="D52" s="17">
        <f t="shared" si="0"/>
        <v>42696000</v>
      </c>
      <c r="E52" s="49">
        <f>VLOOKUP($A52,'Data shares'!$C:$FA,128)*100</f>
        <v>98.04</v>
      </c>
      <c r="F52" s="49">
        <f>VLOOKUP($A52,'Data shares'!$C:$FA,129)</f>
        <v>82017000</v>
      </c>
      <c r="G52" s="17"/>
    </row>
    <row r="53" spans="1:7" x14ac:dyDescent="0.25">
      <c r="A53" s="101" t="s">
        <v>284</v>
      </c>
      <c r="B53" s="17">
        <v>2702190</v>
      </c>
      <c r="C53" s="17">
        <v>250575</v>
      </c>
      <c r="D53" s="17">
        <f t="shared" si="0"/>
        <v>250575</v>
      </c>
      <c r="E53" s="49">
        <f>VLOOKUP($A53,'Data shares'!$C:$FA,128)*100</f>
        <v>97.25</v>
      </c>
      <c r="F53" s="49">
        <f>VLOOKUP($A53,'Data shares'!$C:$FA,129)</f>
        <v>363000</v>
      </c>
      <c r="G53" s="17"/>
    </row>
    <row r="54" spans="1:7" x14ac:dyDescent="0.25">
      <c r="A54" s="101" t="s">
        <v>488</v>
      </c>
      <c r="B54" s="17">
        <v>5499709</v>
      </c>
      <c r="C54" s="17">
        <v>1097600</v>
      </c>
      <c r="D54" s="17">
        <f t="shared" si="0"/>
        <v>1097600</v>
      </c>
      <c r="E54" s="49">
        <f>VLOOKUP($A54,'Data shares'!$C:$FA,128)*100</f>
        <v>91.12</v>
      </c>
      <c r="F54" s="49">
        <f>VLOOKUP($A54,'Data shares'!$C:$FA,129)</f>
        <v>3754950</v>
      </c>
      <c r="G54" s="17"/>
    </row>
    <row r="55" spans="1:7" x14ac:dyDescent="0.25">
      <c r="A55" s="101" t="s">
        <v>523</v>
      </c>
      <c r="B55" s="17">
        <v>118085392</v>
      </c>
      <c r="C55" s="17">
        <v>6549400</v>
      </c>
      <c r="D55" s="17">
        <f t="shared" si="0"/>
        <v>6549400</v>
      </c>
      <c r="E55" s="49">
        <f>VLOOKUP($A55,'Data shares'!$C:$FA,128)*100</f>
        <v>97.14</v>
      </c>
      <c r="F55" s="49">
        <f>VLOOKUP($A55,'Data shares'!$C:$FA,129)</f>
        <v>49675900</v>
      </c>
      <c r="G55" s="17"/>
    </row>
    <row r="56" spans="1:7" x14ac:dyDescent="0.25">
      <c r="A56" s="101" t="s">
        <v>485</v>
      </c>
      <c r="B56" s="17">
        <v>6917069</v>
      </c>
      <c r="C56" s="17">
        <v>762075</v>
      </c>
      <c r="D56" s="17">
        <f t="shared" si="0"/>
        <v>762075</v>
      </c>
      <c r="E56" s="49">
        <f>VLOOKUP($A56,'Data shares'!$C:$FA,128)*100</f>
        <v>98.53</v>
      </c>
      <c r="F56" s="49">
        <f>VLOOKUP($A56,'Data shares'!$C:$FA,129)</f>
        <v>14190350</v>
      </c>
      <c r="G56" s="17"/>
    </row>
    <row r="57" spans="1:7" x14ac:dyDescent="0.25">
      <c r="A57" s="101" t="s">
        <v>178</v>
      </c>
      <c r="B57" s="17">
        <v>16125398</v>
      </c>
      <c r="C57" s="17">
        <v>1552600</v>
      </c>
      <c r="D57" s="17">
        <f t="shared" si="0"/>
        <v>1552600</v>
      </c>
      <c r="E57" s="49">
        <f>VLOOKUP($A57,'Data shares'!$C:$FA,128)*100</f>
        <v>98.4</v>
      </c>
      <c r="F57" s="49">
        <f>VLOOKUP($A57,'Data shares'!$C:$FA,129)</f>
        <v>70300500</v>
      </c>
      <c r="G57" s="17"/>
    </row>
    <row r="58" spans="1:7" x14ac:dyDescent="0.25">
      <c r="A58" s="101" t="s">
        <v>240</v>
      </c>
      <c r="B58" s="17">
        <v>727896180</v>
      </c>
      <c r="C58" s="17">
        <v>46526100</v>
      </c>
      <c r="D58" s="17">
        <f t="shared" si="0"/>
        <v>46526100</v>
      </c>
      <c r="E58" s="49">
        <f>VLOOKUP($A58,'Data shares'!$C:$FA,128)*100</f>
        <v>94.02000000000001</v>
      </c>
      <c r="F58" s="49">
        <f>VLOOKUP($A58,'Data shares'!$C:$FA,129)</f>
        <v>88737200</v>
      </c>
      <c r="G58" s="17"/>
    </row>
    <row r="59" spans="1:7" x14ac:dyDescent="0.25">
      <c r="A59" s="101" t="s">
        <v>202</v>
      </c>
      <c r="B59" s="17">
        <v>55081874</v>
      </c>
      <c r="C59" s="17">
        <v>10856000</v>
      </c>
      <c r="D59" s="17">
        <f t="shared" si="0"/>
        <v>10856000</v>
      </c>
      <c r="E59" s="49">
        <f>VLOOKUP($A59,'Data shares'!$C:$FA,128)*100</f>
        <v>85.14</v>
      </c>
      <c r="F59" s="49">
        <f>VLOOKUP($A59,'Data shares'!$C:$FA,129)</f>
        <v>18370000</v>
      </c>
      <c r="G59" s="17"/>
    </row>
    <row r="60" spans="1:7" x14ac:dyDescent="0.25">
      <c r="A60" s="101" t="s">
        <v>245</v>
      </c>
      <c r="B60" s="17">
        <v>15273675</v>
      </c>
      <c r="C60" s="17">
        <v>5077125</v>
      </c>
      <c r="D60" s="17">
        <f t="shared" si="0"/>
        <v>5077125</v>
      </c>
      <c r="E60" s="49">
        <f>VLOOKUP($A60,'Data shares'!$C:$FA,128)*100</f>
        <v>91.320000000000007</v>
      </c>
      <c r="F60" s="49">
        <f>VLOOKUP($A60,'Data shares'!$C:$FA,129)</f>
        <v>32192500</v>
      </c>
      <c r="G60" s="17"/>
    </row>
    <row r="61" spans="1:7" x14ac:dyDescent="0.25">
      <c r="A61" s="101" t="s">
        <v>173</v>
      </c>
      <c r="B61" s="17">
        <v>541823383</v>
      </c>
      <c r="C61" s="17">
        <v>95378400</v>
      </c>
      <c r="D61" s="17">
        <f t="shared" si="0"/>
        <v>95378400</v>
      </c>
      <c r="E61" s="49">
        <f>VLOOKUP($A61,'Data shares'!$C:$FA,128)*100</f>
        <v>90.85</v>
      </c>
      <c r="F61" s="49">
        <f>VLOOKUP($A61,'Data shares'!$C:$FA,129)</f>
        <v>63002500</v>
      </c>
      <c r="G61" s="17"/>
    </row>
    <row r="62" spans="1:7" x14ac:dyDescent="0.25">
      <c r="A62" s="101" t="s">
        <v>234</v>
      </c>
      <c r="B62" s="17">
        <v>1606294231</v>
      </c>
      <c r="C62" s="17">
        <v>1302000000</v>
      </c>
      <c r="D62" s="17">
        <f t="shared" si="0"/>
        <v>1302000000</v>
      </c>
      <c r="E62" s="49">
        <f>VLOOKUP($A62,'Data shares'!$C:$FA,128)*100</f>
        <v>95.87</v>
      </c>
      <c r="F62" s="49">
        <f>VLOOKUP($A62,'Data shares'!$C:$FA,129)</f>
        <v>4601631975</v>
      </c>
      <c r="G62" s="17"/>
    </row>
    <row r="63" spans="1:7" x14ac:dyDescent="0.25">
      <c r="A63" s="101" t="s">
        <v>235</v>
      </c>
      <c r="B63" s="17">
        <v>789260827</v>
      </c>
      <c r="C63" s="17">
        <v>462303900</v>
      </c>
      <c r="D63" s="17">
        <f t="shared" si="0"/>
        <v>462303900</v>
      </c>
      <c r="E63" s="49">
        <f>VLOOKUP($A63,'Data shares'!$C:$FA,128)*100</f>
        <v>95.94</v>
      </c>
      <c r="F63" s="49">
        <f>VLOOKUP($A63,'Data shares'!$C:$FA,129)</f>
        <v>368542125</v>
      </c>
      <c r="G63" s="17"/>
    </row>
    <row r="64" spans="1:7" x14ac:dyDescent="0.25">
      <c r="A64" s="101" t="s">
        <v>482</v>
      </c>
      <c r="B64" s="17">
        <v>44785930</v>
      </c>
      <c r="C64" s="17">
        <v>4025925</v>
      </c>
      <c r="D64" s="17">
        <f t="shared" si="0"/>
        <v>4025925</v>
      </c>
      <c r="E64" s="49">
        <f>VLOOKUP($A64,'Data shares'!$C:$FA,128)*100</f>
        <v>93.22</v>
      </c>
      <c r="F64" s="49">
        <f>VLOOKUP($A64,'Data shares'!$C:$FA,129)</f>
        <v>6147250</v>
      </c>
      <c r="G64" s="17"/>
    </row>
    <row r="65" spans="1:7" x14ac:dyDescent="0.25">
      <c r="A65" s="101" t="s">
        <v>475</v>
      </c>
      <c r="B65" s="17">
        <v>13287700</v>
      </c>
      <c r="C65" s="17">
        <v>3968400</v>
      </c>
      <c r="D65" s="17">
        <f t="shared" si="0"/>
        <v>3968400</v>
      </c>
      <c r="E65" s="49">
        <f>VLOOKUP($A65,'Data shares'!$C:$FA,128)*100</f>
        <v>90.78</v>
      </c>
      <c r="F65" s="49">
        <f>VLOOKUP($A65,'Data shares'!$C:$FA,129)</f>
        <v>6573600</v>
      </c>
      <c r="G65" s="17"/>
    </row>
    <row r="66" spans="1:7" x14ac:dyDescent="0.25">
      <c r="A66" s="101" t="s">
        <v>306</v>
      </c>
      <c r="B66" s="17">
        <v>292716179</v>
      </c>
      <c r="C66" s="17">
        <v>57797600</v>
      </c>
      <c r="D66" s="17">
        <f t="shared" si="0"/>
        <v>57797600</v>
      </c>
      <c r="E66" s="49">
        <f>VLOOKUP($A66,'Data shares'!$C:$FA,128)*100</f>
        <v>84.78</v>
      </c>
      <c r="F66" s="49">
        <f>VLOOKUP($A66,'Data shares'!$C:$FA,129)</f>
        <v>250839000</v>
      </c>
      <c r="G66" s="17"/>
    </row>
    <row r="67" spans="1:7" x14ac:dyDescent="0.25">
      <c r="A67" s="101" t="s">
        <v>262</v>
      </c>
      <c r="B67" s="17">
        <v>21376133</v>
      </c>
      <c r="C67" s="17">
        <v>5958375</v>
      </c>
      <c r="D67" s="17">
        <f t="shared" si="0"/>
        <v>5958375</v>
      </c>
      <c r="E67" s="49">
        <f>VLOOKUP($A67,'Data shares'!$C:$FA,128)*100</f>
        <v>83.02000000000001</v>
      </c>
      <c r="F67" s="49">
        <f>VLOOKUP($A67,'Data shares'!$C:$FA,129)</f>
        <v>3633300</v>
      </c>
      <c r="G67" s="17"/>
    </row>
    <row r="68" spans="1:7" x14ac:dyDescent="0.25">
      <c r="A68" s="101" t="s">
        <v>174</v>
      </c>
      <c r="B68" s="17">
        <v>26775498</v>
      </c>
      <c r="C68" s="17">
        <v>3494750</v>
      </c>
      <c r="D68" s="17">
        <f t="shared" si="0"/>
        <v>3494750</v>
      </c>
      <c r="E68" s="49">
        <f>VLOOKUP($A68,'Data shares'!$C:$FA,128)*100</f>
        <v>83.69</v>
      </c>
      <c r="F68" s="49">
        <f>VLOOKUP($A68,'Data shares'!$C:$FA,129)</f>
        <v>2012700</v>
      </c>
      <c r="G68" s="17"/>
    </row>
    <row r="69" spans="1:7" x14ac:dyDescent="0.25">
      <c r="A69" s="101" t="s">
        <v>286</v>
      </c>
      <c r="B69" s="17">
        <v>29168705</v>
      </c>
      <c r="C69" s="17">
        <v>6373125</v>
      </c>
      <c r="D69" s="17">
        <f t="shared" si="0"/>
        <v>6373125</v>
      </c>
      <c r="E69" s="49">
        <f>VLOOKUP($A69,'Data shares'!$C:$FA,128)*100</f>
        <v>84.23</v>
      </c>
      <c r="F69" s="49">
        <f>VLOOKUP($A69,'Data shares'!$C:$FA,129)</f>
        <v>3266800</v>
      </c>
      <c r="G69" s="17"/>
    </row>
    <row r="70" spans="1:7" x14ac:dyDescent="0.25">
      <c r="A70" s="101" t="s">
        <v>297</v>
      </c>
      <c r="B70" s="17">
        <v>83636848</v>
      </c>
      <c r="C70" s="17">
        <v>13455750</v>
      </c>
      <c r="D70" s="17">
        <f t="shared" si="0"/>
        <v>13455750</v>
      </c>
      <c r="E70" s="49">
        <f>VLOOKUP($A70,'Data shares'!$C:$FA,128)*100</f>
        <v>91.62</v>
      </c>
      <c r="F70" s="49">
        <f>VLOOKUP($A70,'Data shares'!$C:$FA,129)</f>
        <v>7180250</v>
      </c>
      <c r="G70" s="17"/>
    </row>
    <row r="71" spans="1:7" x14ac:dyDescent="0.25">
      <c r="A71" s="101" t="s">
        <v>302</v>
      </c>
      <c r="B71" s="17">
        <v>23058222</v>
      </c>
      <c r="C71" s="17">
        <v>3980500</v>
      </c>
      <c r="D71" s="17">
        <f t="shared" ref="D71:D134" si="1">C71</f>
        <v>3980500</v>
      </c>
      <c r="E71" s="49">
        <f>VLOOKUP($A71,'Data shares'!$C:$FA,128)*100</f>
        <v>89.55</v>
      </c>
      <c r="F71" s="49">
        <f>VLOOKUP($A71,'Data shares'!$C:$FA,129)</f>
        <v>2314700</v>
      </c>
      <c r="G71" s="17"/>
    </row>
    <row r="72" spans="1:7" x14ac:dyDescent="0.25">
      <c r="A72" s="101" t="s">
        <v>307</v>
      </c>
      <c r="B72" s="17">
        <v>184439886</v>
      </c>
      <c r="C72" s="17">
        <v>122460000</v>
      </c>
      <c r="D72" s="17">
        <f t="shared" si="1"/>
        <v>122460000</v>
      </c>
      <c r="E72" s="49">
        <f>VLOOKUP($A72,'Data shares'!$C:$FA,128)*100</f>
        <v>97.21</v>
      </c>
      <c r="F72" s="49">
        <f>VLOOKUP($A72,'Data shares'!$C:$FA,129)</f>
        <v>1006831400</v>
      </c>
      <c r="G72" s="17"/>
    </row>
    <row r="73" spans="1:7" x14ac:dyDescent="0.25">
      <c r="A73" s="101" t="s">
        <v>177</v>
      </c>
      <c r="B73" s="17">
        <v>52956314</v>
      </c>
      <c r="C73" s="17">
        <v>7784625</v>
      </c>
      <c r="D73" s="17">
        <f t="shared" si="1"/>
        <v>7784625</v>
      </c>
      <c r="E73" s="49">
        <f>VLOOKUP($A73,'Data shares'!$C:$FA,128)*100</f>
        <v>98.4</v>
      </c>
      <c r="F73" s="49">
        <f>VLOOKUP($A73,'Data shares'!$C:$FA,129)</f>
        <v>70300500</v>
      </c>
      <c r="G73" s="17"/>
    </row>
    <row r="74" spans="1:7" x14ac:dyDescent="0.25">
      <c r="A74" s="101" t="s">
        <v>545</v>
      </c>
      <c r="B74" s="17">
        <v>23498849</v>
      </c>
      <c r="C74" s="17">
        <v>15745600</v>
      </c>
      <c r="D74" s="17">
        <f t="shared" si="1"/>
        <v>15745600</v>
      </c>
      <c r="E74" s="49">
        <f>VLOOKUP($A74,'Data shares'!$C:$FA,128)*100</f>
        <v>98.4</v>
      </c>
      <c r="F74" s="49">
        <f>VLOOKUP($A74,'Data shares'!$C:$FA,129)</f>
        <v>70300500</v>
      </c>
      <c r="G74" s="17"/>
    </row>
    <row r="75" spans="1:7" x14ac:dyDescent="0.25">
      <c r="A75" s="101" t="s">
        <v>185</v>
      </c>
      <c r="B75" s="17">
        <v>238123793</v>
      </c>
      <c r="C75" s="17">
        <v>59926000</v>
      </c>
      <c r="D75" s="17">
        <f t="shared" si="1"/>
        <v>59926000</v>
      </c>
      <c r="E75" s="49">
        <f>VLOOKUP($A75,'Data shares'!$C:$FA,128)*100</f>
        <v>93.17</v>
      </c>
      <c r="F75" s="49">
        <f>VLOOKUP($A75,'Data shares'!$C:$FA,129)</f>
        <v>91804200</v>
      </c>
      <c r="G75" s="17"/>
    </row>
    <row r="76" spans="1:7" x14ac:dyDescent="0.25">
      <c r="A76" s="101" t="s">
        <v>219</v>
      </c>
      <c r="B76" s="17">
        <v>75317259</v>
      </c>
      <c r="C76" s="17">
        <v>12188500</v>
      </c>
      <c r="D76" s="17">
        <f t="shared" si="1"/>
        <v>12188500</v>
      </c>
      <c r="E76" s="49">
        <f>VLOOKUP($A76,'Data shares'!$C:$FA,128)*100</f>
        <v>96.97</v>
      </c>
      <c r="F76" s="49">
        <f>VLOOKUP($A76,'Data shares'!$C:$FA,129)</f>
        <v>14829750</v>
      </c>
      <c r="G76" s="17"/>
    </row>
    <row r="77" spans="1:7" x14ac:dyDescent="0.25">
      <c r="A77" s="101" t="s">
        <v>534</v>
      </c>
      <c r="B77" s="17">
        <v>70381221</v>
      </c>
      <c r="C77" s="17">
        <v>3354100</v>
      </c>
      <c r="D77" s="17">
        <f t="shared" si="1"/>
        <v>3354100</v>
      </c>
      <c r="E77" s="49">
        <f>VLOOKUP($A77,'Data shares'!$C:$FA,128)*100</f>
        <v>96.97</v>
      </c>
      <c r="F77" s="49">
        <f>VLOOKUP($A77,'Data shares'!$C:$FA,129)</f>
        <v>14829750</v>
      </c>
      <c r="G77" s="17"/>
    </row>
    <row r="78" spans="1:7" x14ac:dyDescent="0.25">
      <c r="A78" s="101" t="s">
        <v>516</v>
      </c>
      <c r="B78" s="17">
        <v>27254349</v>
      </c>
      <c r="C78" s="17">
        <v>1133550</v>
      </c>
      <c r="D78" s="17">
        <f t="shared" si="1"/>
        <v>1133550</v>
      </c>
      <c r="E78" s="49">
        <f>VLOOKUP($A78,'Data shares'!$C:$FA,128)*100</f>
        <v>91</v>
      </c>
      <c r="F78" s="49">
        <f>VLOOKUP($A78,'Data shares'!$C:$FA,129)</f>
        <v>90441000</v>
      </c>
      <c r="G78" s="17"/>
    </row>
    <row r="79" spans="1:7" x14ac:dyDescent="0.25">
      <c r="A79" s="101" t="s">
        <v>271</v>
      </c>
      <c r="B79" s="17">
        <v>26746179</v>
      </c>
      <c r="C79" s="17">
        <v>5445825</v>
      </c>
      <c r="D79" s="17">
        <f t="shared" si="1"/>
        <v>5445825</v>
      </c>
      <c r="E79" s="49">
        <f>VLOOKUP($A79,'Data shares'!$C:$FA,128)*100</f>
        <v>85.41</v>
      </c>
      <c r="F79" s="49">
        <f>VLOOKUP($A79,'Data shares'!$C:$FA,129)</f>
        <v>13510375</v>
      </c>
      <c r="G79" s="17"/>
    </row>
    <row r="80" spans="1:7" x14ac:dyDescent="0.25">
      <c r="A80" s="101" t="s">
        <v>264</v>
      </c>
      <c r="B80" s="17">
        <v>15844192</v>
      </c>
      <c r="C80" s="17">
        <v>2354125</v>
      </c>
      <c r="D80" s="17">
        <f t="shared" si="1"/>
        <v>2354125</v>
      </c>
      <c r="E80" s="49">
        <f>VLOOKUP($A80,'Data shares'!$C:$FA,128)*100</f>
        <v>98.53</v>
      </c>
      <c r="F80" s="49">
        <f>VLOOKUP($A80,'Data shares'!$C:$FA,129)</f>
        <v>14190350</v>
      </c>
      <c r="G80" s="17"/>
    </row>
    <row r="81" spans="1:7" x14ac:dyDescent="0.25">
      <c r="A81" s="101" t="s">
        <v>208</v>
      </c>
      <c r="B81" s="17">
        <v>24296838</v>
      </c>
      <c r="C81" s="17">
        <v>5125750</v>
      </c>
      <c r="D81" s="17">
        <f t="shared" si="1"/>
        <v>5125750</v>
      </c>
      <c r="E81" s="49">
        <f>VLOOKUP($A81,'Data shares'!$C:$FA,128)*100</f>
        <v>76.78</v>
      </c>
      <c r="F81" s="49">
        <f>VLOOKUP($A81,'Data shares'!$C:$FA,129)</f>
        <v>16237500</v>
      </c>
      <c r="G81" s="17"/>
    </row>
    <row r="82" spans="1:7" x14ac:dyDescent="0.25">
      <c r="A82" s="101" t="s">
        <v>552</v>
      </c>
      <c r="B82" s="17">
        <v>23447901</v>
      </c>
      <c r="C82" s="17">
        <v>3785600</v>
      </c>
      <c r="D82" s="17">
        <f t="shared" si="1"/>
        <v>3785600</v>
      </c>
      <c r="E82" s="49">
        <f>VLOOKUP($A82,'Data shares'!$C:$FA,128)*100</f>
        <v>86.59</v>
      </c>
      <c r="F82" s="49">
        <f>VLOOKUP($A82,'Data shares'!$C:$FA,129)</f>
        <v>39055850</v>
      </c>
      <c r="G82" s="17"/>
    </row>
    <row r="83" spans="1:7" x14ac:dyDescent="0.25">
      <c r="A83" s="101" t="s">
        <v>204</v>
      </c>
      <c r="B83" s="17">
        <v>115362060</v>
      </c>
      <c r="C83" s="17">
        <v>19043750</v>
      </c>
      <c r="D83" s="17">
        <f t="shared" si="1"/>
        <v>19043750</v>
      </c>
      <c r="E83" s="49">
        <f>VLOOKUP($A83,'Data shares'!$C:$FA,128)*100</f>
        <v>96.58</v>
      </c>
      <c r="F83" s="49">
        <f>VLOOKUP($A83,'Data shares'!$C:$FA,129)</f>
        <v>20618750</v>
      </c>
      <c r="G83" s="17"/>
    </row>
    <row r="84" spans="1:7" x14ac:dyDescent="0.25">
      <c r="A84" s="101" t="s">
        <v>528</v>
      </c>
      <c r="B84" s="17">
        <v>23485458</v>
      </c>
      <c r="C84" s="17">
        <v>4272800</v>
      </c>
      <c r="D84" s="17">
        <f t="shared" si="1"/>
        <v>4272800</v>
      </c>
      <c r="E84" s="49">
        <f>VLOOKUP($A84,'Data shares'!$C:$FA,128)*100</f>
        <v>85.04</v>
      </c>
      <c r="F84" s="49">
        <f>VLOOKUP($A84,'Data shares'!$C:$FA,129)</f>
        <v>6145650</v>
      </c>
      <c r="G84" s="17"/>
    </row>
    <row r="85" spans="1:7" x14ac:dyDescent="0.25">
      <c r="A85" s="101" t="s">
        <v>551</v>
      </c>
      <c r="B85" s="17">
        <v>39593365</v>
      </c>
      <c r="C85" s="17">
        <v>12215000</v>
      </c>
      <c r="D85" s="17">
        <f t="shared" si="1"/>
        <v>12215000</v>
      </c>
      <c r="E85" s="49">
        <f>VLOOKUP($A85,'Data shares'!$C:$FA,128)*100</f>
        <v>94.75</v>
      </c>
      <c r="F85" s="49">
        <f>VLOOKUP($A85,'Data shares'!$C:$FA,129)</f>
        <v>4884300</v>
      </c>
      <c r="G85" s="17"/>
    </row>
    <row r="86" spans="1:7" x14ac:dyDescent="0.25">
      <c r="A86" s="101" t="s">
        <v>292</v>
      </c>
      <c r="B86" s="17">
        <v>355933451</v>
      </c>
      <c r="C86" s="17">
        <v>204117000</v>
      </c>
      <c r="D86" s="17">
        <f t="shared" si="1"/>
        <v>204117000</v>
      </c>
      <c r="E86" s="49">
        <f>VLOOKUP($A86,'Data shares'!$C:$FA,128)*100</f>
        <v>93.05</v>
      </c>
      <c r="F86" s="49">
        <f>VLOOKUP($A86,'Data shares'!$C:$FA,129)</f>
        <v>1889175</v>
      </c>
      <c r="G86" s="17"/>
    </row>
    <row r="87" spans="1:7" x14ac:dyDescent="0.25">
      <c r="A87" s="101" t="s">
        <v>239</v>
      </c>
      <c r="B87" s="17">
        <v>117569462</v>
      </c>
      <c r="C87" s="17">
        <v>39785400</v>
      </c>
      <c r="D87" s="17">
        <f t="shared" si="1"/>
        <v>39785400</v>
      </c>
      <c r="E87" s="49">
        <f>VLOOKUP($A87,'Data shares'!$C:$FA,128)*100</f>
        <v>95.320000000000007</v>
      </c>
      <c r="F87" s="49">
        <f>VLOOKUP($A87,'Data shares'!$C:$FA,129)</f>
        <v>34048700</v>
      </c>
      <c r="G87" s="17"/>
    </row>
    <row r="88" spans="1:7" x14ac:dyDescent="0.25">
      <c r="A88" s="101" t="s">
        <v>513</v>
      </c>
      <c r="B88" s="17">
        <v>16619018</v>
      </c>
      <c r="C88" s="17">
        <v>3155425</v>
      </c>
      <c r="D88" s="17">
        <f t="shared" si="1"/>
        <v>3155425</v>
      </c>
      <c r="E88" s="49">
        <f>VLOOKUP($A88,'Data shares'!$C:$FA,128)*100</f>
        <v>90.75</v>
      </c>
      <c r="F88" s="49">
        <f>VLOOKUP($A88,'Data shares'!$C:$FA,129)</f>
        <v>5530350</v>
      </c>
      <c r="G88" s="17"/>
    </row>
    <row r="89" spans="1:7" x14ac:dyDescent="0.25">
      <c r="A89" s="101" t="s">
        <v>224</v>
      </c>
      <c r="B89" s="17">
        <v>669931623</v>
      </c>
      <c r="C89" s="17">
        <v>82663350</v>
      </c>
      <c r="D89" s="17">
        <f t="shared" si="1"/>
        <v>82663350</v>
      </c>
      <c r="E89" s="49">
        <f>VLOOKUP($A89,'Data shares'!$C:$FA,128)*100</f>
        <v>98.11999999999999</v>
      </c>
      <c r="F89" s="49">
        <f>VLOOKUP($A89,'Data shares'!$C:$FA,129)</f>
        <v>342394950</v>
      </c>
      <c r="G89" s="17"/>
    </row>
    <row r="90" spans="1:7" x14ac:dyDescent="0.25">
      <c r="A90" s="101" t="s">
        <v>232</v>
      </c>
      <c r="B90" s="17">
        <v>1110506052</v>
      </c>
      <c r="C90" s="17">
        <v>174065375</v>
      </c>
      <c r="D90" s="17">
        <f t="shared" si="1"/>
        <v>174065375</v>
      </c>
      <c r="E90" s="49">
        <f>VLOOKUP($A90,'Data shares'!$C:$FA,128)*100</f>
        <v>90.820000000000007</v>
      </c>
      <c r="F90" s="49">
        <f>VLOOKUP($A90,'Data shares'!$C:$FA,129)</f>
        <v>143151400</v>
      </c>
      <c r="G90" s="17"/>
    </row>
    <row r="91" spans="1:7" x14ac:dyDescent="0.25">
      <c r="A91" s="101" t="s">
        <v>223</v>
      </c>
      <c r="B91" s="17">
        <v>362202362</v>
      </c>
      <c r="C91" s="17">
        <v>34249800</v>
      </c>
      <c r="D91" s="17">
        <f t="shared" si="1"/>
        <v>34249800</v>
      </c>
      <c r="E91" s="49">
        <f>VLOOKUP($A91,'Data shares'!$C:$FA,128)*100</f>
        <v>93.42</v>
      </c>
      <c r="F91" s="49">
        <f>VLOOKUP($A91,'Data shares'!$C:$FA,129)</f>
        <v>38425900</v>
      </c>
      <c r="G91" s="17"/>
    </row>
    <row r="92" spans="1:7" x14ac:dyDescent="0.25">
      <c r="A92" s="101" t="s">
        <v>218</v>
      </c>
      <c r="B92" s="17">
        <v>23110810</v>
      </c>
      <c r="C92" s="17">
        <v>6940375</v>
      </c>
      <c r="D92" s="17">
        <f t="shared" si="1"/>
        <v>6940375</v>
      </c>
      <c r="E92" s="49">
        <f>VLOOKUP($A92,'Data shares'!$C:$FA,128)*100</f>
        <v>96.61999999999999</v>
      </c>
      <c r="F92" s="49">
        <f>VLOOKUP($A92,'Data shares'!$C:$FA,129)</f>
        <v>7287200</v>
      </c>
      <c r="G92" s="17"/>
    </row>
    <row r="93" spans="1:7" x14ac:dyDescent="0.25">
      <c r="A93" s="101" t="s">
        <v>236</v>
      </c>
      <c r="B93" s="17">
        <v>77000080</v>
      </c>
      <c r="C93" s="17">
        <v>25785375</v>
      </c>
      <c r="D93" s="17">
        <f t="shared" si="1"/>
        <v>25785375</v>
      </c>
      <c r="E93" s="49">
        <f>VLOOKUP($A93,'Data shares'!$C:$FA,128)*100</f>
        <v>94.24</v>
      </c>
      <c r="F93" s="49">
        <f>VLOOKUP($A93,'Data shares'!$C:$FA,129)</f>
        <v>55790400</v>
      </c>
      <c r="G93" s="17"/>
    </row>
    <row r="94" spans="1:7" x14ac:dyDescent="0.25">
      <c r="A94" s="101" t="s">
        <v>246</v>
      </c>
      <c r="B94" s="17">
        <v>293666614</v>
      </c>
      <c r="C94" s="17">
        <v>30730800</v>
      </c>
      <c r="D94" s="17">
        <f t="shared" si="1"/>
        <v>30730800</v>
      </c>
      <c r="E94" s="49">
        <f>VLOOKUP($A94,'Data shares'!$C:$FA,128)*100</f>
        <v>93.95</v>
      </c>
      <c r="F94" s="49">
        <f>VLOOKUP($A94,'Data shares'!$C:$FA,129)</f>
        <v>171838000</v>
      </c>
      <c r="G94" s="17"/>
    </row>
    <row r="95" spans="1:7" x14ac:dyDescent="0.25">
      <c r="A95" s="101" t="s">
        <v>532</v>
      </c>
      <c r="B95" s="17">
        <v>32892110</v>
      </c>
      <c r="C95" s="17">
        <v>6216000</v>
      </c>
      <c r="D95" s="17">
        <f t="shared" si="1"/>
        <v>6216000</v>
      </c>
      <c r="E95" s="49">
        <f>VLOOKUP($A95,'Data shares'!$C:$FA,128)*100</f>
        <v>95.3</v>
      </c>
      <c r="F95" s="49">
        <f>VLOOKUP($A95,'Data shares'!$C:$FA,129)</f>
        <v>19012800</v>
      </c>
      <c r="G95" s="17"/>
    </row>
    <row r="96" spans="1:7" x14ac:dyDescent="0.25">
      <c r="A96" s="101" t="s">
        <v>242</v>
      </c>
      <c r="B96" s="17">
        <v>2461627231</v>
      </c>
      <c r="C96" s="17">
        <v>322832000</v>
      </c>
      <c r="D96" s="17">
        <f t="shared" si="1"/>
        <v>322832000</v>
      </c>
      <c r="E96" s="49">
        <f>VLOOKUP($A96,'Data shares'!$C:$FA,128)*100</f>
        <v>94.07</v>
      </c>
      <c r="F96" s="49">
        <f>VLOOKUP($A96,'Data shares'!$C:$FA,129)</f>
        <v>145587975</v>
      </c>
      <c r="G96" s="17"/>
    </row>
    <row r="97" spans="1:7" x14ac:dyDescent="0.25">
      <c r="A97" s="101" t="s">
        <v>165</v>
      </c>
      <c r="B97" s="17">
        <v>20321931</v>
      </c>
      <c r="C97" s="17">
        <v>3675125</v>
      </c>
      <c r="D97" s="17">
        <f t="shared" si="1"/>
        <v>3675125</v>
      </c>
      <c r="E97" s="49">
        <f>VLOOKUP($A97,'Data shares'!$C:$FA,128)*100</f>
        <v>85.88</v>
      </c>
      <c r="F97" s="49">
        <f>VLOOKUP($A97,'Data shares'!$C:$FA,129)</f>
        <v>1852375</v>
      </c>
      <c r="G97" s="17"/>
    </row>
    <row r="98" spans="1:7" x14ac:dyDescent="0.25">
      <c r="A98" s="101" t="s">
        <v>503</v>
      </c>
      <c r="B98" s="17">
        <v>17788750</v>
      </c>
      <c r="C98" s="17">
        <v>925925</v>
      </c>
      <c r="D98" s="17">
        <f t="shared" si="1"/>
        <v>925925</v>
      </c>
      <c r="E98" s="49">
        <f>VLOOKUP($A98,'Data shares'!$C:$FA,128)*100</f>
        <v>85.98</v>
      </c>
      <c r="F98" s="49">
        <f>VLOOKUP($A98,'Data shares'!$C:$FA,129)</f>
        <v>7325300</v>
      </c>
      <c r="G98" s="17"/>
    </row>
    <row r="99" spans="1:7" x14ac:dyDescent="0.25">
      <c r="A99" s="101" t="s">
        <v>192</v>
      </c>
      <c r="B99" s="17">
        <v>1737683</v>
      </c>
      <c r="C99" s="17">
        <v>235900</v>
      </c>
      <c r="D99" s="17">
        <f t="shared" si="1"/>
        <v>235900</v>
      </c>
      <c r="E99" s="49">
        <f>VLOOKUP($A99,'Data shares'!$C:$FA,128)*100</f>
        <v>95.77</v>
      </c>
      <c r="F99" s="49">
        <f>VLOOKUP($A99,'Data shares'!$C:$FA,129)</f>
        <v>325000</v>
      </c>
      <c r="G99" s="17"/>
    </row>
    <row r="100" spans="1:7" x14ac:dyDescent="0.25">
      <c r="A100" s="101" t="s">
        <v>531</v>
      </c>
      <c r="B100" s="17">
        <v>33015657</v>
      </c>
      <c r="C100" s="17">
        <v>9033700</v>
      </c>
      <c r="D100" s="17">
        <f t="shared" si="1"/>
        <v>9033700</v>
      </c>
      <c r="E100" s="49">
        <f>VLOOKUP($A100,'Data shares'!$C:$FA,128)*100</f>
        <v>87.58</v>
      </c>
      <c r="F100" s="49">
        <f>VLOOKUP($A100,'Data shares'!$C:$FA,129)</f>
        <v>6702100</v>
      </c>
      <c r="G100" s="17"/>
    </row>
    <row r="101" spans="1:7" x14ac:dyDescent="0.25">
      <c r="A101" s="101" t="s">
        <v>494</v>
      </c>
      <c r="B101" s="17">
        <v>147873568</v>
      </c>
      <c r="C101" s="17">
        <v>20386400</v>
      </c>
      <c r="D101" s="17">
        <f t="shared" si="1"/>
        <v>20386400</v>
      </c>
      <c r="E101" s="49">
        <f>VLOOKUP($A101,'Data shares'!$C:$FA,128)*100</f>
        <v>97.14</v>
      </c>
      <c r="F101" s="49">
        <f>VLOOKUP($A101,'Data shares'!$C:$FA,129)</f>
        <v>49675900</v>
      </c>
      <c r="G101" s="17"/>
    </row>
    <row r="102" spans="1:7" x14ac:dyDescent="0.25">
      <c r="A102" s="101" t="s">
        <v>473</v>
      </c>
      <c r="B102" s="17">
        <v>162372116</v>
      </c>
      <c r="C102" s="17">
        <v>43206800</v>
      </c>
      <c r="D102" s="17">
        <f t="shared" si="1"/>
        <v>43206800</v>
      </c>
      <c r="E102" s="49">
        <f>VLOOKUP($A102,'Data shares'!$C:$FA,128)*100</f>
        <v>94.24</v>
      </c>
      <c r="F102" s="49">
        <f>VLOOKUP($A102,'Data shares'!$C:$FA,129)</f>
        <v>80897900</v>
      </c>
      <c r="G102" s="17"/>
    </row>
    <row r="103" spans="1:7" x14ac:dyDescent="0.25">
      <c r="A103" s="101" t="s">
        <v>225</v>
      </c>
      <c r="B103" s="17">
        <v>187118353</v>
      </c>
      <c r="C103" s="17">
        <v>49800300</v>
      </c>
      <c r="D103" s="17">
        <f t="shared" si="1"/>
        <v>49800300</v>
      </c>
      <c r="E103" s="49">
        <f>VLOOKUP($A103,'Data shares'!$C:$FA,128)*100</f>
        <v>91.94</v>
      </c>
      <c r="F103" s="49">
        <f>VLOOKUP($A103,'Data shares'!$C:$FA,129)</f>
        <v>49619900</v>
      </c>
      <c r="G103" s="17"/>
    </row>
    <row r="104" spans="1:7" x14ac:dyDescent="0.25">
      <c r="A104" s="101" t="s">
        <v>504</v>
      </c>
      <c r="B104" s="17">
        <v>12641694</v>
      </c>
      <c r="C104" s="17">
        <v>6728400</v>
      </c>
      <c r="D104" s="17">
        <f t="shared" si="1"/>
        <v>6728400</v>
      </c>
      <c r="E104" s="49">
        <f>VLOOKUP($A104,'Data shares'!$C:$FA,128)*100</f>
        <v>84.23</v>
      </c>
      <c r="F104" s="49">
        <f>VLOOKUP($A104,'Data shares'!$C:$FA,129)</f>
        <v>3266800</v>
      </c>
      <c r="G104" s="17"/>
    </row>
    <row r="105" spans="1:7" x14ac:dyDescent="0.25">
      <c r="A105" s="101" t="s">
        <v>537</v>
      </c>
      <c r="B105" s="17">
        <v>6343591</v>
      </c>
      <c r="C105" s="17">
        <v>1262250</v>
      </c>
      <c r="D105" s="17">
        <f t="shared" si="1"/>
        <v>1262250</v>
      </c>
      <c r="E105" s="49">
        <f>VLOOKUP($A105,'Data shares'!$C:$FA,128)*100</f>
        <v>92.320000000000007</v>
      </c>
      <c r="F105" s="49">
        <f>VLOOKUP($A105,'Data shares'!$C:$FA,129)</f>
        <v>4842250</v>
      </c>
      <c r="G105" s="17"/>
    </row>
    <row r="106" spans="1:7" x14ac:dyDescent="0.25">
      <c r="A106" s="101" t="s">
        <v>256</v>
      </c>
      <c r="B106" s="17">
        <v>62880735</v>
      </c>
      <c r="C106" s="17">
        <v>20391250</v>
      </c>
      <c r="D106" s="17">
        <f t="shared" si="1"/>
        <v>20391250</v>
      </c>
      <c r="E106" s="49">
        <f>VLOOKUP($A106,'Data shares'!$C:$FA,128)*100</f>
        <v>90.5</v>
      </c>
      <c r="F106" s="49">
        <f>VLOOKUP($A106,'Data shares'!$C:$FA,129)</f>
        <v>3908850</v>
      </c>
      <c r="G106" s="17"/>
    </row>
    <row r="107" spans="1:7" x14ac:dyDescent="0.25">
      <c r="A107" s="101" t="s">
        <v>514</v>
      </c>
      <c r="B107" s="17">
        <v>179174844</v>
      </c>
      <c r="C107" s="17">
        <v>67477500</v>
      </c>
      <c r="D107" s="17">
        <f t="shared" si="1"/>
        <v>67477500</v>
      </c>
      <c r="E107" s="49">
        <f>VLOOKUP($A107,'Data shares'!$C:$FA,128)*100</f>
        <v>94.24</v>
      </c>
      <c r="F107" s="49">
        <f>VLOOKUP($A107,'Data shares'!$C:$FA,129)</f>
        <v>55790400</v>
      </c>
      <c r="G107" s="17"/>
    </row>
    <row r="108" spans="1:7" x14ac:dyDescent="0.25">
      <c r="A108" s="101" t="s">
        <v>272</v>
      </c>
      <c r="B108" s="17">
        <v>150000017</v>
      </c>
      <c r="C108" s="17">
        <v>35217000</v>
      </c>
      <c r="D108" s="17">
        <f t="shared" si="1"/>
        <v>35217000</v>
      </c>
      <c r="E108" s="49">
        <f>VLOOKUP($A108,'Data shares'!$C:$FA,128)*100</f>
        <v>85.67</v>
      </c>
      <c r="F108" s="49">
        <f>VLOOKUP($A108,'Data shares'!$C:$FA,129)</f>
        <v>25043900</v>
      </c>
      <c r="G108" s="17"/>
    </row>
    <row r="109" spans="1:7" x14ac:dyDescent="0.25">
      <c r="A109" s="101" t="s">
        <v>470</v>
      </c>
      <c r="B109" s="17">
        <v>6091932</v>
      </c>
      <c r="C109" s="17">
        <v>1893300</v>
      </c>
      <c r="D109" s="17">
        <f t="shared" si="1"/>
        <v>1893300</v>
      </c>
      <c r="E109" s="49">
        <f>VLOOKUP($A109,'Data shares'!$C:$FA,128)*100</f>
        <v>81.63</v>
      </c>
      <c r="F109" s="49">
        <f>VLOOKUP($A109,'Data shares'!$C:$FA,129)</f>
        <v>14265075</v>
      </c>
      <c r="G109" s="17"/>
    </row>
    <row r="110" spans="1:7" x14ac:dyDescent="0.25">
      <c r="A110" s="101" t="s">
        <v>176</v>
      </c>
      <c r="B110" s="17">
        <v>12437219</v>
      </c>
      <c r="C110" s="17">
        <v>1155950</v>
      </c>
      <c r="D110" s="17">
        <f t="shared" si="1"/>
        <v>1155950</v>
      </c>
      <c r="E110" s="49">
        <f>VLOOKUP($A110,'Data shares'!$C:$FA,128)*100</f>
        <v>87.24</v>
      </c>
      <c r="F110" s="49">
        <f>VLOOKUP($A110,'Data shares'!$C:$FA,129)</f>
        <v>10366100</v>
      </c>
      <c r="G110" s="17"/>
    </row>
    <row r="111" spans="1:7" x14ac:dyDescent="0.25">
      <c r="A111" s="101" t="s">
        <v>524</v>
      </c>
      <c r="B111" s="17">
        <v>16479425</v>
      </c>
      <c r="C111" s="17">
        <v>1670750</v>
      </c>
      <c r="D111" s="17">
        <f t="shared" si="1"/>
        <v>1670750</v>
      </c>
      <c r="E111" s="49">
        <f>VLOOKUP($A111,'Data shares'!$C:$FA,128)*100</f>
        <v>83.38</v>
      </c>
      <c r="F111" s="49">
        <f>VLOOKUP($A111,'Data shares'!$C:$FA,129)</f>
        <v>3237000</v>
      </c>
      <c r="G111" s="17"/>
    </row>
    <row r="112" spans="1:7" x14ac:dyDescent="0.25">
      <c r="A112" s="101" t="s">
        <v>487</v>
      </c>
      <c r="B112" s="17">
        <v>16533935</v>
      </c>
      <c r="C112" s="17">
        <v>1807050</v>
      </c>
      <c r="D112" s="17">
        <f t="shared" si="1"/>
        <v>1807050</v>
      </c>
      <c r="E112" s="49">
        <f>VLOOKUP($A112,'Data shares'!$C:$FA,128)*100</f>
        <v>85.65</v>
      </c>
      <c r="F112" s="49">
        <f>VLOOKUP($A112,'Data shares'!$C:$FA,129)</f>
        <v>3748525</v>
      </c>
      <c r="G112" s="17"/>
    </row>
    <row r="113" spans="1:7" x14ac:dyDescent="0.25">
      <c r="A113" s="101" t="s">
        <v>305</v>
      </c>
      <c r="B113" s="17">
        <v>46126252</v>
      </c>
      <c r="C113" s="17">
        <v>7513500</v>
      </c>
      <c r="D113" s="17">
        <f t="shared" si="1"/>
        <v>7513500</v>
      </c>
      <c r="E113" s="49">
        <f>VLOOKUP($A113,'Data shares'!$C:$FA,128)*100</f>
        <v>90.5</v>
      </c>
      <c r="F113" s="49">
        <f>VLOOKUP($A113,'Data shares'!$C:$FA,129)</f>
        <v>8923875</v>
      </c>
      <c r="G113" s="17"/>
    </row>
    <row r="114" spans="1:7" x14ac:dyDescent="0.25">
      <c r="A114" s="101" t="s">
        <v>238</v>
      </c>
      <c r="B114" s="17">
        <v>19428657</v>
      </c>
      <c r="C114" s="17">
        <v>5637750</v>
      </c>
      <c r="D114" s="17">
        <f t="shared" si="1"/>
        <v>5637750</v>
      </c>
      <c r="E114" s="49">
        <f>VLOOKUP($A114,'Data shares'!$C:$FA,128)*100</f>
        <v>83.55</v>
      </c>
      <c r="F114" s="49">
        <f>VLOOKUP($A114,'Data shares'!$C:$FA,129)</f>
        <v>6789600</v>
      </c>
      <c r="G114" s="17"/>
    </row>
    <row r="115" spans="1:7" x14ac:dyDescent="0.25">
      <c r="A115" s="101" t="s">
        <v>527</v>
      </c>
      <c r="B115" s="17">
        <v>7494363</v>
      </c>
      <c r="C115" s="17">
        <v>739375</v>
      </c>
      <c r="D115" s="17">
        <f t="shared" si="1"/>
        <v>739375</v>
      </c>
      <c r="E115" s="49">
        <f>VLOOKUP($A115,'Data shares'!$C:$FA,128)*100</f>
        <v>94.22</v>
      </c>
      <c r="F115" s="49">
        <f>VLOOKUP($A115,'Data shares'!$C:$FA,129)</f>
        <v>148198050</v>
      </c>
      <c r="G115" s="17"/>
    </row>
    <row r="116" spans="1:7" x14ac:dyDescent="0.25">
      <c r="A116" s="101" t="s">
        <v>489</v>
      </c>
      <c r="B116" s="17">
        <v>9087752</v>
      </c>
      <c r="C116" s="17">
        <v>1575750</v>
      </c>
      <c r="D116" s="17">
        <f t="shared" si="1"/>
        <v>1575750</v>
      </c>
      <c r="E116" s="49">
        <f>VLOOKUP($A116,'Data shares'!$C:$FA,128)*100</f>
        <v>90.88000000000001</v>
      </c>
      <c r="F116" s="49">
        <f>VLOOKUP($A116,'Data shares'!$C:$FA,129)</f>
        <v>37631250</v>
      </c>
      <c r="G116" s="17"/>
    </row>
    <row r="117" spans="1:7" x14ac:dyDescent="0.25">
      <c r="A117" s="101" t="s">
        <v>484</v>
      </c>
      <c r="B117" s="17">
        <v>3300938</v>
      </c>
      <c r="C117" s="17">
        <v>190125</v>
      </c>
      <c r="D117" s="17">
        <f t="shared" si="1"/>
        <v>190125</v>
      </c>
      <c r="E117" s="49">
        <f>VLOOKUP($A117,'Data shares'!$C:$FA,128)*100</f>
        <v>91.07</v>
      </c>
      <c r="F117" s="49">
        <f>VLOOKUP($A117,'Data shares'!$C:$FA,129)</f>
        <v>49918700</v>
      </c>
      <c r="G117" s="17"/>
    </row>
    <row r="118" spans="1:7" x14ac:dyDescent="0.25">
      <c r="A118" s="101" t="s">
        <v>285</v>
      </c>
      <c r="B118" s="17">
        <v>17806068</v>
      </c>
      <c r="C118" s="17">
        <v>1857900</v>
      </c>
      <c r="D118" s="17">
        <f t="shared" si="1"/>
        <v>1857900</v>
      </c>
      <c r="E118" s="49">
        <f>VLOOKUP($A118,'Data shares'!$C:$FA,128)*100</f>
        <v>90.94</v>
      </c>
      <c r="F118" s="49">
        <f>VLOOKUP($A118,'Data shares'!$C:$FA,129)</f>
        <v>2694825</v>
      </c>
      <c r="G118" s="17"/>
    </row>
    <row r="119" spans="1:7" x14ac:dyDescent="0.25">
      <c r="A119" s="101" t="s">
        <v>554</v>
      </c>
      <c r="B119" s="17">
        <v>18562709</v>
      </c>
      <c r="C119" s="17">
        <v>2173500</v>
      </c>
      <c r="D119" s="17">
        <f t="shared" si="1"/>
        <v>2173500</v>
      </c>
      <c r="E119" s="49">
        <f>VLOOKUP($A119,'Data shares'!$C:$FA,128)*100</f>
        <v>95.399999999999991</v>
      </c>
      <c r="F119" s="49">
        <f>VLOOKUP($A119,'Data shares'!$C:$FA,129)</f>
        <v>57596650</v>
      </c>
      <c r="G119" s="17"/>
    </row>
    <row r="120" spans="1:7" x14ac:dyDescent="0.25">
      <c r="A120" s="101" t="s">
        <v>293</v>
      </c>
      <c r="B120" s="17">
        <v>339616396</v>
      </c>
      <c r="C120" s="17">
        <v>214528500</v>
      </c>
      <c r="D120" s="17">
        <f t="shared" si="1"/>
        <v>214528500</v>
      </c>
      <c r="E120" s="49">
        <f>VLOOKUP($A120,'Data shares'!$C:$FA,128)*100</f>
        <v>87.050000000000011</v>
      </c>
      <c r="F120" s="49">
        <f>VLOOKUP($A120,'Data shares'!$C:$FA,129)</f>
        <v>48192200</v>
      </c>
      <c r="G120" s="17"/>
    </row>
    <row r="121" spans="1:7" x14ac:dyDescent="0.25">
      <c r="A121" s="101" t="s">
        <v>282</v>
      </c>
      <c r="B121" s="17">
        <v>289139949</v>
      </c>
      <c r="C121" s="17">
        <v>230878500</v>
      </c>
      <c r="D121" s="17">
        <f t="shared" si="1"/>
        <v>230878500</v>
      </c>
      <c r="E121" s="49">
        <f>VLOOKUP($A121,'Data shares'!$C:$FA,128)*100</f>
        <v>97.3</v>
      </c>
      <c r="F121" s="49">
        <f>VLOOKUP($A121,'Data shares'!$C:$FA,129)</f>
        <v>153191800</v>
      </c>
      <c r="G121" s="17"/>
    </row>
    <row r="122" spans="1:7" x14ac:dyDescent="0.25">
      <c r="A122" s="101" t="s">
        <v>248</v>
      </c>
      <c r="B122" s="17">
        <v>60244101</v>
      </c>
      <c r="C122" s="17">
        <v>36578000</v>
      </c>
      <c r="D122" s="17">
        <f t="shared" si="1"/>
        <v>36578000</v>
      </c>
      <c r="E122" s="49">
        <f>VLOOKUP($A122,'Data shares'!$C:$FA,128)*100</f>
        <v>96.99</v>
      </c>
      <c r="F122" s="49">
        <f>VLOOKUP($A122,'Data shares'!$C:$FA,129)</f>
        <v>24755000</v>
      </c>
      <c r="G122" s="17"/>
    </row>
    <row r="123" spans="1:7" x14ac:dyDescent="0.25">
      <c r="A123" s="101" t="s">
        <v>189</v>
      </c>
      <c r="B123" s="17">
        <v>510707358</v>
      </c>
      <c r="C123" s="17">
        <v>94385350</v>
      </c>
      <c r="D123" s="17">
        <f t="shared" si="1"/>
        <v>94385350</v>
      </c>
      <c r="E123" s="49">
        <f>VLOOKUP($A123,'Data shares'!$C:$FA,128)*100</f>
        <v>92.63</v>
      </c>
      <c r="F123" s="49">
        <f>VLOOKUP($A123,'Data shares'!$C:$FA,129)</f>
        <v>52307475</v>
      </c>
      <c r="G123" s="17"/>
    </row>
    <row r="124" spans="1:7" x14ac:dyDescent="0.25">
      <c r="A124" s="101" t="s">
        <v>213</v>
      </c>
      <c r="B124" s="17">
        <v>425164259</v>
      </c>
      <c r="C124" s="17">
        <v>85375600</v>
      </c>
      <c r="D124" s="17">
        <f t="shared" si="1"/>
        <v>85375600</v>
      </c>
      <c r="E124" s="49">
        <f>VLOOKUP($A124,'Data shares'!$C:$FA,128)*100</f>
        <v>91.080000000000013</v>
      </c>
      <c r="F124" s="49">
        <f>VLOOKUP($A124,'Data shares'!$C:$FA,129)</f>
        <v>72985800</v>
      </c>
      <c r="G124" s="17"/>
    </row>
    <row r="125" spans="1:7" x14ac:dyDescent="0.25">
      <c r="A125" s="101" t="s">
        <v>295</v>
      </c>
      <c r="B125" s="17">
        <v>205769415</v>
      </c>
      <c r="C125" s="17">
        <v>21452100</v>
      </c>
      <c r="D125" s="17">
        <f t="shared" si="1"/>
        <v>21452100</v>
      </c>
      <c r="E125" s="49">
        <f>VLOOKUP($A125,'Data shares'!$C:$FA,128)*100</f>
        <v>93.01</v>
      </c>
      <c r="F125" s="49">
        <f>VLOOKUP($A125,'Data shares'!$C:$FA,129)</f>
        <v>40532575</v>
      </c>
      <c r="G125" s="17"/>
    </row>
    <row r="126" spans="1:7" x14ac:dyDescent="0.25">
      <c r="A126" s="101" t="s">
        <v>490</v>
      </c>
      <c r="B126" s="17">
        <v>52165566</v>
      </c>
      <c r="C126" s="17">
        <v>22212750</v>
      </c>
      <c r="D126" s="17">
        <f t="shared" si="1"/>
        <v>22212750</v>
      </c>
      <c r="E126" s="49">
        <f>VLOOKUP($A126,'Data shares'!$C:$FA,128)*100</f>
        <v>91</v>
      </c>
      <c r="F126" s="49">
        <f>VLOOKUP($A126,'Data shares'!$C:$FA,129)</f>
        <v>90441000</v>
      </c>
      <c r="G126" s="17"/>
    </row>
    <row r="127" spans="1:7" x14ac:dyDescent="0.25">
      <c r="A127" s="101" t="s">
        <v>260</v>
      </c>
      <c r="B127" s="17">
        <v>241729538</v>
      </c>
      <c r="C127" s="17">
        <v>65383500</v>
      </c>
      <c r="D127" s="17">
        <f t="shared" si="1"/>
        <v>65383500</v>
      </c>
      <c r="E127" s="49">
        <f>VLOOKUP($A127,'Data shares'!$C:$FA,128)*100</f>
        <v>89.37</v>
      </c>
      <c r="F127" s="49">
        <f>VLOOKUP($A127,'Data shares'!$C:$FA,129)</f>
        <v>136708350</v>
      </c>
      <c r="G127" s="17"/>
    </row>
    <row r="128" spans="1:7" x14ac:dyDescent="0.25">
      <c r="A128" s="101" t="s">
        <v>171</v>
      </c>
      <c r="B128" s="17">
        <v>56444627</v>
      </c>
      <c r="C128" s="17">
        <v>23336250</v>
      </c>
      <c r="D128" s="17">
        <f t="shared" si="1"/>
        <v>23336250</v>
      </c>
      <c r="E128" s="49">
        <f>VLOOKUP($A128,'Data shares'!$C:$FA,128)*100</f>
        <v>91.5</v>
      </c>
      <c r="F128" s="49">
        <f>VLOOKUP($A128,'Data shares'!$C:$FA,129)</f>
        <v>17043950</v>
      </c>
      <c r="G128" s="17"/>
    </row>
    <row r="129" spans="1:7" x14ac:dyDescent="0.25">
      <c r="A129" s="101" t="s">
        <v>462</v>
      </c>
      <c r="B129" s="17">
        <v>88648462</v>
      </c>
      <c r="C129" s="17">
        <v>11150250</v>
      </c>
      <c r="D129" s="17">
        <f t="shared" si="1"/>
        <v>11150250</v>
      </c>
      <c r="E129" s="49">
        <f>VLOOKUP($A129,'Data shares'!$C:$FA,128)*100</f>
        <v>82.85</v>
      </c>
      <c r="F129" s="49">
        <f>VLOOKUP($A129,'Data shares'!$C:$FA,129)</f>
        <v>7401750</v>
      </c>
      <c r="G129" s="17"/>
    </row>
    <row r="130" spans="1:7" x14ac:dyDescent="0.25">
      <c r="A130" s="101" t="s">
        <v>274</v>
      </c>
      <c r="B130" s="17">
        <v>30511703</v>
      </c>
      <c r="C130" s="17">
        <v>3556000</v>
      </c>
      <c r="D130" s="17">
        <f t="shared" si="1"/>
        <v>3556000</v>
      </c>
      <c r="E130" s="49">
        <f>VLOOKUP($A130,'Data shares'!$C:$FA,128)*100</f>
        <v>96.15</v>
      </c>
      <c r="F130" s="49">
        <f>VLOOKUP($A130,'Data shares'!$C:$FA,129)</f>
        <v>5986500</v>
      </c>
      <c r="G130" s="17"/>
    </row>
    <row r="131" spans="1:7" x14ac:dyDescent="0.25">
      <c r="A131" s="101" t="s">
        <v>279</v>
      </c>
      <c r="B131" s="17">
        <v>119890099</v>
      </c>
      <c r="C131" s="17">
        <v>77232800</v>
      </c>
      <c r="D131" s="17">
        <f t="shared" si="1"/>
        <v>77232800</v>
      </c>
      <c r="E131" s="49">
        <f>VLOOKUP($A131,'Data shares'!$C:$FA,128)*100</f>
        <v>91.94</v>
      </c>
      <c r="F131" s="49">
        <f>VLOOKUP($A131,'Data shares'!$C:$FA,129)</f>
        <v>57921525</v>
      </c>
      <c r="G131" s="17"/>
    </row>
    <row r="132" spans="1:7" x14ac:dyDescent="0.25">
      <c r="A132" s="101" t="s">
        <v>247</v>
      </c>
      <c r="B132" s="17">
        <v>180580821</v>
      </c>
      <c r="C132" s="17">
        <v>128041552</v>
      </c>
      <c r="D132" s="17">
        <f t="shared" si="1"/>
        <v>128041552</v>
      </c>
      <c r="E132" s="49">
        <f>VLOOKUP($A132,'Data shares'!$C:$FA,128)*100</f>
        <v>87.51</v>
      </c>
      <c r="F132" s="49">
        <f>VLOOKUP($A132,'Data shares'!$C:$FA,129)</f>
        <v>7994150</v>
      </c>
      <c r="G132" s="17"/>
    </row>
    <row r="133" spans="1:7" x14ac:dyDescent="0.25">
      <c r="A133" s="101" t="s">
        <v>291</v>
      </c>
      <c r="B133" s="17">
        <v>120211514</v>
      </c>
      <c r="C133" s="17">
        <v>18359325</v>
      </c>
      <c r="D133" s="17">
        <f t="shared" si="1"/>
        <v>18359325</v>
      </c>
      <c r="E133" s="49">
        <f>VLOOKUP($A133,'Data shares'!$C:$FA,128)*100</f>
        <v>94.97</v>
      </c>
      <c r="F133" s="49">
        <f>VLOOKUP($A133,'Data shares'!$C:$FA,129)</f>
        <v>13094400</v>
      </c>
      <c r="G133" s="17"/>
    </row>
    <row r="134" spans="1:7" x14ac:dyDescent="0.25">
      <c r="A134" s="101" t="s">
        <v>269</v>
      </c>
      <c r="B134" s="17">
        <v>996134149</v>
      </c>
      <c r="C134" s="17">
        <v>204565900</v>
      </c>
      <c r="D134" s="17">
        <f t="shared" si="1"/>
        <v>204565900</v>
      </c>
      <c r="E134" s="49">
        <f>VLOOKUP($A134,'Data shares'!$C:$FA,128)*100</f>
        <v>92.45</v>
      </c>
      <c r="F134" s="49">
        <f>VLOOKUP($A134,'Data shares'!$C:$FA,129)</f>
        <v>87705000</v>
      </c>
      <c r="G134" s="17"/>
    </row>
    <row r="135" spans="1:7" x14ac:dyDescent="0.25">
      <c r="A135" s="101" t="s">
        <v>217</v>
      </c>
      <c r="B135" s="17">
        <v>75218562</v>
      </c>
      <c r="C135" s="17">
        <v>11613000</v>
      </c>
      <c r="D135" s="17">
        <f t="shared" ref="D135:D161" si="2">C135</f>
        <v>11613000</v>
      </c>
      <c r="E135" s="49">
        <f>VLOOKUP($A135,'Data shares'!$C:$FA,128)*100</f>
        <v>91.75</v>
      </c>
      <c r="F135" s="49">
        <f>VLOOKUP($A135,'Data shares'!$C:$FA,129)</f>
        <v>11664500</v>
      </c>
      <c r="G135" s="17"/>
    </row>
    <row r="136" spans="1:7" x14ac:dyDescent="0.25">
      <c r="A136" s="101" t="s">
        <v>495</v>
      </c>
      <c r="B136" s="17">
        <v>44974045</v>
      </c>
      <c r="C136" s="17">
        <v>4232500</v>
      </c>
      <c r="D136" s="17">
        <f t="shared" si="2"/>
        <v>4232500</v>
      </c>
      <c r="E136" s="49">
        <f>VLOOKUP($A136,'Data shares'!$C:$FA,128)*100</f>
        <v>95.81</v>
      </c>
      <c r="F136" s="49">
        <f>VLOOKUP($A136,'Data shares'!$C:$FA,129)</f>
        <v>22813000</v>
      </c>
      <c r="G136" s="17"/>
    </row>
    <row r="137" spans="1:7" x14ac:dyDescent="0.25">
      <c r="A137" s="101" t="s">
        <v>250</v>
      </c>
      <c r="B137" s="17">
        <v>48318354</v>
      </c>
      <c r="C137" s="17">
        <v>18007250</v>
      </c>
      <c r="D137" s="17">
        <f t="shared" si="2"/>
        <v>18007250</v>
      </c>
      <c r="E137" s="49">
        <f>VLOOKUP($A137,'Data shares'!$C:$FA,128)*100</f>
        <v>76.070000000000007</v>
      </c>
      <c r="F137" s="49">
        <f>VLOOKUP($A137,'Data shares'!$C:$FA,129)</f>
        <v>5978050</v>
      </c>
      <c r="G137" s="17"/>
    </row>
    <row r="138" spans="1:7" x14ac:dyDescent="0.25">
      <c r="A138" s="101" t="s">
        <v>278</v>
      </c>
      <c r="B138" s="17">
        <v>27187764</v>
      </c>
      <c r="C138" s="17">
        <v>3521550</v>
      </c>
      <c r="D138" s="17">
        <f t="shared" si="2"/>
        <v>3521550</v>
      </c>
      <c r="E138" s="49">
        <f>VLOOKUP($A138,'Data shares'!$C:$FA,128)*100</f>
        <v>94.75</v>
      </c>
      <c r="F138" s="49">
        <f>VLOOKUP($A138,'Data shares'!$C:$FA,129)</f>
        <v>4884300</v>
      </c>
      <c r="G138" s="17"/>
    </row>
    <row r="139" spans="1:7" x14ac:dyDescent="0.25">
      <c r="A139" s="101" t="s">
        <v>163</v>
      </c>
      <c r="B139" s="17">
        <v>24576009</v>
      </c>
      <c r="C139" s="17">
        <v>11979000</v>
      </c>
      <c r="D139" s="17">
        <f t="shared" si="2"/>
        <v>11979000</v>
      </c>
      <c r="E139" s="49">
        <f>VLOOKUP($A139,'Data shares'!$C:$FA,128)*100</f>
        <v>98.05</v>
      </c>
      <c r="F139" s="49">
        <f>VLOOKUP($A139,'Data shares'!$C:$FA,129)</f>
        <v>1176000</v>
      </c>
      <c r="G139" s="17"/>
    </row>
    <row r="140" spans="1:7" x14ac:dyDescent="0.25">
      <c r="A140" s="101" t="s">
        <v>289</v>
      </c>
      <c r="B140" s="17">
        <v>19704232</v>
      </c>
      <c r="C140" s="17">
        <v>15520500</v>
      </c>
      <c r="D140" s="17">
        <f t="shared" si="2"/>
        <v>15520500</v>
      </c>
      <c r="E140" s="49">
        <f>VLOOKUP($A140,'Data shares'!$C:$FA,128)*100</f>
        <v>86.32</v>
      </c>
      <c r="F140" s="49">
        <f>VLOOKUP($A140,'Data shares'!$C:$FA,129)</f>
        <v>22410150</v>
      </c>
      <c r="G140" s="17"/>
    </row>
    <row r="141" spans="1:7" x14ac:dyDescent="0.25">
      <c r="A141" s="101" t="s">
        <v>529</v>
      </c>
      <c r="B141" s="17">
        <v>10012679</v>
      </c>
      <c r="C141" s="17">
        <v>530550</v>
      </c>
      <c r="D141" s="17">
        <f t="shared" si="2"/>
        <v>530550</v>
      </c>
      <c r="E141" s="49">
        <f>VLOOKUP($A141,'Data shares'!$C:$FA,128)*100</f>
        <v>85.78</v>
      </c>
      <c r="F141" s="49">
        <f>VLOOKUP($A141,'Data shares'!$C:$FA,129)</f>
        <v>3354225</v>
      </c>
      <c r="G141" s="17"/>
    </row>
    <row r="142" spans="1:7" x14ac:dyDescent="0.25">
      <c r="A142" s="101" t="s">
        <v>265</v>
      </c>
      <c r="B142" s="17">
        <v>7180127</v>
      </c>
      <c r="C142" s="17">
        <v>429550</v>
      </c>
      <c r="D142" s="17">
        <f t="shared" si="2"/>
        <v>429550</v>
      </c>
      <c r="E142" s="49">
        <f>VLOOKUP($A142,'Data shares'!$C:$FA,128)*100</f>
        <v>93.97</v>
      </c>
      <c r="F142" s="49">
        <f>VLOOKUP($A142,'Data shares'!$C:$FA,129)</f>
        <v>13000000</v>
      </c>
      <c r="G142" s="17"/>
    </row>
    <row r="143" spans="1:7" x14ac:dyDescent="0.25">
      <c r="A143" s="101" t="s">
        <v>486</v>
      </c>
      <c r="B143" s="17">
        <v>32559242</v>
      </c>
      <c r="C143" s="17">
        <v>4156800</v>
      </c>
      <c r="D143" s="17">
        <f t="shared" si="2"/>
        <v>4156800</v>
      </c>
      <c r="E143" s="49">
        <f>VLOOKUP($A143,'Data shares'!$C:$FA,128)*100</f>
        <v>92.86999999999999</v>
      </c>
      <c r="F143" s="49">
        <f>VLOOKUP($A143,'Data shares'!$C:$FA,129)</f>
        <v>3210625</v>
      </c>
      <c r="G143" s="17"/>
    </row>
    <row r="144" spans="1:7" x14ac:dyDescent="0.25">
      <c r="A144" s="101" t="s">
        <v>190</v>
      </c>
      <c r="B144" s="17">
        <v>256482590</v>
      </c>
      <c r="C144" s="17">
        <v>208761000</v>
      </c>
      <c r="D144" s="17">
        <f t="shared" si="2"/>
        <v>208761000</v>
      </c>
      <c r="E144" s="49">
        <f>VLOOKUP($A144,'Data shares'!$C:$FA,128)*100</f>
        <v>91.66</v>
      </c>
      <c r="F144" s="49">
        <f>VLOOKUP($A144,'Data shares'!$C:$FA,129)</f>
        <v>110103000</v>
      </c>
      <c r="G144" s="17"/>
    </row>
    <row r="145" spans="1:7" x14ac:dyDescent="0.25">
      <c r="A145" s="101" t="s">
        <v>303</v>
      </c>
      <c r="B145" s="17">
        <v>109653438</v>
      </c>
      <c r="C145" s="17">
        <v>37709100</v>
      </c>
      <c r="D145" s="17">
        <f t="shared" si="2"/>
        <v>37709100</v>
      </c>
      <c r="E145" s="49">
        <f>VLOOKUP($A145,'Data shares'!$C:$FA,128)*100</f>
        <v>87.14</v>
      </c>
      <c r="F145" s="49">
        <f>VLOOKUP($A145,'Data shares'!$C:$FA,129)</f>
        <v>20919845</v>
      </c>
      <c r="G145" s="17"/>
    </row>
    <row r="146" spans="1:7" x14ac:dyDescent="0.25">
      <c r="A146" s="101" t="s">
        <v>255</v>
      </c>
      <c r="B146" s="17">
        <v>26359259</v>
      </c>
      <c r="C146" s="17">
        <v>6916100</v>
      </c>
      <c r="D146" s="17">
        <f t="shared" si="2"/>
        <v>6916100</v>
      </c>
      <c r="E146" s="49">
        <f>VLOOKUP($A146,'Data shares'!$C:$FA,128)*100</f>
        <v>94.46</v>
      </c>
      <c r="F146" s="49">
        <f>VLOOKUP($A146,'Data shares'!$C:$FA,129)</f>
        <v>2964850</v>
      </c>
      <c r="G146" s="17"/>
    </row>
    <row r="147" spans="1:7" x14ac:dyDescent="0.25">
      <c r="A147" s="101" t="s">
        <v>180</v>
      </c>
      <c r="B147" s="17">
        <v>372635498</v>
      </c>
      <c r="C147" s="17">
        <v>233426700</v>
      </c>
      <c r="D147" s="17">
        <f t="shared" si="2"/>
        <v>233426700</v>
      </c>
      <c r="E147" s="49">
        <f>VLOOKUP($A147,'Data shares'!$C:$FA,128)*100</f>
        <v>89.24</v>
      </c>
      <c r="F147" s="49">
        <f>VLOOKUP($A147,'Data shares'!$C:$FA,129)</f>
        <v>106364700</v>
      </c>
      <c r="G147" s="17"/>
    </row>
    <row r="148" spans="1:7" x14ac:dyDescent="0.25">
      <c r="A148" s="101" t="s">
        <v>179</v>
      </c>
      <c r="B148" s="17">
        <v>193321473</v>
      </c>
      <c r="C148" s="17">
        <v>47098800</v>
      </c>
      <c r="D148" s="17">
        <f t="shared" si="2"/>
        <v>47098800</v>
      </c>
      <c r="E148" s="49">
        <f>VLOOKUP($A148,'Data shares'!$C:$FA,128)*100</f>
        <v>96.81</v>
      </c>
      <c r="F148" s="49">
        <f>VLOOKUP($A148,'Data shares'!$C:$FA,129)</f>
        <v>90554400</v>
      </c>
    </row>
    <row r="149" spans="1:7" x14ac:dyDescent="0.25">
      <c r="A149" s="101" t="s">
        <v>253</v>
      </c>
      <c r="B149" s="17">
        <v>109926618</v>
      </c>
      <c r="C149" s="17">
        <v>54285000</v>
      </c>
      <c r="D149" s="17">
        <f t="shared" si="2"/>
        <v>54285000</v>
      </c>
      <c r="E149" s="49">
        <f>VLOOKUP($A149,'Data shares'!$C:$FA,128)*100</f>
        <v>87.8</v>
      </c>
      <c r="F149" s="49">
        <f>VLOOKUP($A149,'Data shares'!$C:$FA,129)</f>
        <v>43536000</v>
      </c>
    </row>
    <row r="150" spans="1:7" x14ac:dyDescent="0.25">
      <c r="A150" s="101" t="s">
        <v>261</v>
      </c>
      <c r="B150" s="17">
        <v>611563</v>
      </c>
      <c r="C150" s="17">
        <v>120180</v>
      </c>
      <c r="D150" s="17">
        <f t="shared" si="2"/>
        <v>120180</v>
      </c>
      <c r="E150" s="49">
        <f>VLOOKUP($A150,'Data shares'!$C:$FA,128)*100</f>
        <v>85.65</v>
      </c>
      <c r="F150" s="49">
        <f>VLOOKUP($A150,'Data shares'!$C:$FA,129)</f>
        <v>3748525</v>
      </c>
    </row>
    <row r="151" spans="1:7" x14ac:dyDescent="0.25">
      <c r="A151" s="101" t="s">
        <v>164</v>
      </c>
      <c r="B151" s="17">
        <v>145854205</v>
      </c>
      <c r="C151" s="17">
        <v>46824000</v>
      </c>
      <c r="D151" s="17">
        <f t="shared" si="2"/>
        <v>46824000</v>
      </c>
      <c r="E151" s="49">
        <f>VLOOKUP($A151,'Data shares'!$C:$FA,128)*100</f>
        <v>93.45</v>
      </c>
      <c r="F151" s="49">
        <f>VLOOKUP($A151,'Data shares'!$C:$FA,129)</f>
        <v>63778500</v>
      </c>
    </row>
    <row r="152" spans="1:7" x14ac:dyDescent="0.25">
      <c r="A152" s="101" t="s">
        <v>526</v>
      </c>
      <c r="B152" s="17">
        <v>44365911</v>
      </c>
      <c r="C152" s="17">
        <v>20668300</v>
      </c>
      <c r="D152" s="17">
        <f t="shared" si="2"/>
        <v>20668300</v>
      </c>
      <c r="E152" s="49">
        <f>VLOOKUP($A152,'Data shares'!$C:$FA,128)*100</f>
        <v>97.03</v>
      </c>
      <c r="F152" s="49">
        <f>VLOOKUP($A152,'Data shares'!$C:$FA,129)</f>
        <v>22282000</v>
      </c>
    </row>
    <row r="153" spans="1:7" x14ac:dyDescent="0.25">
      <c r="A153" s="101" t="s">
        <v>515</v>
      </c>
      <c r="B153" s="17">
        <v>3083179</v>
      </c>
      <c r="C153" s="17">
        <v>492075</v>
      </c>
      <c r="D153" s="17">
        <f t="shared" si="2"/>
        <v>492075</v>
      </c>
      <c r="E153" s="49">
        <f>VLOOKUP($A153,'Data shares'!$C:$FA,128)*100</f>
        <v>97.03</v>
      </c>
      <c r="F153" s="49">
        <f>VLOOKUP($A153,'Data shares'!$C:$FA,129)</f>
        <v>22282000</v>
      </c>
    </row>
    <row r="154" spans="1:7" x14ac:dyDescent="0.25">
      <c r="A154" s="101" t="s">
        <v>226</v>
      </c>
      <c r="B154" s="17">
        <v>26072630</v>
      </c>
      <c r="C154" s="17">
        <v>9897900</v>
      </c>
      <c r="D154" s="17">
        <f t="shared" si="2"/>
        <v>9897900</v>
      </c>
      <c r="E154" s="49">
        <f>VLOOKUP($A154,'Data shares'!$C:$FA,128)*100</f>
        <v>89.91</v>
      </c>
      <c r="F154" s="49">
        <f>VLOOKUP($A154,'Data shares'!$C:$FA,129)</f>
        <v>3504000</v>
      </c>
    </row>
    <row r="155" spans="1:7" x14ac:dyDescent="0.25">
      <c r="A155" s="101" t="s">
        <v>544</v>
      </c>
      <c r="B155" s="17">
        <v>139989683</v>
      </c>
      <c r="C155" s="17">
        <v>28415200</v>
      </c>
      <c r="D155" s="17">
        <f t="shared" si="2"/>
        <v>28415200</v>
      </c>
      <c r="E155" s="49">
        <f>VLOOKUP($A155,'Data shares'!$C:$FA,128)*100</f>
        <v>98.350000000000009</v>
      </c>
      <c r="F155" s="49">
        <f>VLOOKUP($A155,'Data shares'!$C:$FA,129)</f>
        <v>51019800</v>
      </c>
    </row>
    <row r="156" spans="1:7" x14ac:dyDescent="0.25">
      <c r="A156" s="101" t="s">
        <v>547</v>
      </c>
      <c r="B156" s="17">
        <v>65482129</v>
      </c>
      <c r="C156" s="17">
        <v>33944200</v>
      </c>
      <c r="D156" s="17">
        <f t="shared" si="2"/>
        <v>33944200</v>
      </c>
      <c r="E156" s="49">
        <f>VLOOKUP($A156,'Data shares'!$C:$FA,128)*100</f>
        <v>93.77</v>
      </c>
      <c r="F156" s="49">
        <f>VLOOKUP($A156,'Data shares'!$C:$FA,129)</f>
        <v>31098900</v>
      </c>
    </row>
    <row r="157" spans="1:7" x14ac:dyDescent="0.25">
      <c r="A157" s="101" t="s">
        <v>499</v>
      </c>
      <c r="B157" s="17">
        <v>66687240</v>
      </c>
      <c r="C157" s="17">
        <v>16125200</v>
      </c>
      <c r="D157" s="17">
        <f t="shared" si="2"/>
        <v>16125200</v>
      </c>
      <c r="E157" s="49">
        <f>VLOOKUP($A157,'Data shares'!$C:$FA,128)*100</f>
        <v>98.350000000000009</v>
      </c>
      <c r="F157" s="49">
        <f>VLOOKUP($A157,'Data shares'!$C:$FA,129)</f>
        <v>51019800</v>
      </c>
    </row>
    <row r="158" spans="1:7" x14ac:dyDescent="0.25">
      <c r="A158" s="101" t="s">
        <v>483</v>
      </c>
      <c r="B158" s="17">
        <v>16146181</v>
      </c>
      <c r="C158" s="17">
        <v>1914250</v>
      </c>
      <c r="D158" s="17">
        <f t="shared" si="2"/>
        <v>1914250</v>
      </c>
      <c r="E158" s="49">
        <f>VLOOKUP($A158,'Data shares'!$C:$FA,128)*100</f>
        <v>93.47</v>
      </c>
      <c r="F158" s="49">
        <f>VLOOKUP($A158,'Data shares'!$C:$FA,129)</f>
        <v>3537625</v>
      </c>
    </row>
    <row r="159" spans="1:7" x14ac:dyDescent="0.25">
      <c r="A159" s="101" t="s">
        <v>546</v>
      </c>
      <c r="B159" s="17">
        <v>18282414</v>
      </c>
      <c r="C159" s="17">
        <v>13742300</v>
      </c>
      <c r="D159" s="17">
        <f t="shared" si="2"/>
        <v>13742300</v>
      </c>
      <c r="E159" s="49">
        <f>VLOOKUP($A159,'Data shares'!$C:$FA,128)*100</f>
        <v>89.17</v>
      </c>
      <c r="F159" s="49">
        <f>VLOOKUP($A159,'Data shares'!$C:$FA,129)</f>
        <v>102406950</v>
      </c>
    </row>
    <row r="160" spans="1:7" x14ac:dyDescent="0.25">
      <c r="A160" s="101" t="s">
        <v>220</v>
      </c>
      <c r="B160" s="17">
        <v>50687734</v>
      </c>
      <c r="C160" s="17">
        <v>6783500</v>
      </c>
      <c r="D160" s="17">
        <f t="shared" si="2"/>
        <v>6783500</v>
      </c>
      <c r="E160" s="49">
        <f>VLOOKUP($A160,'Data shares'!$C:$FA,128)*100</f>
        <v>84.19</v>
      </c>
      <c r="F160" s="49">
        <f>VLOOKUP($A160,'Data shares'!$C:$FA,129)</f>
        <v>7477000</v>
      </c>
    </row>
    <row r="161" spans="1:6" x14ac:dyDescent="0.25">
      <c r="A161" s="101" t="s">
        <v>472</v>
      </c>
      <c r="B161" s="17">
        <v>50993734</v>
      </c>
      <c r="C161" s="17">
        <v>3803750</v>
      </c>
      <c r="D161" s="17">
        <f t="shared" si="2"/>
        <v>3803750</v>
      </c>
      <c r="E161" s="49">
        <f>VLOOKUP($A161,'Data shares'!$C:$FA,128)*100</f>
        <v>97.16</v>
      </c>
      <c r="F161" s="49">
        <f>VLOOKUP($A161,'Data shares'!$C:$FA,129)</f>
        <v>4436250</v>
      </c>
    </row>
    <row r="162" spans="1:6" x14ac:dyDescent="0.25">
      <c r="A162" t="s">
        <v>535</v>
      </c>
      <c r="B162">
        <v>78168147</v>
      </c>
      <c r="C162">
        <v>9571500</v>
      </c>
      <c r="D162" s="17">
        <f t="shared" ref="D162:D204" si="3">C162</f>
        <v>9571500</v>
      </c>
      <c r="E162" s="49">
        <f>VLOOKUP($A162,'Data shares'!$C:$FA,128)*100</f>
        <v>94.16</v>
      </c>
      <c r="F162" s="49">
        <f>VLOOKUP($A162,'Data shares'!$C:$FA,129)</f>
        <v>16952400</v>
      </c>
    </row>
    <row r="163" spans="1:6" x14ac:dyDescent="0.25">
      <c r="A163" t="s">
        <v>492</v>
      </c>
      <c r="B163">
        <v>28779078</v>
      </c>
      <c r="C163">
        <v>14404150</v>
      </c>
      <c r="D163" s="17">
        <f t="shared" si="3"/>
        <v>14404150</v>
      </c>
      <c r="E163" s="49">
        <f>VLOOKUP($A163,'Data shares'!$C:$FA,128)*100</f>
        <v>96.61999999999999</v>
      </c>
      <c r="F163" s="49">
        <f>VLOOKUP($A163,'Data shares'!$C:$FA,129)</f>
        <v>7287200</v>
      </c>
    </row>
    <row r="164" spans="1:6" x14ac:dyDescent="0.25">
      <c r="A164" t="s">
        <v>298</v>
      </c>
      <c r="B164">
        <v>9731600</v>
      </c>
      <c r="C164">
        <v>863500</v>
      </c>
      <c r="D164" s="17">
        <f t="shared" si="3"/>
        <v>863500</v>
      </c>
      <c r="E164" s="49">
        <f>VLOOKUP($A164,'Data shares'!$C:$FA,128)*100</f>
        <v>98.19</v>
      </c>
      <c r="F164" s="49">
        <f>VLOOKUP($A164,'Data shares'!$C:$FA,129)</f>
        <v>3072000</v>
      </c>
    </row>
    <row r="165" spans="1:6" x14ac:dyDescent="0.25">
      <c r="A165" t="s">
        <v>548</v>
      </c>
      <c r="B165">
        <v>442076</v>
      </c>
      <c r="C165">
        <v>9615</v>
      </c>
      <c r="D165" s="17">
        <f t="shared" si="3"/>
        <v>9615</v>
      </c>
      <c r="E165" s="49">
        <f>VLOOKUP($A165,'Data shares'!$C:$FA,128)*100</f>
        <v>91.61</v>
      </c>
      <c r="F165" s="49">
        <f>VLOOKUP($A165,'Data shares'!$C:$FA,129)</f>
        <v>25491025</v>
      </c>
    </row>
    <row r="166" spans="1:6" x14ac:dyDescent="0.25">
      <c r="A166" t="s">
        <v>530</v>
      </c>
      <c r="B166">
        <v>3258166</v>
      </c>
      <c r="C166">
        <v>219750</v>
      </c>
      <c r="D166" s="17">
        <f t="shared" si="3"/>
        <v>219750</v>
      </c>
      <c r="E166" s="49">
        <f>VLOOKUP($A166,'Data shares'!$C:$FA,128)*100</f>
        <v>85.98</v>
      </c>
      <c r="F166" s="49">
        <f>VLOOKUP($A166,'Data shares'!$C:$FA,129)</f>
        <v>7325300</v>
      </c>
    </row>
    <row r="167" spans="1:6" x14ac:dyDescent="0.25">
      <c r="A167" t="s">
        <v>249</v>
      </c>
      <c r="B167">
        <v>277168216</v>
      </c>
      <c r="C167">
        <v>21795375</v>
      </c>
      <c r="D167" s="17">
        <f t="shared" si="3"/>
        <v>21795375</v>
      </c>
      <c r="E167" s="49">
        <f>VLOOKUP($A167,'Data shares'!$C:$FA,128)*100</f>
        <v>94.3</v>
      </c>
      <c r="F167" s="49">
        <f>VLOOKUP($A167,'Data shares'!$C:$FA,129)</f>
        <v>13787375</v>
      </c>
    </row>
    <row r="168" spans="1:6" x14ac:dyDescent="0.25">
      <c r="A168" t="s">
        <v>216</v>
      </c>
      <c r="B168">
        <v>484955219</v>
      </c>
      <c r="C168">
        <v>230400000</v>
      </c>
      <c r="D168" s="17">
        <f t="shared" si="3"/>
        <v>230400000</v>
      </c>
      <c r="E168" s="49">
        <f>VLOOKUP($A168,'Data shares'!$C:$FA,128)*100</f>
        <v>89.17</v>
      </c>
      <c r="F168" s="49">
        <f>VLOOKUP($A168,'Data shares'!$C:$FA,129)</f>
        <v>102406950</v>
      </c>
    </row>
    <row r="169" spans="1:6" x14ac:dyDescent="0.25">
      <c r="A169" t="s">
        <v>252</v>
      </c>
      <c r="B169">
        <v>117640832</v>
      </c>
      <c r="C169">
        <v>52456000</v>
      </c>
      <c r="D169" s="17">
        <f t="shared" si="3"/>
        <v>52456000</v>
      </c>
      <c r="E169" s="49">
        <f>VLOOKUP($A169,'Data shares'!$C:$FA,128)*100</f>
        <v>96.76</v>
      </c>
      <c r="F169" s="49">
        <f>VLOOKUP($A169,'Data shares'!$C:$FA,129)</f>
        <v>17357000</v>
      </c>
    </row>
    <row r="170" spans="1:6" x14ac:dyDescent="0.25">
      <c r="A170" t="s">
        <v>205</v>
      </c>
      <c r="B170">
        <v>25513876</v>
      </c>
      <c r="C170">
        <v>3302300</v>
      </c>
      <c r="D170" s="17">
        <f t="shared" si="3"/>
        <v>3302300</v>
      </c>
      <c r="E170" s="49">
        <f>VLOOKUP($A170,'Data shares'!$C:$FA,128)*100</f>
        <v>89.69</v>
      </c>
      <c r="F170" s="49">
        <f>VLOOKUP($A170,'Data shares'!$C:$FA,129)</f>
        <v>2043500</v>
      </c>
    </row>
    <row r="171" spans="1:6" x14ac:dyDescent="0.25">
      <c r="A171" t="s">
        <v>194</v>
      </c>
      <c r="B171">
        <v>202646440</v>
      </c>
      <c r="C171">
        <v>52470000</v>
      </c>
      <c r="D171" s="17">
        <f t="shared" si="3"/>
        <v>52470000</v>
      </c>
      <c r="E171" s="49">
        <f>VLOOKUP($A171,'Data shares'!$C:$FA,128)*100</f>
        <v>86.58</v>
      </c>
      <c r="F171" s="49">
        <f>VLOOKUP($A171,'Data shares'!$C:$FA,129)</f>
        <v>47753525</v>
      </c>
    </row>
    <row r="172" spans="1:6" x14ac:dyDescent="0.25">
      <c r="A172" t="s">
        <v>263</v>
      </c>
      <c r="B172">
        <v>178967755</v>
      </c>
      <c r="C172">
        <v>142910500</v>
      </c>
      <c r="D172" s="17">
        <f t="shared" si="3"/>
        <v>142910500</v>
      </c>
      <c r="E172" s="49">
        <f>VLOOKUP($A172,'Data shares'!$C:$FA,128)*100</f>
        <v>93.11</v>
      </c>
      <c r="F172" s="49">
        <f>VLOOKUP($A172,'Data shares'!$C:$FA,129)</f>
        <v>31095000</v>
      </c>
    </row>
    <row r="173" spans="1:6" x14ac:dyDescent="0.25">
      <c r="A173" t="s">
        <v>476</v>
      </c>
      <c r="B173">
        <v>40446155</v>
      </c>
      <c r="C173">
        <v>4358800</v>
      </c>
      <c r="D173" s="17">
        <f t="shared" si="3"/>
        <v>4358800</v>
      </c>
      <c r="E173" s="49">
        <f>VLOOKUP($A173,'Data shares'!$C:$FA,128)*100</f>
        <v>96.87</v>
      </c>
      <c r="F173" s="49">
        <f>VLOOKUP($A173,'Data shares'!$C:$FA,129)</f>
        <v>4327500</v>
      </c>
    </row>
    <row r="174" spans="1:6" x14ac:dyDescent="0.25">
      <c r="A174" t="s">
        <v>187</v>
      </c>
      <c r="B174">
        <v>51436398</v>
      </c>
      <c r="C174">
        <v>7413750</v>
      </c>
      <c r="D174" s="17">
        <f t="shared" si="3"/>
        <v>7413750</v>
      </c>
      <c r="E174" s="49">
        <f>VLOOKUP($A174,'Data shares'!$C:$FA,128)*100</f>
        <v>92.86999999999999</v>
      </c>
      <c r="F174" s="49">
        <f>VLOOKUP($A174,'Data shares'!$C:$FA,129)</f>
        <v>6270000</v>
      </c>
    </row>
    <row r="175" spans="1:6" x14ac:dyDescent="0.25">
      <c r="A175" t="s">
        <v>493</v>
      </c>
      <c r="B175">
        <v>14814614</v>
      </c>
      <c r="C175">
        <v>3344250</v>
      </c>
      <c r="D175" s="17">
        <f t="shared" si="3"/>
        <v>3344250</v>
      </c>
      <c r="E175" s="49">
        <f>VLOOKUP($A175,'Data shares'!$C:$FA,128)*100</f>
        <v>83.38</v>
      </c>
      <c r="F175" s="49">
        <f>VLOOKUP($A175,'Data shares'!$C:$FA,129)</f>
        <v>3237000</v>
      </c>
    </row>
    <row r="176" spans="1:6" x14ac:dyDescent="0.25">
      <c r="A176" t="s">
        <v>525</v>
      </c>
      <c r="B176">
        <v>35635456</v>
      </c>
      <c r="C176">
        <v>28959300</v>
      </c>
      <c r="D176" s="17">
        <f t="shared" si="3"/>
        <v>28959300</v>
      </c>
      <c r="E176" s="49">
        <f>VLOOKUP($A176,'Data shares'!$C:$FA,128)*100</f>
        <v>96.17</v>
      </c>
      <c r="F176" s="49">
        <f>VLOOKUP($A176,'Data shares'!$C:$FA,129)</f>
        <v>26850500</v>
      </c>
    </row>
    <row r="177" spans="1:6" x14ac:dyDescent="0.25">
      <c r="A177" t="s">
        <v>512</v>
      </c>
      <c r="B177">
        <v>7771646</v>
      </c>
      <c r="C177">
        <v>1119375</v>
      </c>
      <c r="D177" s="17">
        <f t="shared" si="3"/>
        <v>1119375</v>
      </c>
      <c r="E177" s="49">
        <f>VLOOKUP($A177,'Data shares'!$C:$FA,128)*100</f>
        <v>93.46</v>
      </c>
      <c r="F177" s="49">
        <f>VLOOKUP($A177,'Data shares'!$C:$FA,129)</f>
        <v>2463300</v>
      </c>
    </row>
    <row r="178" spans="1:6" x14ac:dyDescent="0.25">
      <c r="A178" t="s">
        <v>233</v>
      </c>
      <c r="B178">
        <v>76432837</v>
      </c>
      <c r="C178">
        <v>9804000</v>
      </c>
      <c r="D178" s="17">
        <f t="shared" si="3"/>
        <v>9804000</v>
      </c>
      <c r="E178" s="49">
        <f>VLOOKUP($A178,'Data shares'!$C:$FA,128)*100</f>
        <v>86.960000000000008</v>
      </c>
      <c r="F178" s="49">
        <f>VLOOKUP($A178,'Data shares'!$C:$FA,129)</f>
        <v>14668650</v>
      </c>
    </row>
    <row r="179" spans="1:6" x14ac:dyDescent="0.25">
      <c r="A179" t="s">
        <v>183</v>
      </c>
      <c r="B179">
        <v>12092405</v>
      </c>
      <c r="C179">
        <v>2606450</v>
      </c>
      <c r="D179" s="17">
        <f t="shared" si="3"/>
        <v>2606450</v>
      </c>
      <c r="E179" s="49">
        <f>VLOOKUP($A179,'Data shares'!$C:$FA,128)*100</f>
        <v>75.339999999999989</v>
      </c>
      <c r="F179" s="49">
        <f>VLOOKUP($A179,'Data shares'!$C:$FA,129)</f>
        <v>2008110</v>
      </c>
    </row>
    <row r="180" spans="1:6" x14ac:dyDescent="0.25">
      <c r="A180" t="s">
        <v>280</v>
      </c>
      <c r="B180">
        <v>187084550</v>
      </c>
      <c r="C180">
        <v>50568000</v>
      </c>
      <c r="D180" s="17">
        <f t="shared" si="3"/>
        <v>50568000</v>
      </c>
      <c r="E180" s="49">
        <f>VLOOKUP($A180,'Data shares'!$C:$FA,128)*100</f>
        <v>91.210000000000008</v>
      </c>
      <c r="F180" s="49">
        <f>VLOOKUP($A180,'Data shares'!$C:$FA,129)</f>
        <v>50917650</v>
      </c>
    </row>
    <row r="181" spans="1:6" x14ac:dyDescent="0.25">
      <c r="A181" t="s">
        <v>166</v>
      </c>
      <c r="B181">
        <v>79597108</v>
      </c>
      <c r="C181">
        <v>26630000</v>
      </c>
      <c r="D181" s="17">
        <f t="shared" si="3"/>
        <v>26630000</v>
      </c>
      <c r="E181" s="49">
        <f>VLOOKUP($A181,'Data shares'!$C:$FA,128)*100</f>
        <v>85.88</v>
      </c>
      <c r="F181" s="49">
        <f>VLOOKUP($A181,'Data shares'!$C:$FA,129)</f>
        <v>1852375</v>
      </c>
    </row>
    <row r="182" spans="1:6" x14ac:dyDescent="0.25">
      <c r="A182" t="s">
        <v>241</v>
      </c>
      <c r="B182">
        <v>913205148</v>
      </c>
      <c r="C182">
        <v>118527500</v>
      </c>
      <c r="D182" s="17">
        <f t="shared" si="3"/>
        <v>118527500</v>
      </c>
      <c r="E182" s="49">
        <f>VLOOKUP($A182,'Data shares'!$C:$FA,128)*100</f>
        <v>91</v>
      </c>
      <c r="F182" s="49">
        <f>VLOOKUP($A182,'Data shares'!$C:$FA,129)</f>
        <v>90441000</v>
      </c>
    </row>
    <row r="183" spans="1:6" x14ac:dyDescent="0.25">
      <c r="A183" t="s">
        <v>517</v>
      </c>
      <c r="B183">
        <v>10180563</v>
      </c>
      <c r="C183">
        <v>3926650</v>
      </c>
      <c r="D183" s="17">
        <f t="shared" si="3"/>
        <v>3926650</v>
      </c>
      <c r="E183" s="49">
        <f>VLOOKUP($A183,'Data shares'!$C:$FA,128)*100</f>
        <v>92.38</v>
      </c>
      <c r="F183" s="49">
        <f>VLOOKUP($A183,'Data shares'!$C:$FA,129)</f>
        <v>9576100</v>
      </c>
    </row>
    <row r="184" spans="1:6" x14ac:dyDescent="0.25">
      <c r="A184" t="s">
        <v>211</v>
      </c>
      <c r="B184">
        <v>91809066</v>
      </c>
      <c r="C184">
        <v>33516000</v>
      </c>
      <c r="D184" s="17">
        <f t="shared" si="3"/>
        <v>33516000</v>
      </c>
      <c r="E184" s="49">
        <f>VLOOKUP($A184,'Data shares'!$C:$FA,128)*100</f>
        <v>92.03</v>
      </c>
      <c r="F184" s="49">
        <f>VLOOKUP($A184,'Data shares'!$C:$FA,129)</f>
        <v>18419400</v>
      </c>
    </row>
    <row r="185" spans="1:6" x14ac:dyDescent="0.25">
      <c r="A185" t="s">
        <v>518</v>
      </c>
      <c r="B185">
        <v>4636018</v>
      </c>
      <c r="C185">
        <v>608375</v>
      </c>
      <c r="D185" s="17">
        <f t="shared" si="3"/>
        <v>608375</v>
      </c>
      <c r="E185" s="49">
        <f>VLOOKUP($A185,'Data shares'!$C:$FA,128)*100</f>
        <v>93.710000000000008</v>
      </c>
      <c r="F185" s="49">
        <f>VLOOKUP($A185,'Data shares'!$C:$FA,129)</f>
        <v>1016325</v>
      </c>
    </row>
    <row r="186" spans="1:6" x14ac:dyDescent="0.25">
      <c r="A186" t="s">
        <v>511</v>
      </c>
      <c r="B186">
        <v>18644752</v>
      </c>
      <c r="C186">
        <v>4227600</v>
      </c>
      <c r="D186" s="17">
        <f t="shared" si="3"/>
        <v>4227600</v>
      </c>
      <c r="E186" s="49">
        <f>VLOOKUP($A186,'Data shares'!$C:$FA,128)*100</f>
        <v>95.3</v>
      </c>
      <c r="F186" s="49">
        <f>VLOOKUP($A186,'Data shares'!$C:$FA,129)</f>
        <v>202014000</v>
      </c>
    </row>
    <row r="187" spans="1:6" x14ac:dyDescent="0.25">
      <c r="A187" t="s">
        <v>186</v>
      </c>
      <c r="B187">
        <v>48589957</v>
      </c>
      <c r="C187">
        <v>5942200</v>
      </c>
      <c r="D187" s="17">
        <f t="shared" si="3"/>
        <v>5942200</v>
      </c>
      <c r="E187" s="49">
        <f>VLOOKUP($A187,'Data shares'!$C:$FA,128)*100</f>
        <v>93.17</v>
      </c>
      <c r="F187" s="49">
        <f>VLOOKUP($A187,'Data shares'!$C:$FA,129)</f>
        <v>91804200</v>
      </c>
    </row>
    <row r="188" spans="1:6" x14ac:dyDescent="0.25">
      <c r="A188" t="s">
        <v>522</v>
      </c>
      <c r="B188">
        <v>1063050</v>
      </c>
      <c r="C188">
        <v>54050</v>
      </c>
      <c r="D188" s="17">
        <f t="shared" si="3"/>
        <v>54050</v>
      </c>
      <c r="E188" s="49">
        <f>VLOOKUP($A188,'Data shares'!$C:$FA,128)*100</f>
        <v>87.94</v>
      </c>
      <c r="F188" s="49">
        <f>VLOOKUP($A188,'Data shares'!$C:$FA,129)</f>
        <v>2459750</v>
      </c>
    </row>
    <row r="189" spans="1:6" x14ac:dyDescent="0.25">
      <c r="A189" t="s">
        <v>300</v>
      </c>
      <c r="B189">
        <v>45360865</v>
      </c>
      <c r="C189">
        <v>14277200</v>
      </c>
      <c r="D189" s="17">
        <f t="shared" si="3"/>
        <v>14277200</v>
      </c>
      <c r="E189" s="49">
        <f>VLOOKUP($A189,'Data shares'!$C:$FA,128)*100</f>
        <v>94.44</v>
      </c>
      <c r="F189" s="49">
        <f>VLOOKUP($A189,'Data shares'!$C:$FA,129)</f>
        <v>8804775</v>
      </c>
    </row>
    <row r="190" spans="1:6" x14ac:dyDescent="0.25">
      <c r="A190" t="s">
        <v>520</v>
      </c>
      <c r="B190">
        <v>23139622</v>
      </c>
      <c r="C190">
        <v>1555500</v>
      </c>
      <c r="D190" s="17">
        <f t="shared" si="3"/>
        <v>1555500</v>
      </c>
      <c r="E190" s="49">
        <f>VLOOKUP($A190,'Data shares'!$C:$FA,128)*100</f>
        <v>86.59</v>
      </c>
      <c r="F190" s="49">
        <f>VLOOKUP($A190,'Data shares'!$C:$FA,129)</f>
        <v>39055850</v>
      </c>
    </row>
    <row r="191" spans="1:6" x14ac:dyDescent="0.25">
      <c r="A191" t="s">
        <v>294</v>
      </c>
      <c r="B191">
        <v>161436977</v>
      </c>
      <c r="C191">
        <v>59382700</v>
      </c>
      <c r="D191" s="17">
        <f t="shared" si="3"/>
        <v>59382700</v>
      </c>
      <c r="E191" s="49">
        <f>VLOOKUP($A191,'Data shares'!$C:$FA,128)*100</f>
        <v>88.14</v>
      </c>
      <c r="F191" s="49">
        <f>VLOOKUP($A191,'Data shares'!$C:$FA,129)</f>
        <v>171949250</v>
      </c>
    </row>
    <row r="192" spans="1:6" x14ac:dyDescent="0.25">
      <c r="A192" t="s">
        <v>244</v>
      </c>
      <c r="B192">
        <v>265685393</v>
      </c>
      <c r="C192">
        <v>44023500</v>
      </c>
      <c r="D192" s="17">
        <f t="shared" si="3"/>
        <v>44023500</v>
      </c>
      <c r="E192" s="49">
        <f>VLOOKUP($A192,'Data shares'!$C:$FA,128)*100</f>
        <v>90.89</v>
      </c>
      <c r="F192" s="49">
        <f>VLOOKUP($A192,'Data shares'!$C:$FA,129)</f>
        <v>42453450</v>
      </c>
    </row>
    <row r="193" spans="1:6" x14ac:dyDescent="0.25">
      <c r="A193" t="s">
        <v>160</v>
      </c>
      <c r="B193">
        <v>145684825</v>
      </c>
      <c r="C193">
        <v>110820000</v>
      </c>
      <c r="D193" s="17">
        <f t="shared" si="3"/>
        <v>110820000</v>
      </c>
      <c r="E193" s="49">
        <f>VLOOKUP($A193,'Data shares'!$C:$FA,128)*100</f>
        <v>87.14</v>
      </c>
      <c r="F193" s="49">
        <f>VLOOKUP($A193,'Data shares'!$C:$FA,129)</f>
        <v>19919600</v>
      </c>
    </row>
    <row r="194" spans="1:6" x14ac:dyDescent="0.25">
      <c r="A194" t="s">
        <v>496</v>
      </c>
      <c r="B194">
        <v>11999202</v>
      </c>
      <c r="C194">
        <v>2345700</v>
      </c>
      <c r="D194" s="17">
        <f t="shared" si="3"/>
        <v>2345700</v>
      </c>
      <c r="E194" s="49">
        <f>VLOOKUP($A194,'Data shares'!$C:$FA,128)*100</f>
        <v>95.47</v>
      </c>
      <c r="F194" s="49">
        <f>VLOOKUP($A194,'Data shares'!$C:$FA,129)</f>
        <v>5010950</v>
      </c>
    </row>
    <row r="195" spans="1:6" x14ac:dyDescent="0.25">
      <c r="A195" t="s">
        <v>230</v>
      </c>
      <c r="B195">
        <v>179034270</v>
      </c>
      <c r="C195">
        <v>24257400</v>
      </c>
      <c r="D195" s="17">
        <f t="shared" si="3"/>
        <v>24257400</v>
      </c>
      <c r="E195" s="49">
        <f>VLOOKUP($A195,'Data shares'!$C:$FA,128)*100</f>
        <v>91.16</v>
      </c>
      <c r="F195" s="49">
        <f>VLOOKUP($A195,'Data shares'!$C:$FA,129)</f>
        <v>14678400</v>
      </c>
    </row>
    <row r="196" spans="1:6" x14ac:dyDescent="0.25">
      <c r="A196" t="s">
        <v>203</v>
      </c>
      <c r="B196">
        <v>27165463</v>
      </c>
      <c r="C196">
        <v>3318000</v>
      </c>
      <c r="D196" s="17">
        <f t="shared" si="3"/>
        <v>3318000</v>
      </c>
      <c r="E196" s="49">
        <f>VLOOKUP($A196,'Data shares'!$C:$FA,128)*100</f>
        <v>91.79</v>
      </c>
      <c r="F196" s="49">
        <f>VLOOKUP($A196,'Data shares'!$C:$FA,129)</f>
        <v>3013400</v>
      </c>
    </row>
    <row r="197" spans="1:6" x14ac:dyDescent="0.25">
      <c r="A197" t="s">
        <v>251</v>
      </c>
      <c r="B197">
        <v>184464522</v>
      </c>
      <c r="C197">
        <v>32566800</v>
      </c>
      <c r="D197" s="17">
        <f t="shared" si="3"/>
        <v>32566800</v>
      </c>
      <c r="E197" s="49">
        <f>VLOOKUP($A197,'Data shares'!$C:$FA,128)*100</f>
        <v>96.76</v>
      </c>
      <c r="F197" s="49">
        <f>VLOOKUP($A197,'Data shares'!$C:$FA,129)</f>
        <v>17357000</v>
      </c>
    </row>
    <row r="198" spans="1:6" x14ac:dyDescent="0.25">
      <c r="A198" t="s">
        <v>254</v>
      </c>
      <c r="B198">
        <v>104419539</v>
      </c>
      <c r="C198">
        <v>12741000</v>
      </c>
      <c r="D198" s="17">
        <f t="shared" si="3"/>
        <v>12741000</v>
      </c>
      <c r="E198" s="49">
        <f>VLOOKUP($A198,'Data shares'!$C:$FA,128)*100</f>
        <v>96.47</v>
      </c>
      <c r="F198" s="49">
        <f>VLOOKUP($A198,'Data shares'!$C:$FA,129)</f>
        <v>16657200</v>
      </c>
    </row>
    <row r="199" spans="1:6" x14ac:dyDescent="0.25">
      <c r="A199" t="s">
        <v>159</v>
      </c>
      <c r="B199">
        <v>55169320</v>
      </c>
      <c r="C199">
        <v>29565500</v>
      </c>
      <c r="D199" s="17">
        <f t="shared" si="3"/>
        <v>29565500</v>
      </c>
      <c r="E199" s="49">
        <f>VLOOKUP($A199,'Data shares'!$C:$FA,128)*100</f>
        <v>91.67</v>
      </c>
      <c r="F199" s="49">
        <f>VLOOKUP($A199,'Data shares'!$C:$FA,129)</f>
        <v>16306857</v>
      </c>
    </row>
    <row r="200" spans="1:6" x14ac:dyDescent="0.25">
      <c r="A200" t="s">
        <v>201</v>
      </c>
      <c r="B200">
        <v>26654592</v>
      </c>
      <c r="C200">
        <v>3469200</v>
      </c>
      <c r="D200" s="17">
        <f t="shared" si="3"/>
        <v>3469200</v>
      </c>
      <c r="E200" s="49">
        <f>VLOOKUP($A200,'Data shares'!$C:$FA,128)*100</f>
        <v>96.399999999999991</v>
      </c>
      <c r="F200" s="49">
        <f>VLOOKUP($A200,'Data shares'!$C:$FA,129)</f>
        <v>4421275</v>
      </c>
    </row>
    <row r="201" spans="1:6" x14ac:dyDescent="0.25">
      <c r="A201" t="s">
        <v>199</v>
      </c>
      <c r="B201">
        <v>102562642</v>
      </c>
      <c r="C201">
        <v>20641400</v>
      </c>
      <c r="D201" s="17">
        <f t="shared" si="3"/>
        <v>20641400</v>
      </c>
      <c r="E201" s="49">
        <f>VLOOKUP($A201,'Data shares'!$C:$FA,128)*100</f>
        <v>88.949999999999989</v>
      </c>
      <c r="F201" s="49">
        <f>VLOOKUP($A201,'Data shares'!$C:$FA,129)</f>
        <v>13968750</v>
      </c>
    </row>
    <row r="202" spans="1:6" x14ac:dyDescent="0.25">
      <c r="A202" t="s">
        <v>296</v>
      </c>
      <c r="B202">
        <v>124861039</v>
      </c>
      <c r="C202">
        <v>20543400</v>
      </c>
      <c r="D202" s="17">
        <f t="shared" si="3"/>
        <v>20543400</v>
      </c>
      <c r="E202" s="49">
        <f>VLOOKUP($A202,'Data shares'!$C:$FA,128)*100</f>
        <v>93.47</v>
      </c>
      <c r="F202" s="49">
        <f>VLOOKUP($A202,'Data shares'!$C:$FA,129)</f>
        <v>16207800</v>
      </c>
    </row>
    <row r="203" spans="1:6" x14ac:dyDescent="0.25">
      <c r="A203" t="s">
        <v>229</v>
      </c>
      <c r="B203">
        <v>127940594</v>
      </c>
      <c r="C203">
        <v>33552900</v>
      </c>
      <c r="D203" s="17">
        <f t="shared" si="3"/>
        <v>33552900</v>
      </c>
      <c r="E203" s="49">
        <f>VLOOKUP($A203,'Data shares'!$C:$FA,128)*100</f>
        <v>88.51</v>
      </c>
      <c r="F203" s="49">
        <f>VLOOKUP($A203,'Data shares'!$C:$FA,129)</f>
        <v>30168450</v>
      </c>
    </row>
    <row r="204" spans="1:6" x14ac:dyDescent="0.25">
      <c r="A204" t="s">
        <v>497</v>
      </c>
      <c r="B204">
        <v>10251929</v>
      </c>
      <c r="C204">
        <v>266200</v>
      </c>
      <c r="D204" s="17">
        <f t="shared" si="3"/>
        <v>266200</v>
      </c>
      <c r="E204" s="49">
        <f>VLOOKUP($A204,'Data shares'!$C:$FA,128)*100</f>
        <v>98.05</v>
      </c>
      <c r="F204" s="49">
        <f>VLOOKUP($A204,'Data shares'!$C:$FA,129)</f>
        <v>1176000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H16" sqref="H16"/>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A14" zoomScale="87" zoomScaleNormal="87" workbookViewId="0">
      <selection activeCell="L22" sqref="L22"/>
    </sheetView>
  </sheetViews>
  <sheetFormatPr defaultRowHeight="15" x14ac:dyDescent="0.25"/>
  <cols>
    <col min="1" max="1" width="12.8554687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9" bestFit="1" customWidth="1"/>
    <col min="25" max="25" width="12.28515625" bestFit="1" customWidth="1"/>
    <col min="26" max="26" width="11.28515625" bestFit="1" customWidth="1"/>
    <col min="27" max="27" width="10.140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9"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3.140625" bestFit="1" customWidth="1"/>
    <col min="80" max="80" width="14.5703125" bestFit="1" customWidth="1"/>
    <col min="81" max="81" width="14" bestFit="1" customWidth="1"/>
    <col min="82" max="82" width="11.42578125" bestFit="1" customWidth="1"/>
    <col min="83" max="83" width="14.28515625" bestFit="1" customWidth="1"/>
    <col min="84" max="84" width="14.42578125" bestFit="1" customWidth="1"/>
    <col min="85" max="85" width="13.5703125" bestFit="1" customWidth="1"/>
    <col min="86" max="86" width="11.42578125" bestFit="1" customWidth="1"/>
    <col min="87" max="88" width="13.140625" bestFit="1" customWidth="1"/>
    <col min="89" max="89" width="11.5703125" bestFit="1" customWidth="1"/>
    <col min="90" max="90" width="9.7109375" bestFit="1" customWidth="1"/>
    <col min="91" max="92" width="14.28515625" bestFit="1" customWidth="1"/>
    <col min="93" max="93" width="14" bestFit="1" customWidth="1"/>
    <col min="94" max="94" width="10.42578125" bestFit="1" customWidth="1"/>
    <col min="95" max="95" width="13.140625" bestFit="1" customWidth="1"/>
    <col min="96" max="96" width="14.28515625" bestFit="1" customWidth="1"/>
    <col min="97" max="97" width="14" bestFit="1" customWidth="1"/>
    <col min="98" max="98" width="10.28515625" bestFit="1" customWidth="1"/>
    <col min="99" max="99" width="14.28515625" bestFit="1" customWidth="1"/>
    <col min="100" max="100" width="14.7109375" bestFit="1" customWidth="1"/>
    <col min="101" max="101" width="15.2851562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425781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46168</v>
      </c>
      <c r="B2" s="227" t="s">
        <v>215</v>
      </c>
      <c r="C2" s="227" t="s">
        <v>159</v>
      </c>
      <c r="D2" s="231">
        <v>2986</v>
      </c>
      <c r="E2" s="231">
        <v>2865.7</v>
      </c>
      <c r="F2" s="228">
        <v>120.3</v>
      </c>
      <c r="G2" s="229">
        <v>4.2000000000000003E-2</v>
      </c>
      <c r="H2" s="231">
        <v>2969.3</v>
      </c>
      <c r="I2" s="231">
        <v>2849.7</v>
      </c>
      <c r="J2" s="228">
        <v>119.6</v>
      </c>
      <c r="K2" s="229">
        <v>4.2000000000000003E-2</v>
      </c>
      <c r="L2" s="231">
        <v>2963.6</v>
      </c>
      <c r="M2" s="231">
        <v>2848.3</v>
      </c>
      <c r="N2" s="228">
        <v>115.3</v>
      </c>
      <c r="O2" s="229">
        <v>4.0500000000000001E-2</v>
      </c>
      <c r="P2" s="231">
        <v>2986</v>
      </c>
      <c r="Q2" s="231">
        <v>2865.7</v>
      </c>
      <c r="R2" s="228">
        <v>120.3</v>
      </c>
      <c r="S2" s="229">
        <v>4.2000000000000003E-2</v>
      </c>
      <c r="T2" s="231">
        <v>3002.4</v>
      </c>
      <c r="U2" s="231">
        <v>2881.1</v>
      </c>
      <c r="V2" s="228">
        <v>121.3</v>
      </c>
      <c r="W2" s="229">
        <v>4.2099999999999999E-2</v>
      </c>
      <c r="X2" s="228">
        <v>16.7</v>
      </c>
      <c r="Y2" s="228">
        <v>-1.4</v>
      </c>
      <c r="Z2" s="228">
        <v>18.100000000000001</v>
      </c>
      <c r="AA2" s="229">
        <v>5.5999999999999999E-3</v>
      </c>
      <c r="AB2" s="228">
        <v>-5.7</v>
      </c>
      <c r="AC2" s="228">
        <v>-1.4</v>
      </c>
      <c r="AD2" s="228">
        <v>-4.3</v>
      </c>
      <c r="AE2" s="229">
        <v>-1.9E-3</v>
      </c>
      <c r="AF2" s="228">
        <v>16.7</v>
      </c>
      <c r="AG2" s="228">
        <v>16</v>
      </c>
      <c r="AH2" s="228">
        <v>0.7</v>
      </c>
      <c r="AI2" s="229">
        <v>5.5999999999999999E-3</v>
      </c>
      <c r="AJ2" s="228">
        <v>33.1</v>
      </c>
      <c r="AK2" s="228">
        <v>31.4</v>
      </c>
      <c r="AL2" s="228">
        <v>1.7</v>
      </c>
      <c r="AM2" s="229">
        <v>1.11E-2</v>
      </c>
      <c r="AN2" s="231">
        <v>2910.2</v>
      </c>
      <c r="AO2" s="231">
        <v>2941.52</v>
      </c>
      <c r="AP2" s="228">
        <v>0</v>
      </c>
      <c r="AQ2" s="230">
        <v>41795</v>
      </c>
      <c r="AR2" s="230">
        <v>50639</v>
      </c>
      <c r="AS2" s="230">
        <v>-8844</v>
      </c>
      <c r="AT2" s="229">
        <v>-0.17460000000000001</v>
      </c>
      <c r="AU2" s="230">
        <v>13135</v>
      </c>
      <c r="AV2" s="230">
        <v>23482</v>
      </c>
      <c r="AW2" s="230">
        <v>-10347</v>
      </c>
      <c r="AX2" s="229">
        <v>-0.44059999999999999</v>
      </c>
      <c r="AY2" s="230">
        <v>28105</v>
      </c>
      <c r="AZ2" s="230">
        <v>26727</v>
      </c>
      <c r="BA2" s="230">
        <v>1378</v>
      </c>
      <c r="BB2" s="229">
        <v>5.16E-2</v>
      </c>
      <c r="BC2" s="228">
        <v>555</v>
      </c>
      <c r="BD2" s="228">
        <v>430</v>
      </c>
      <c r="BE2" s="228">
        <v>125</v>
      </c>
      <c r="BF2" s="229">
        <v>0.29070000000000001</v>
      </c>
      <c r="BG2" s="230">
        <v>98783</v>
      </c>
      <c r="BH2" s="230">
        <v>162180</v>
      </c>
      <c r="BI2" s="230">
        <v>-63397</v>
      </c>
      <c r="BJ2" s="229">
        <v>-0.39090000000000003</v>
      </c>
      <c r="BK2" s="230">
        <v>45752</v>
      </c>
      <c r="BL2" s="230">
        <v>58635</v>
      </c>
      <c r="BM2" s="230">
        <v>-12883</v>
      </c>
      <c r="BN2" s="229">
        <v>-0.21970000000000001</v>
      </c>
      <c r="BO2" s="230">
        <v>186330</v>
      </c>
      <c r="BP2" s="230">
        <v>271454</v>
      </c>
      <c r="BQ2" s="230">
        <v>-85124</v>
      </c>
      <c r="BR2" s="229">
        <v>-0.31359999999999999</v>
      </c>
      <c r="BS2" s="230">
        <v>5167154</v>
      </c>
      <c r="BT2" s="230">
        <v>3568459</v>
      </c>
      <c r="BU2" s="230">
        <v>1598695</v>
      </c>
      <c r="BV2" s="229">
        <v>0.44800000000000001</v>
      </c>
      <c r="BW2" s="230">
        <v>19965417</v>
      </c>
      <c r="BX2" s="230">
        <v>20378241</v>
      </c>
      <c r="BY2" s="230">
        <v>-412824</v>
      </c>
      <c r="BZ2" s="229">
        <v>-2.0299999999999999E-2</v>
      </c>
      <c r="CA2" s="230">
        <v>1815066</v>
      </c>
      <c r="CB2" s="230">
        <v>4071384</v>
      </c>
      <c r="CC2" s="230">
        <v>-2256318</v>
      </c>
      <c r="CD2" s="229">
        <v>-0.55420000000000003</v>
      </c>
      <c r="CE2" s="230">
        <v>19477506</v>
      </c>
      <c r="CF2" s="230">
        <v>15856026</v>
      </c>
      <c r="CG2" s="230">
        <v>3621480</v>
      </c>
      <c r="CH2" s="229">
        <v>0.22839999999999999</v>
      </c>
      <c r="CI2" s="230">
        <v>487911</v>
      </c>
      <c r="CJ2" s="230">
        <v>450831</v>
      </c>
      <c r="CK2" s="230">
        <v>37080</v>
      </c>
      <c r="CL2" s="229">
        <v>8.2199999999999995E-2</v>
      </c>
      <c r="CM2" s="230">
        <v>4455780</v>
      </c>
      <c r="CN2" s="230">
        <v>10297734</v>
      </c>
      <c r="CO2" s="230">
        <v>-5841954</v>
      </c>
      <c r="CP2" s="229">
        <v>-0.56730000000000003</v>
      </c>
      <c r="CQ2" s="230">
        <v>3993825</v>
      </c>
      <c r="CR2" s="230">
        <v>8820096</v>
      </c>
      <c r="CS2" s="230">
        <v>-4826271</v>
      </c>
      <c r="CT2" s="229">
        <v>-0.54720000000000002</v>
      </c>
      <c r="CU2" s="230">
        <v>28415022</v>
      </c>
      <c r="CV2" s="230">
        <v>39496071</v>
      </c>
      <c r="CW2" s="230">
        <v>-11081049</v>
      </c>
      <c r="CX2" s="229">
        <v>-0.28060000000000002</v>
      </c>
      <c r="CY2" s="228">
        <v>35.130000000000003</v>
      </c>
      <c r="CZ2" s="228">
        <v>35.96</v>
      </c>
      <c r="DA2" s="228">
        <v>-0.83</v>
      </c>
      <c r="DB2" s="228">
        <v>-0.83</v>
      </c>
      <c r="DC2" s="228">
        <v>49.71</v>
      </c>
      <c r="DD2" s="228">
        <v>49.52</v>
      </c>
      <c r="DE2" s="228">
        <v>-14.58</v>
      </c>
      <c r="DF2" s="228">
        <v>0.19</v>
      </c>
      <c r="DG2" s="228">
        <v>34.86</v>
      </c>
      <c r="DH2" s="228">
        <v>35.69</v>
      </c>
      <c r="DI2" s="228">
        <v>-0.83</v>
      </c>
      <c r="DJ2" s="228">
        <v>-0.83</v>
      </c>
      <c r="DK2" s="228">
        <v>35.69</v>
      </c>
      <c r="DL2" s="228">
        <v>36.520000000000003</v>
      </c>
      <c r="DM2" s="228">
        <v>-0.83</v>
      </c>
      <c r="DN2" s="228">
        <v>-0.83</v>
      </c>
      <c r="DO2" s="228">
        <v>0.9</v>
      </c>
      <c r="DP2" s="228">
        <v>0.86</v>
      </c>
      <c r="DQ2" s="228">
        <v>0.04</v>
      </c>
      <c r="DR2" s="229">
        <v>4.65E-2</v>
      </c>
      <c r="DS2" s="231">
        <v>3000</v>
      </c>
      <c r="DT2" s="231">
        <v>2800</v>
      </c>
      <c r="DU2" s="228">
        <v>0.46</v>
      </c>
      <c r="DV2" s="228">
        <v>0.36</v>
      </c>
      <c r="DW2" s="228">
        <v>0.1</v>
      </c>
      <c r="DX2" s="229">
        <v>0.27779999999999999</v>
      </c>
      <c r="DY2" s="229">
        <v>0.91669999999999996</v>
      </c>
      <c r="DZ2" s="230">
        <v>16306857</v>
      </c>
      <c r="EA2" s="229">
        <v>7.6E-3</v>
      </c>
      <c r="EB2" s="229">
        <v>0.91669999999999996</v>
      </c>
      <c r="EC2" s="228">
        <v>31.32</v>
      </c>
      <c r="ED2" s="229">
        <v>1.0800000000000001E-2</v>
      </c>
      <c r="EE2" s="230">
        <v>1362187</v>
      </c>
      <c r="EF2" s="230">
        <v>1152082</v>
      </c>
      <c r="EG2" s="229">
        <v>0.18240000000000001</v>
      </c>
      <c r="EH2" s="229">
        <v>0.2636</v>
      </c>
      <c r="EI2" s="231">
        <v>921493.54</v>
      </c>
      <c r="EJ2" s="231">
        <v>398552.56</v>
      </c>
      <c r="EK2" s="231">
        <v>378656.82</v>
      </c>
      <c r="EL2" s="231">
        <v>29557</v>
      </c>
      <c r="EM2" s="231">
        <v>1698702.92</v>
      </c>
      <c r="EN2" s="231">
        <v>2390687.6</v>
      </c>
      <c r="EO2" s="231">
        <v>-691984.68</v>
      </c>
      <c r="EP2" s="229">
        <v>-0.28949999999999998</v>
      </c>
      <c r="EQ2" s="231">
        <v>128853</v>
      </c>
      <c r="ER2" s="231">
        <v>108481</v>
      </c>
      <c r="ES2" s="231">
        <v>596247</v>
      </c>
      <c r="ET2" s="231">
        <v>33645895</v>
      </c>
      <c r="EU2" s="231">
        <v>833582</v>
      </c>
      <c r="EV2" s="231">
        <v>1085713</v>
      </c>
      <c r="EW2" s="231">
        <v>-252131</v>
      </c>
      <c r="EX2" s="229">
        <v>-0.23219999999999999</v>
      </c>
      <c r="EY2" s="229">
        <v>0.84450000000000003</v>
      </c>
    </row>
    <row r="3" spans="1:155" ht="17.25" thickBot="1" x14ac:dyDescent="0.3">
      <c r="A3" s="226">
        <v>46168</v>
      </c>
      <c r="B3" s="227" t="s">
        <v>215</v>
      </c>
      <c r="C3" s="227" t="s">
        <v>160</v>
      </c>
      <c r="D3" s="231">
        <v>1816.6</v>
      </c>
      <c r="E3" s="231">
        <v>1808.6</v>
      </c>
      <c r="F3" s="228">
        <v>8</v>
      </c>
      <c r="G3" s="229">
        <v>4.4000000000000003E-3</v>
      </c>
      <c r="H3" s="231">
        <v>1811.2</v>
      </c>
      <c r="I3" s="231">
        <v>1802.9</v>
      </c>
      <c r="J3" s="228">
        <v>8.3000000000000007</v>
      </c>
      <c r="K3" s="229">
        <v>4.5999999999999999E-3</v>
      </c>
      <c r="L3" s="231">
        <v>1814.9</v>
      </c>
      <c r="M3" s="231">
        <v>1804.8</v>
      </c>
      <c r="N3" s="228">
        <v>10.1</v>
      </c>
      <c r="O3" s="229">
        <v>5.5999999999999999E-3</v>
      </c>
      <c r="P3" s="231">
        <v>1816.6</v>
      </c>
      <c r="Q3" s="231">
        <v>1808.6</v>
      </c>
      <c r="R3" s="228">
        <v>8</v>
      </c>
      <c r="S3" s="229">
        <v>4.4000000000000003E-3</v>
      </c>
      <c r="T3" s="231">
        <v>1828.5</v>
      </c>
      <c r="U3" s="231">
        <v>1821.2</v>
      </c>
      <c r="V3" s="228">
        <v>7.3</v>
      </c>
      <c r="W3" s="229">
        <v>4.0000000000000001E-3</v>
      </c>
      <c r="X3" s="228">
        <v>5.4</v>
      </c>
      <c r="Y3" s="228">
        <v>1.9</v>
      </c>
      <c r="Z3" s="228">
        <v>3.5</v>
      </c>
      <c r="AA3" s="229">
        <v>3.0000000000000001E-3</v>
      </c>
      <c r="AB3" s="228">
        <v>3.7</v>
      </c>
      <c r="AC3" s="228">
        <v>1.9</v>
      </c>
      <c r="AD3" s="228">
        <v>1.8</v>
      </c>
      <c r="AE3" s="229">
        <v>2E-3</v>
      </c>
      <c r="AF3" s="228">
        <v>5.4</v>
      </c>
      <c r="AG3" s="228">
        <v>5.7</v>
      </c>
      <c r="AH3" s="228">
        <v>-0.3</v>
      </c>
      <c r="AI3" s="229">
        <v>3.0000000000000001E-3</v>
      </c>
      <c r="AJ3" s="228">
        <v>17.3</v>
      </c>
      <c r="AK3" s="228">
        <v>18.3</v>
      </c>
      <c r="AL3" s="228">
        <v>-1</v>
      </c>
      <c r="AM3" s="229">
        <v>9.5999999999999992E-3</v>
      </c>
      <c r="AN3" s="231">
        <v>1812.21</v>
      </c>
      <c r="AO3" s="231">
        <v>1815.62</v>
      </c>
      <c r="AP3" s="228">
        <v>0</v>
      </c>
      <c r="AQ3" s="230">
        <v>14255</v>
      </c>
      <c r="AR3" s="230">
        <v>27266</v>
      </c>
      <c r="AS3" s="230">
        <v>-13011</v>
      </c>
      <c r="AT3" s="229">
        <v>-0.47720000000000001</v>
      </c>
      <c r="AU3" s="230">
        <v>5929</v>
      </c>
      <c r="AV3" s="230">
        <v>13572</v>
      </c>
      <c r="AW3" s="230">
        <v>-7643</v>
      </c>
      <c r="AX3" s="229">
        <v>-0.56310000000000004</v>
      </c>
      <c r="AY3" s="230">
        <v>8212</v>
      </c>
      <c r="AZ3" s="230">
        <v>13521</v>
      </c>
      <c r="BA3" s="230">
        <v>-5309</v>
      </c>
      <c r="BB3" s="229">
        <v>-0.3926</v>
      </c>
      <c r="BC3" s="228">
        <v>114</v>
      </c>
      <c r="BD3" s="228">
        <v>173</v>
      </c>
      <c r="BE3" s="228">
        <v>-59</v>
      </c>
      <c r="BF3" s="229">
        <v>-0.34100000000000003</v>
      </c>
      <c r="BG3" s="230">
        <v>23635</v>
      </c>
      <c r="BH3" s="230">
        <v>45845</v>
      </c>
      <c r="BI3" s="230">
        <v>-22210</v>
      </c>
      <c r="BJ3" s="229">
        <v>-0.48449999999999999</v>
      </c>
      <c r="BK3" s="230">
        <v>10676</v>
      </c>
      <c r="BL3" s="230">
        <v>24881</v>
      </c>
      <c r="BM3" s="230">
        <v>-14205</v>
      </c>
      <c r="BN3" s="229">
        <v>-0.57089999999999996</v>
      </c>
      <c r="BO3" s="230">
        <v>48566</v>
      </c>
      <c r="BP3" s="230">
        <v>97992</v>
      </c>
      <c r="BQ3" s="230">
        <v>-49426</v>
      </c>
      <c r="BR3" s="229">
        <v>-0.50439999999999996</v>
      </c>
      <c r="BS3" s="230">
        <v>2267357</v>
      </c>
      <c r="BT3" s="230">
        <v>1597638</v>
      </c>
      <c r="BU3" s="230">
        <v>669719</v>
      </c>
      <c r="BV3" s="229">
        <v>0.41920000000000002</v>
      </c>
      <c r="BW3" s="230">
        <v>21572600</v>
      </c>
      <c r="BX3" s="230">
        <v>24715200</v>
      </c>
      <c r="BY3" s="230">
        <v>-3142600</v>
      </c>
      <c r="BZ3" s="229">
        <v>-0.12720000000000001</v>
      </c>
      <c r="CA3" s="230">
        <v>3183450</v>
      </c>
      <c r="CB3" s="230">
        <v>4795600</v>
      </c>
      <c r="CC3" s="230">
        <v>-1612150</v>
      </c>
      <c r="CD3" s="229">
        <v>-0.3362</v>
      </c>
      <c r="CE3" s="230">
        <v>20352800</v>
      </c>
      <c r="CF3" s="230">
        <v>18722600</v>
      </c>
      <c r="CG3" s="230">
        <v>1630200</v>
      </c>
      <c r="CH3" s="229">
        <v>8.7099999999999997E-2</v>
      </c>
      <c r="CI3" s="230">
        <v>1219800</v>
      </c>
      <c r="CJ3" s="230">
        <v>1197000</v>
      </c>
      <c r="CK3" s="230">
        <v>22800</v>
      </c>
      <c r="CL3" s="229">
        <v>1.9E-2</v>
      </c>
      <c r="CM3" s="230">
        <v>3743950</v>
      </c>
      <c r="CN3" s="230">
        <v>9457250</v>
      </c>
      <c r="CO3" s="230">
        <v>-5713300</v>
      </c>
      <c r="CP3" s="229">
        <v>-0.60409999999999997</v>
      </c>
      <c r="CQ3" s="230">
        <v>1993575</v>
      </c>
      <c r="CR3" s="230">
        <v>6840475</v>
      </c>
      <c r="CS3" s="230">
        <v>-4846900</v>
      </c>
      <c r="CT3" s="229">
        <v>-0.70860000000000001</v>
      </c>
      <c r="CU3" s="230">
        <v>27310125</v>
      </c>
      <c r="CV3" s="230">
        <v>41012925</v>
      </c>
      <c r="CW3" s="230">
        <v>-13702800</v>
      </c>
      <c r="CX3" s="229">
        <v>-0.33410000000000001</v>
      </c>
      <c r="CY3" s="228">
        <v>25.35</v>
      </c>
      <c r="CZ3" s="228">
        <v>27.2</v>
      </c>
      <c r="DA3" s="228">
        <v>-1.85</v>
      </c>
      <c r="DB3" s="228">
        <v>-1.85</v>
      </c>
      <c r="DC3" s="228">
        <v>39.619999999999997</v>
      </c>
      <c r="DD3" s="228">
        <v>39.71</v>
      </c>
      <c r="DE3" s="228">
        <v>-14.27</v>
      </c>
      <c r="DF3" s="228">
        <v>-0.09</v>
      </c>
      <c r="DG3" s="228">
        <v>25.17</v>
      </c>
      <c r="DH3" s="228">
        <v>26.94</v>
      </c>
      <c r="DI3" s="228">
        <v>-1.77</v>
      </c>
      <c r="DJ3" s="228">
        <v>-1.77</v>
      </c>
      <c r="DK3" s="228">
        <v>25.81</v>
      </c>
      <c r="DL3" s="228">
        <v>27.64</v>
      </c>
      <c r="DM3" s="228">
        <v>-1.83</v>
      </c>
      <c r="DN3" s="228">
        <v>-1.83</v>
      </c>
      <c r="DO3" s="228">
        <v>0.53</v>
      </c>
      <c r="DP3" s="228">
        <v>0.72</v>
      </c>
      <c r="DQ3" s="228">
        <v>-0.19</v>
      </c>
      <c r="DR3" s="229">
        <v>-0.26390000000000002</v>
      </c>
      <c r="DS3" s="231">
        <v>1900</v>
      </c>
      <c r="DT3" s="231">
        <v>1600</v>
      </c>
      <c r="DU3" s="228">
        <v>0.45</v>
      </c>
      <c r="DV3" s="228">
        <v>0.54</v>
      </c>
      <c r="DW3" s="228">
        <v>-0.09</v>
      </c>
      <c r="DX3" s="229">
        <v>-0.16669999999999999</v>
      </c>
      <c r="DY3" s="229">
        <v>0.87139999999999995</v>
      </c>
      <c r="DZ3" s="230">
        <v>19919600</v>
      </c>
      <c r="EA3" s="229">
        <v>8.9999999999999998E-4</v>
      </c>
      <c r="EB3" s="229">
        <v>0.87139999999999995</v>
      </c>
      <c r="EC3" s="228">
        <v>3.41</v>
      </c>
      <c r="ED3" s="229">
        <v>1.9E-3</v>
      </c>
      <c r="EE3" s="230">
        <v>1053547</v>
      </c>
      <c r="EF3" s="230">
        <v>751774</v>
      </c>
      <c r="EG3" s="229">
        <v>0.40139999999999998</v>
      </c>
      <c r="EH3" s="229">
        <v>0.4647</v>
      </c>
      <c r="EI3" s="231">
        <v>209525.21</v>
      </c>
      <c r="EJ3" s="231">
        <v>88694.92</v>
      </c>
      <c r="EK3" s="231">
        <v>122848.31</v>
      </c>
      <c r="EL3" s="231">
        <v>20134</v>
      </c>
      <c r="EM3" s="231">
        <v>421068.44</v>
      </c>
      <c r="EN3" s="231">
        <v>843859.38</v>
      </c>
      <c r="EO3" s="231">
        <v>-422790.94</v>
      </c>
      <c r="EP3" s="229">
        <v>-0.501</v>
      </c>
      <c r="EQ3" s="231">
        <v>68708</v>
      </c>
      <c r="ER3" s="231">
        <v>34223</v>
      </c>
      <c r="ES3" s="231">
        <v>392033</v>
      </c>
      <c r="ET3" s="231">
        <v>88142691</v>
      </c>
      <c r="EU3" s="231">
        <v>494965</v>
      </c>
      <c r="EV3" s="231">
        <v>729586</v>
      </c>
      <c r="EW3" s="231">
        <v>-234621</v>
      </c>
      <c r="EX3" s="229">
        <v>-0.3216</v>
      </c>
      <c r="EY3" s="229">
        <v>0.30980000000000002</v>
      </c>
    </row>
    <row r="4" spans="1:155" ht="17.25" thickBot="1" x14ac:dyDescent="0.3">
      <c r="A4" s="226">
        <v>46168</v>
      </c>
      <c r="B4" s="227" t="s">
        <v>170</v>
      </c>
      <c r="C4" s="227" t="s">
        <v>165</v>
      </c>
      <c r="D4" s="231">
        <v>8315</v>
      </c>
      <c r="E4" s="231">
        <v>8448.5</v>
      </c>
      <c r="F4" s="228">
        <v>-133.5</v>
      </c>
      <c r="G4" s="229">
        <v>-1.5800000000000002E-2</v>
      </c>
      <c r="H4" s="231">
        <v>8258.5</v>
      </c>
      <c r="I4" s="231">
        <v>8404</v>
      </c>
      <c r="J4" s="228">
        <v>-145.5</v>
      </c>
      <c r="K4" s="229">
        <v>-1.7299999999999999E-2</v>
      </c>
      <c r="L4" s="231">
        <v>8268.5</v>
      </c>
      <c r="M4" s="231">
        <v>8398.5</v>
      </c>
      <c r="N4" s="228">
        <v>-130</v>
      </c>
      <c r="O4" s="229">
        <v>-1.55E-2</v>
      </c>
      <c r="P4" s="231">
        <v>8315</v>
      </c>
      <c r="Q4" s="231">
        <v>8448.5</v>
      </c>
      <c r="R4" s="228">
        <v>-133.5</v>
      </c>
      <c r="S4" s="229">
        <v>-1.5800000000000002E-2</v>
      </c>
      <c r="T4" s="231">
        <v>8364</v>
      </c>
      <c r="U4" s="231">
        <v>8506</v>
      </c>
      <c r="V4" s="228">
        <v>-142</v>
      </c>
      <c r="W4" s="229">
        <v>-1.67E-2</v>
      </c>
      <c r="X4" s="228">
        <v>56.5</v>
      </c>
      <c r="Y4" s="228">
        <v>-5.5</v>
      </c>
      <c r="Z4" s="228">
        <v>62</v>
      </c>
      <c r="AA4" s="229">
        <v>6.7999999999999996E-3</v>
      </c>
      <c r="AB4" s="228">
        <v>10</v>
      </c>
      <c r="AC4" s="228">
        <v>-5.5</v>
      </c>
      <c r="AD4" s="228">
        <v>15.5</v>
      </c>
      <c r="AE4" s="229">
        <v>1.1999999999999999E-3</v>
      </c>
      <c r="AF4" s="228">
        <v>56.5</v>
      </c>
      <c r="AG4" s="228">
        <v>44.5</v>
      </c>
      <c r="AH4" s="228">
        <v>12</v>
      </c>
      <c r="AI4" s="229">
        <v>6.7999999999999996E-3</v>
      </c>
      <c r="AJ4" s="228">
        <v>105.5</v>
      </c>
      <c r="AK4" s="228">
        <v>102</v>
      </c>
      <c r="AL4" s="228">
        <v>3.5</v>
      </c>
      <c r="AM4" s="229">
        <v>1.2800000000000001E-2</v>
      </c>
      <c r="AN4" s="231">
        <v>8285.41</v>
      </c>
      <c r="AO4" s="231">
        <v>8343.17</v>
      </c>
      <c r="AP4" s="228">
        <v>0</v>
      </c>
      <c r="AQ4" s="230">
        <v>4901</v>
      </c>
      <c r="AR4" s="230">
        <v>7342</v>
      </c>
      <c r="AS4" s="230">
        <v>-2441</v>
      </c>
      <c r="AT4" s="229">
        <v>-0.33250000000000002</v>
      </c>
      <c r="AU4" s="230">
        <v>1755</v>
      </c>
      <c r="AV4" s="230">
        <v>3602</v>
      </c>
      <c r="AW4" s="230">
        <v>-1847</v>
      </c>
      <c r="AX4" s="229">
        <v>-0.51280000000000003</v>
      </c>
      <c r="AY4" s="230">
        <v>3066</v>
      </c>
      <c r="AZ4" s="230">
        <v>3673</v>
      </c>
      <c r="BA4" s="228">
        <v>-607</v>
      </c>
      <c r="BB4" s="229">
        <v>-0.1653</v>
      </c>
      <c r="BC4" s="228">
        <v>80</v>
      </c>
      <c r="BD4" s="228">
        <v>67</v>
      </c>
      <c r="BE4" s="228">
        <v>13</v>
      </c>
      <c r="BF4" s="229">
        <v>0.19400000000000001</v>
      </c>
      <c r="BG4" s="230">
        <v>11856</v>
      </c>
      <c r="BH4" s="230">
        <v>21999</v>
      </c>
      <c r="BI4" s="230">
        <v>-10143</v>
      </c>
      <c r="BJ4" s="229">
        <v>-0.46110000000000001</v>
      </c>
      <c r="BK4" s="230">
        <v>11755</v>
      </c>
      <c r="BL4" s="230">
        <v>17969</v>
      </c>
      <c r="BM4" s="230">
        <v>-6214</v>
      </c>
      <c r="BN4" s="229">
        <v>-0.3458</v>
      </c>
      <c r="BO4" s="230">
        <v>28512</v>
      </c>
      <c r="BP4" s="230">
        <v>47310</v>
      </c>
      <c r="BQ4" s="230">
        <v>-18798</v>
      </c>
      <c r="BR4" s="229">
        <v>-0.39729999999999999</v>
      </c>
      <c r="BS4" s="230">
        <v>326826</v>
      </c>
      <c r="BT4" s="230">
        <v>380738</v>
      </c>
      <c r="BU4" s="230">
        <v>-53912</v>
      </c>
      <c r="BV4" s="229">
        <v>-0.1416</v>
      </c>
      <c r="BW4" s="230">
        <v>1852250</v>
      </c>
      <c r="BX4" s="230">
        <v>2226250</v>
      </c>
      <c r="BY4" s="230">
        <v>-374000</v>
      </c>
      <c r="BZ4" s="229">
        <v>-0.16800000000000001</v>
      </c>
      <c r="CA4" s="230">
        <v>304500</v>
      </c>
      <c r="CB4" s="230">
        <v>373875</v>
      </c>
      <c r="CC4" s="230">
        <v>-69375</v>
      </c>
      <c r="CD4" s="229">
        <v>-0.18559999999999999</v>
      </c>
      <c r="CE4" s="230">
        <v>1636500</v>
      </c>
      <c r="CF4" s="230">
        <v>1637125</v>
      </c>
      <c r="CG4" s="228">
        <v>-625</v>
      </c>
      <c r="CH4" s="229">
        <v>-4.0000000000000002E-4</v>
      </c>
      <c r="CI4" s="230">
        <v>215750</v>
      </c>
      <c r="CJ4" s="230">
        <v>215250</v>
      </c>
      <c r="CK4" s="228">
        <v>500</v>
      </c>
      <c r="CL4" s="229">
        <v>2.3E-3</v>
      </c>
      <c r="CM4" s="230">
        <v>541875</v>
      </c>
      <c r="CN4" s="230">
        <v>1277875</v>
      </c>
      <c r="CO4" s="230">
        <v>-736000</v>
      </c>
      <c r="CP4" s="229">
        <v>-0.57599999999999996</v>
      </c>
      <c r="CQ4" s="230">
        <v>339375</v>
      </c>
      <c r="CR4" s="230">
        <v>1381125</v>
      </c>
      <c r="CS4" s="230">
        <v>-1041750</v>
      </c>
      <c r="CT4" s="229">
        <v>-0.75429999999999997</v>
      </c>
      <c r="CU4" s="230">
        <v>2733500</v>
      </c>
      <c r="CV4" s="230">
        <v>4885250</v>
      </c>
      <c r="CW4" s="230">
        <v>-2151750</v>
      </c>
      <c r="CX4" s="229">
        <v>-0.4405</v>
      </c>
      <c r="CY4" s="228">
        <v>20.21</v>
      </c>
      <c r="CZ4" s="228">
        <v>21.4</v>
      </c>
      <c r="DA4" s="228">
        <v>-1.19</v>
      </c>
      <c r="DB4" s="228">
        <v>-1.19</v>
      </c>
      <c r="DC4" s="228">
        <v>24.97</v>
      </c>
      <c r="DD4" s="228">
        <v>24.93</v>
      </c>
      <c r="DE4" s="228">
        <v>-4.76</v>
      </c>
      <c r="DF4" s="228">
        <v>0.04</v>
      </c>
      <c r="DG4" s="228">
        <v>20.010000000000002</v>
      </c>
      <c r="DH4" s="228">
        <v>20.9</v>
      </c>
      <c r="DI4" s="228">
        <v>-0.89</v>
      </c>
      <c r="DJ4" s="228">
        <v>-0.89</v>
      </c>
      <c r="DK4" s="228">
        <v>20.46</v>
      </c>
      <c r="DL4" s="228">
        <v>22.26</v>
      </c>
      <c r="DM4" s="228">
        <v>-1.8</v>
      </c>
      <c r="DN4" s="228">
        <v>-1.8</v>
      </c>
      <c r="DO4" s="228">
        <v>0.63</v>
      </c>
      <c r="DP4" s="228">
        <v>1.08</v>
      </c>
      <c r="DQ4" s="228">
        <v>-0.45</v>
      </c>
      <c r="DR4" s="229">
        <v>-0.41670000000000001</v>
      </c>
      <c r="DS4" s="231">
        <v>8500</v>
      </c>
      <c r="DT4" s="231">
        <v>8000</v>
      </c>
      <c r="DU4" s="228">
        <v>0.99</v>
      </c>
      <c r="DV4" s="228">
        <v>0.82</v>
      </c>
      <c r="DW4" s="228">
        <v>0.17</v>
      </c>
      <c r="DX4" s="229">
        <v>0.20730000000000001</v>
      </c>
      <c r="DY4" s="229">
        <v>0.85880000000000001</v>
      </c>
      <c r="DZ4" s="230">
        <v>1852375</v>
      </c>
      <c r="EA4" s="229">
        <v>5.5999999999999999E-3</v>
      </c>
      <c r="EB4" s="229">
        <v>0.85880000000000001</v>
      </c>
      <c r="EC4" s="228">
        <v>57.76</v>
      </c>
      <c r="ED4" s="229">
        <v>7.0000000000000001E-3</v>
      </c>
      <c r="EE4" s="230">
        <v>176521</v>
      </c>
      <c r="EF4" s="230">
        <v>257347</v>
      </c>
      <c r="EG4" s="229">
        <v>-0.31409999999999999</v>
      </c>
      <c r="EH4" s="229">
        <v>0.54010000000000002</v>
      </c>
      <c r="EI4" s="231">
        <v>127157.98</v>
      </c>
      <c r="EJ4" s="231">
        <v>119811.53</v>
      </c>
      <c r="EK4" s="231">
        <v>50990.57</v>
      </c>
      <c r="EL4" s="231">
        <v>9561</v>
      </c>
      <c r="EM4" s="231">
        <v>297960.08</v>
      </c>
      <c r="EN4" s="231">
        <v>496775.82</v>
      </c>
      <c r="EO4" s="231">
        <v>-198815.74</v>
      </c>
      <c r="EP4" s="229">
        <v>-0.4002</v>
      </c>
      <c r="EQ4" s="231">
        <v>46507</v>
      </c>
      <c r="ER4" s="231">
        <v>27335</v>
      </c>
      <c r="ES4" s="231">
        <v>154120</v>
      </c>
      <c r="ET4" s="231">
        <v>15524629</v>
      </c>
      <c r="EU4" s="231">
        <v>227962</v>
      </c>
      <c r="EV4" s="231">
        <v>404782</v>
      </c>
      <c r="EW4" s="231">
        <v>-176820</v>
      </c>
      <c r="EX4" s="229">
        <v>-0.43680000000000002</v>
      </c>
      <c r="EY4" s="229">
        <v>0.17610000000000001</v>
      </c>
    </row>
    <row r="5" spans="1:155" ht="17.25" thickBot="1" x14ac:dyDescent="0.3">
      <c r="A5" s="226">
        <v>46168</v>
      </c>
      <c r="B5" s="227" t="s">
        <v>168</v>
      </c>
      <c r="C5" s="227" t="s">
        <v>169</v>
      </c>
      <c r="D5" s="231">
        <v>2646.4</v>
      </c>
      <c r="E5" s="231">
        <v>2654</v>
      </c>
      <c r="F5" s="228">
        <v>-7.6</v>
      </c>
      <c r="G5" s="229">
        <v>-2.8999999999999998E-3</v>
      </c>
      <c r="H5" s="231">
        <v>2647</v>
      </c>
      <c r="I5" s="231">
        <v>2657.8</v>
      </c>
      <c r="J5" s="228">
        <v>-10.8</v>
      </c>
      <c r="K5" s="229">
        <v>-4.1000000000000003E-3</v>
      </c>
      <c r="L5" s="231">
        <v>2650.2</v>
      </c>
      <c r="M5" s="231">
        <v>2657.8</v>
      </c>
      <c r="N5" s="228">
        <v>-7.6</v>
      </c>
      <c r="O5" s="229">
        <v>-2.8999999999999998E-3</v>
      </c>
      <c r="P5" s="231">
        <v>2646.4</v>
      </c>
      <c r="Q5" s="231">
        <v>2654</v>
      </c>
      <c r="R5" s="228">
        <v>-7.6</v>
      </c>
      <c r="S5" s="229">
        <v>-2.8999999999999998E-3</v>
      </c>
      <c r="T5" s="231">
        <v>2657.9</v>
      </c>
      <c r="U5" s="231">
        <v>2669.5</v>
      </c>
      <c r="V5" s="228">
        <v>-11.6</v>
      </c>
      <c r="W5" s="229">
        <v>-4.3E-3</v>
      </c>
      <c r="X5" s="228">
        <v>-0.6</v>
      </c>
      <c r="Y5" s="228">
        <v>0</v>
      </c>
      <c r="Z5" s="228">
        <v>-0.6</v>
      </c>
      <c r="AA5" s="229">
        <v>-2.0000000000000001E-4</v>
      </c>
      <c r="AB5" s="228">
        <v>3.2</v>
      </c>
      <c r="AC5" s="228">
        <v>0</v>
      </c>
      <c r="AD5" s="228">
        <v>3.2</v>
      </c>
      <c r="AE5" s="229">
        <v>1.1999999999999999E-3</v>
      </c>
      <c r="AF5" s="228">
        <v>-0.6</v>
      </c>
      <c r="AG5" s="228">
        <v>-3.8</v>
      </c>
      <c r="AH5" s="228">
        <v>3.2</v>
      </c>
      <c r="AI5" s="229">
        <v>-2.0000000000000001E-4</v>
      </c>
      <c r="AJ5" s="228">
        <v>10.9</v>
      </c>
      <c r="AK5" s="228">
        <v>11.7</v>
      </c>
      <c r="AL5" s="228">
        <v>-0.8</v>
      </c>
      <c r="AM5" s="229">
        <v>4.1000000000000003E-3</v>
      </c>
      <c r="AN5" s="231">
        <v>2654.45</v>
      </c>
      <c r="AO5" s="231">
        <v>2653.52</v>
      </c>
      <c r="AP5" s="228">
        <v>0</v>
      </c>
      <c r="AQ5" s="230">
        <v>15590</v>
      </c>
      <c r="AR5" s="230">
        <v>28665</v>
      </c>
      <c r="AS5" s="230">
        <v>-13075</v>
      </c>
      <c r="AT5" s="229">
        <v>-0.45610000000000001</v>
      </c>
      <c r="AU5" s="230">
        <v>7116</v>
      </c>
      <c r="AV5" s="230">
        <v>13647</v>
      </c>
      <c r="AW5" s="230">
        <v>-6531</v>
      </c>
      <c r="AX5" s="229">
        <v>-0.47860000000000003</v>
      </c>
      <c r="AY5" s="230">
        <v>8401</v>
      </c>
      <c r="AZ5" s="230">
        <v>14914</v>
      </c>
      <c r="BA5" s="230">
        <v>-6513</v>
      </c>
      <c r="BB5" s="229">
        <v>-0.43669999999999998</v>
      </c>
      <c r="BC5" s="228">
        <v>73</v>
      </c>
      <c r="BD5" s="228">
        <v>104</v>
      </c>
      <c r="BE5" s="228">
        <v>-31</v>
      </c>
      <c r="BF5" s="229">
        <v>-0.29809999999999998</v>
      </c>
      <c r="BG5" s="230">
        <v>22594</v>
      </c>
      <c r="BH5" s="230">
        <v>59185</v>
      </c>
      <c r="BI5" s="230">
        <v>-36591</v>
      </c>
      <c r="BJ5" s="229">
        <v>-0.61819999999999997</v>
      </c>
      <c r="BK5" s="230">
        <v>14005</v>
      </c>
      <c r="BL5" s="230">
        <v>35539</v>
      </c>
      <c r="BM5" s="230">
        <v>-21534</v>
      </c>
      <c r="BN5" s="229">
        <v>-0.60589999999999999</v>
      </c>
      <c r="BO5" s="230">
        <v>52189</v>
      </c>
      <c r="BP5" s="230">
        <v>123389</v>
      </c>
      <c r="BQ5" s="230">
        <v>-71200</v>
      </c>
      <c r="BR5" s="229">
        <v>-0.57699999999999996</v>
      </c>
      <c r="BS5" s="230">
        <v>498230</v>
      </c>
      <c r="BT5" s="230">
        <v>843872</v>
      </c>
      <c r="BU5" s="230">
        <v>-345642</v>
      </c>
      <c r="BV5" s="229">
        <v>-0.40960000000000002</v>
      </c>
      <c r="BW5" s="230">
        <v>11234000</v>
      </c>
      <c r="BX5" s="230">
        <v>13207750</v>
      </c>
      <c r="BY5" s="230">
        <v>-1973750</v>
      </c>
      <c r="BZ5" s="229">
        <v>-0.14940000000000001</v>
      </c>
      <c r="CA5" s="230">
        <v>2528750</v>
      </c>
      <c r="CB5" s="230">
        <v>3314000</v>
      </c>
      <c r="CC5" s="230">
        <v>-785250</v>
      </c>
      <c r="CD5" s="229">
        <v>-0.2369</v>
      </c>
      <c r="CE5" s="230">
        <v>11044750</v>
      </c>
      <c r="CF5" s="230">
        <v>9711250</v>
      </c>
      <c r="CG5" s="230">
        <v>1333500</v>
      </c>
      <c r="CH5" s="229">
        <v>0.13730000000000001</v>
      </c>
      <c r="CI5" s="230">
        <v>189250</v>
      </c>
      <c r="CJ5" s="230">
        <v>182500</v>
      </c>
      <c r="CK5" s="230">
        <v>6750</v>
      </c>
      <c r="CL5" s="229">
        <v>3.6999999999999998E-2</v>
      </c>
      <c r="CM5" s="230">
        <v>1842750</v>
      </c>
      <c r="CN5" s="230">
        <v>7355000</v>
      </c>
      <c r="CO5" s="230">
        <v>-5512250</v>
      </c>
      <c r="CP5" s="229">
        <v>-0.74950000000000006</v>
      </c>
      <c r="CQ5" s="230">
        <v>1262000</v>
      </c>
      <c r="CR5" s="230">
        <v>4718500</v>
      </c>
      <c r="CS5" s="230">
        <v>-3456500</v>
      </c>
      <c r="CT5" s="229">
        <v>-0.73250000000000004</v>
      </c>
      <c r="CU5" s="230">
        <v>14338750</v>
      </c>
      <c r="CV5" s="230">
        <v>25281250</v>
      </c>
      <c r="CW5" s="230">
        <v>-10942500</v>
      </c>
      <c r="CX5" s="229">
        <v>-0.43280000000000002</v>
      </c>
      <c r="CY5" s="228">
        <v>29.03</v>
      </c>
      <c r="CZ5" s="228">
        <v>29.66</v>
      </c>
      <c r="DA5" s="228">
        <v>-0.63</v>
      </c>
      <c r="DB5" s="228">
        <v>-0.63</v>
      </c>
      <c r="DC5" s="228">
        <v>29.27</v>
      </c>
      <c r="DD5" s="228">
        <v>29.33</v>
      </c>
      <c r="DE5" s="228">
        <v>-0.24</v>
      </c>
      <c r="DF5" s="228">
        <v>-0.06</v>
      </c>
      <c r="DG5" s="228">
        <v>28.71</v>
      </c>
      <c r="DH5" s="228">
        <v>29.58</v>
      </c>
      <c r="DI5" s="228">
        <v>-0.87</v>
      </c>
      <c r="DJ5" s="228">
        <v>-0.87</v>
      </c>
      <c r="DK5" s="228">
        <v>29.5</v>
      </c>
      <c r="DL5" s="228">
        <v>29.83</v>
      </c>
      <c r="DM5" s="228">
        <v>-0.33</v>
      </c>
      <c r="DN5" s="228">
        <v>-0.33</v>
      </c>
      <c r="DO5" s="228">
        <v>0.68</v>
      </c>
      <c r="DP5" s="228">
        <v>0.64</v>
      </c>
      <c r="DQ5" s="228">
        <v>0.04</v>
      </c>
      <c r="DR5" s="229">
        <v>6.25E-2</v>
      </c>
      <c r="DS5" s="231">
        <v>2660</v>
      </c>
      <c r="DT5" s="231">
        <v>2600</v>
      </c>
      <c r="DU5" s="228">
        <v>0.62</v>
      </c>
      <c r="DV5" s="228">
        <v>0.6</v>
      </c>
      <c r="DW5" s="228">
        <v>0.02</v>
      </c>
      <c r="DX5" s="229">
        <v>3.3300000000000003E-2</v>
      </c>
      <c r="DY5" s="229">
        <v>0.81630000000000003</v>
      </c>
      <c r="DZ5" s="230">
        <v>9893750</v>
      </c>
      <c r="EA5" s="229">
        <v>-1.4E-3</v>
      </c>
      <c r="EB5" s="229">
        <v>0.81630000000000003</v>
      </c>
      <c r="EC5" s="228">
        <v>-0.93</v>
      </c>
      <c r="ED5" s="229">
        <v>-4.0000000000000002E-4</v>
      </c>
      <c r="EE5" s="230">
        <v>280153</v>
      </c>
      <c r="EF5" s="230">
        <v>419679</v>
      </c>
      <c r="EG5" s="229">
        <v>-0.33250000000000002</v>
      </c>
      <c r="EH5" s="229">
        <v>0.56230000000000002</v>
      </c>
      <c r="EI5" s="231">
        <v>154624.41</v>
      </c>
      <c r="EJ5" s="231">
        <v>91774.23</v>
      </c>
      <c r="EK5" s="231">
        <v>103438.95</v>
      </c>
      <c r="EL5" s="231">
        <v>18482</v>
      </c>
      <c r="EM5" s="231">
        <v>349837.59</v>
      </c>
      <c r="EN5" s="231">
        <v>826010.79</v>
      </c>
      <c r="EO5" s="231">
        <v>-476173.2</v>
      </c>
      <c r="EP5" s="229">
        <v>-0.57650000000000001</v>
      </c>
      <c r="EQ5" s="231">
        <v>51023</v>
      </c>
      <c r="ER5" s="231">
        <v>31783</v>
      </c>
      <c r="ES5" s="231">
        <v>297318</v>
      </c>
      <c r="ET5" s="231">
        <v>62818628</v>
      </c>
      <c r="EU5" s="231">
        <v>380124</v>
      </c>
      <c r="EV5" s="231">
        <v>662399</v>
      </c>
      <c r="EW5" s="231">
        <v>-282275</v>
      </c>
      <c r="EX5" s="229">
        <v>-0.42609999999999998</v>
      </c>
      <c r="EY5" s="229">
        <v>0.2283</v>
      </c>
    </row>
    <row r="6" spans="1:155" ht="17.25" thickBot="1" x14ac:dyDescent="0.3">
      <c r="A6" s="226">
        <v>46168</v>
      </c>
      <c r="B6" s="227" t="s">
        <v>172</v>
      </c>
      <c r="C6" s="227" t="s">
        <v>173</v>
      </c>
      <c r="D6" s="231">
        <v>1307</v>
      </c>
      <c r="E6" s="231">
        <v>1318.3</v>
      </c>
      <c r="F6" s="228">
        <v>-11.3</v>
      </c>
      <c r="G6" s="229">
        <v>-8.6E-3</v>
      </c>
      <c r="H6" s="231">
        <v>1299.3</v>
      </c>
      <c r="I6" s="231">
        <v>1311.2</v>
      </c>
      <c r="J6" s="228">
        <v>-11.9</v>
      </c>
      <c r="K6" s="229">
        <v>-9.1000000000000004E-3</v>
      </c>
      <c r="L6" s="231">
        <v>1295.8</v>
      </c>
      <c r="M6" s="231">
        <v>1308.8</v>
      </c>
      <c r="N6" s="228">
        <v>-13</v>
      </c>
      <c r="O6" s="229">
        <v>-9.9000000000000008E-3</v>
      </c>
      <c r="P6" s="231">
        <v>1307</v>
      </c>
      <c r="Q6" s="231">
        <v>1318.3</v>
      </c>
      <c r="R6" s="228">
        <v>-11.3</v>
      </c>
      <c r="S6" s="229">
        <v>-8.6E-3</v>
      </c>
      <c r="T6" s="231">
        <v>1313.8</v>
      </c>
      <c r="U6" s="231">
        <v>1325.8</v>
      </c>
      <c r="V6" s="228">
        <v>-12</v>
      </c>
      <c r="W6" s="229">
        <v>-9.1000000000000004E-3</v>
      </c>
      <c r="X6" s="228">
        <v>7.7</v>
      </c>
      <c r="Y6" s="228">
        <v>-2.4</v>
      </c>
      <c r="Z6" s="228">
        <v>10.1</v>
      </c>
      <c r="AA6" s="229">
        <v>5.8999999999999999E-3</v>
      </c>
      <c r="AB6" s="228">
        <v>-3.5</v>
      </c>
      <c r="AC6" s="228">
        <v>-2.4</v>
      </c>
      <c r="AD6" s="228">
        <v>-1.1000000000000001</v>
      </c>
      <c r="AE6" s="229">
        <v>-2.7000000000000001E-3</v>
      </c>
      <c r="AF6" s="228">
        <v>7.7</v>
      </c>
      <c r="AG6" s="228">
        <v>7.1</v>
      </c>
      <c r="AH6" s="228">
        <v>0.6</v>
      </c>
      <c r="AI6" s="229">
        <v>5.8999999999999999E-3</v>
      </c>
      <c r="AJ6" s="228">
        <v>14.5</v>
      </c>
      <c r="AK6" s="228">
        <v>14.6</v>
      </c>
      <c r="AL6" s="228">
        <v>-0.1</v>
      </c>
      <c r="AM6" s="229">
        <v>1.12E-2</v>
      </c>
      <c r="AN6" s="231">
        <v>1300.06</v>
      </c>
      <c r="AO6" s="231">
        <v>1310.0899999999999</v>
      </c>
      <c r="AP6" s="228">
        <v>0</v>
      </c>
      <c r="AQ6" s="230">
        <v>29945</v>
      </c>
      <c r="AR6" s="230">
        <v>35602</v>
      </c>
      <c r="AS6" s="230">
        <v>-5657</v>
      </c>
      <c r="AT6" s="229">
        <v>-0.15890000000000001</v>
      </c>
      <c r="AU6" s="230">
        <v>11556</v>
      </c>
      <c r="AV6" s="230">
        <v>17914</v>
      </c>
      <c r="AW6" s="230">
        <v>-6358</v>
      </c>
      <c r="AX6" s="229">
        <v>-0.35489999999999999</v>
      </c>
      <c r="AY6" s="230">
        <v>18233</v>
      </c>
      <c r="AZ6" s="230">
        <v>17526</v>
      </c>
      <c r="BA6" s="228">
        <v>707</v>
      </c>
      <c r="BB6" s="229">
        <v>4.0300000000000002E-2</v>
      </c>
      <c r="BC6" s="228">
        <v>156</v>
      </c>
      <c r="BD6" s="228">
        <v>162</v>
      </c>
      <c r="BE6" s="228">
        <v>-6</v>
      </c>
      <c r="BF6" s="229">
        <v>-3.6999999999999998E-2</v>
      </c>
      <c r="BG6" s="230">
        <v>40082</v>
      </c>
      <c r="BH6" s="230">
        <v>112787</v>
      </c>
      <c r="BI6" s="230">
        <v>-72705</v>
      </c>
      <c r="BJ6" s="229">
        <v>-0.64459999999999995</v>
      </c>
      <c r="BK6" s="230">
        <v>30342</v>
      </c>
      <c r="BL6" s="230">
        <v>44069</v>
      </c>
      <c r="BM6" s="230">
        <v>-13727</v>
      </c>
      <c r="BN6" s="229">
        <v>-0.3115</v>
      </c>
      <c r="BO6" s="230">
        <v>100369</v>
      </c>
      <c r="BP6" s="230">
        <v>192458</v>
      </c>
      <c r="BQ6" s="230">
        <v>-92089</v>
      </c>
      <c r="BR6" s="229">
        <v>-0.47849999999999998</v>
      </c>
      <c r="BS6" s="230">
        <v>6569417</v>
      </c>
      <c r="BT6" s="230">
        <v>5830253</v>
      </c>
      <c r="BU6" s="230">
        <v>739164</v>
      </c>
      <c r="BV6" s="229">
        <v>0.1268</v>
      </c>
      <c r="BW6" s="230">
        <v>66494375</v>
      </c>
      <c r="BX6" s="230">
        <v>71530000</v>
      </c>
      <c r="BY6" s="230">
        <v>-5035625</v>
      </c>
      <c r="BZ6" s="229">
        <v>-7.0400000000000004E-2</v>
      </c>
      <c r="CA6" s="230">
        <v>6693125</v>
      </c>
      <c r="CB6" s="230">
        <v>8527500</v>
      </c>
      <c r="CC6" s="230">
        <v>-1834375</v>
      </c>
      <c r="CD6" s="229">
        <v>-0.21510000000000001</v>
      </c>
      <c r="CE6" s="230">
        <v>57995000</v>
      </c>
      <c r="CF6" s="230">
        <v>54526875</v>
      </c>
      <c r="CG6" s="230">
        <v>3468125</v>
      </c>
      <c r="CH6" s="229">
        <v>6.3600000000000004E-2</v>
      </c>
      <c r="CI6" s="230">
        <v>8499375</v>
      </c>
      <c r="CJ6" s="230">
        <v>8475625</v>
      </c>
      <c r="CK6" s="230">
        <v>23750</v>
      </c>
      <c r="CL6" s="229">
        <v>2.8E-3</v>
      </c>
      <c r="CM6" s="230">
        <v>4778750</v>
      </c>
      <c r="CN6" s="230">
        <v>18371875</v>
      </c>
      <c r="CO6" s="230">
        <v>-13593125</v>
      </c>
      <c r="CP6" s="229">
        <v>-0.7399</v>
      </c>
      <c r="CQ6" s="230">
        <v>4064375</v>
      </c>
      <c r="CR6" s="230">
        <v>13431875</v>
      </c>
      <c r="CS6" s="230">
        <v>-9367500</v>
      </c>
      <c r="CT6" s="229">
        <v>-0.69740000000000002</v>
      </c>
      <c r="CU6" s="230">
        <v>75337500</v>
      </c>
      <c r="CV6" s="230">
        <v>103333750</v>
      </c>
      <c r="CW6" s="230">
        <v>-27996250</v>
      </c>
      <c r="CX6" s="229">
        <v>-0.27089999999999997</v>
      </c>
      <c r="CY6" s="228">
        <v>21.03</v>
      </c>
      <c r="CZ6" s="228">
        <v>21.81</v>
      </c>
      <c r="DA6" s="228">
        <v>-0.78</v>
      </c>
      <c r="DB6" s="228">
        <v>-0.78</v>
      </c>
      <c r="DC6" s="228">
        <v>29.71</v>
      </c>
      <c r="DD6" s="228">
        <v>29.76</v>
      </c>
      <c r="DE6" s="228">
        <v>-8.68</v>
      </c>
      <c r="DF6" s="228">
        <v>-0.05</v>
      </c>
      <c r="DG6" s="228">
        <v>20.79</v>
      </c>
      <c r="DH6" s="228">
        <v>21.43</v>
      </c>
      <c r="DI6" s="228">
        <v>-0.64</v>
      </c>
      <c r="DJ6" s="228">
        <v>-0.64</v>
      </c>
      <c r="DK6" s="228">
        <v>21.36</v>
      </c>
      <c r="DL6" s="228">
        <v>22.41</v>
      </c>
      <c r="DM6" s="228">
        <v>-1.05</v>
      </c>
      <c r="DN6" s="228">
        <v>-1.05</v>
      </c>
      <c r="DO6" s="228">
        <v>0.85</v>
      </c>
      <c r="DP6" s="228">
        <v>0.73</v>
      </c>
      <c r="DQ6" s="228">
        <v>0.12</v>
      </c>
      <c r="DR6" s="229">
        <v>0.16439999999999999</v>
      </c>
      <c r="DS6" s="231">
        <v>1280</v>
      </c>
      <c r="DT6" s="231">
        <v>1280</v>
      </c>
      <c r="DU6" s="228">
        <v>0.76</v>
      </c>
      <c r="DV6" s="228">
        <v>0.39</v>
      </c>
      <c r="DW6" s="228">
        <v>0.37</v>
      </c>
      <c r="DX6" s="229">
        <v>0.94869999999999999</v>
      </c>
      <c r="DY6" s="229">
        <v>0.90849999999999997</v>
      </c>
      <c r="DZ6" s="230">
        <v>63002500</v>
      </c>
      <c r="EA6" s="229">
        <v>8.6E-3</v>
      </c>
      <c r="EB6" s="229">
        <v>0.90849999999999997</v>
      </c>
      <c r="EC6" s="228">
        <v>10.029999999999999</v>
      </c>
      <c r="ED6" s="229">
        <v>7.7000000000000002E-3</v>
      </c>
      <c r="EE6" s="230">
        <v>2490710</v>
      </c>
      <c r="EF6" s="230">
        <v>4235258</v>
      </c>
      <c r="EG6" s="229">
        <v>-0.41189999999999999</v>
      </c>
      <c r="EH6" s="229">
        <v>0.37909999999999999</v>
      </c>
      <c r="EI6" s="231">
        <v>333432.46000000002</v>
      </c>
      <c r="EJ6" s="231">
        <v>245117.03</v>
      </c>
      <c r="EK6" s="231">
        <v>244474.39</v>
      </c>
      <c r="EL6" s="231">
        <v>40736</v>
      </c>
      <c r="EM6" s="231">
        <v>823023.88</v>
      </c>
      <c r="EN6" s="231">
        <v>1577700.61</v>
      </c>
      <c r="EO6" s="231">
        <v>-754676.73</v>
      </c>
      <c r="EP6" s="229">
        <v>-0.4783</v>
      </c>
      <c r="EQ6" s="231">
        <v>63515</v>
      </c>
      <c r="ER6" s="231">
        <v>51467</v>
      </c>
      <c r="ES6" s="231">
        <v>869659</v>
      </c>
      <c r="ET6" s="231">
        <v>331596880</v>
      </c>
      <c r="EU6" s="231">
        <v>984642</v>
      </c>
      <c r="EV6" s="231">
        <v>1353324</v>
      </c>
      <c r="EW6" s="231">
        <v>-368682</v>
      </c>
      <c r="EX6" s="229">
        <v>-0.27239999999999998</v>
      </c>
      <c r="EY6" s="229">
        <v>0.22720000000000001</v>
      </c>
    </row>
    <row r="7" spans="1:155" ht="17.25" thickBot="1" x14ac:dyDescent="0.3">
      <c r="A7" s="226">
        <v>46168</v>
      </c>
      <c r="B7" s="227" t="s">
        <v>162</v>
      </c>
      <c r="C7" s="227" t="s">
        <v>174</v>
      </c>
      <c r="D7" s="231">
        <v>10292</v>
      </c>
      <c r="E7" s="231">
        <v>10242.5</v>
      </c>
      <c r="F7" s="228">
        <v>49.5</v>
      </c>
      <c r="G7" s="229">
        <v>4.7999999999999996E-3</v>
      </c>
      <c r="H7" s="231">
        <v>10593</v>
      </c>
      <c r="I7" s="231">
        <v>10491</v>
      </c>
      <c r="J7" s="228">
        <v>102</v>
      </c>
      <c r="K7" s="229">
        <v>9.7000000000000003E-3</v>
      </c>
      <c r="L7" s="231">
        <v>10573</v>
      </c>
      <c r="M7" s="231">
        <v>10461</v>
      </c>
      <c r="N7" s="228">
        <v>112</v>
      </c>
      <c r="O7" s="229">
        <v>1.0699999999999999E-2</v>
      </c>
      <c r="P7" s="231">
        <v>10292</v>
      </c>
      <c r="Q7" s="231">
        <v>10242.5</v>
      </c>
      <c r="R7" s="228">
        <v>49.5</v>
      </c>
      <c r="S7" s="229">
        <v>4.7999999999999996E-3</v>
      </c>
      <c r="T7" s="231">
        <v>10130.5</v>
      </c>
      <c r="U7" s="231">
        <v>10147</v>
      </c>
      <c r="V7" s="228">
        <v>-16.5</v>
      </c>
      <c r="W7" s="229">
        <v>-1.6000000000000001E-3</v>
      </c>
      <c r="X7" s="228">
        <v>-301</v>
      </c>
      <c r="Y7" s="228">
        <v>-30</v>
      </c>
      <c r="Z7" s="228">
        <v>-271</v>
      </c>
      <c r="AA7" s="229">
        <v>-2.8400000000000002E-2</v>
      </c>
      <c r="AB7" s="228">
        <v>-20</v>
      </c>
      <c r="AC7" s="228">
        <v>-30</v>
      </c>
      <c r="AD7" s="228">
        <v>10</v>
      </c>
      <c r="AE7" s="229">
        <v>-1.9E-3</v>
      </c>
      <c r="AF7" s="228">
        <v>-301</v>
      </c>
      <c r="AG7" s="228">
        <v>-248.5</v>
      </c>
      <c r="AH7" s="228">
        <v>-52.5</v>
      </c>
      <c r="AI7" s="229">
        <v>-2.8400000000000002E-2</v>
      </c>
      <c r="AJ7" s="228">
        <v>-462.5</v>
      </c>
      <c r="AK7" s="228">
        <v>-344</v>
      </c>
      <c r="AL7" s="228">
        <v>-118.5</v>
      </c>
      <c r="AM7" s="229">
        <v>-4.3700000000000003E-2</v>
      </c>
      <c r="AN7" s="231">
        <v>10546</v>
      </c>
      <c r="AO7" s="231">
        <v>10298.41</v>
      </c>
      <c r="AP7" s="228">
        <v>0</v>
      </c>
      <c r="AQ7" s="230">
        <v>17408</v>
      </c>
      <c r="AR7" s="230">
        <v>25395</v>
      </c>
      <c r="AS7" s="230">
        <v>-7987</v>
      </c>
      <c r="AT7" s="229">
        <v>-0.3145</v>
      </c>
      <c r="AU7" s="230">
        <v>7659</v>
      </c>
      <c r="AV7" s="230">
        <v>11442</v>
      </c>
      <c r="AW7" s="230">
        <v>-3783</v>
      </c>
      <c r="AX7" s="229">
        <v>-0.3306</v>
      </c>
      <c r="AY7" s="230">
        <v>9574</v>
      </c>
      <c r="AZ7" s="230">
        <v>13798</v>
      </c>
      <c r="BA7" s="230">
        <v>-4224</v>
      </c>
      <c r="BB7" s="229">
        <v>-0.30609999999999998</v>
      </c>
      <c r="BC7" s="228">
        <v>175</v>
      </c>
      <c r="BD7" s="228">
        <v>155</v>
      </c>
      <c r="BE7" s="228">
        <v>20</v>
      </c>
      <c r="BF7" s="229">
        <v>0.129</v>
      </c>
      <c r="BG7" s="230">
        <v>42651</v>
      </c>
      <c r="BH7" s="230">
        <v>89685</v>
      </c>
      <c r="BI7" s="230">
        <v>-47034</v>
      </c>
      <c r="BJ7" s="229">
        <v>-0.52439999999999998</v>
      </c>
      <c r="BK7" s="230">
        <v>15998</v>
      </c>
      <c r="BL7" s="230">
        <v>57626</v>
      </c>
      <c r="BM7" s="230">
        <v>-41628</v>
      </c>
      <c r="BN7" s="229">
        <v>-0.72240000000000004</v>
      </c>
      <c r="BO7" s="230">
        <v>76057</v>
      </c>
      <c r="BP7" s="230">
        <v>172706</v>
      </c>
      <c r="BQ7" s="230">
        <v>-96649</v>
      </c>
      <c r="BR7" s="229">
        <v>-0.55959999999999999</v>
      </c>
      <c r="BS7" s="230">
        <v>570808</v>
      </c>
      <c r="BT7" s="230">
        <v>583665</v>
      </c>
      <c r="BU7" s="230">
        <v>-12857</v>
      </c>
      <c r="BV7" s="229">
        <v>-2.1999999999999999E-2</v>
      </c>
      <c r="BW7" s="230">
        <v>2410575</v>
      </c>
      <c r="BX7" s="230">
        <v>2761725</v>
      </c>
      <c r="BY7" s="230">
        <v>-351150</v>
      </c>
      <c r="BZ7" s="229">
        <v>-0.12709999999999999</v>
      </c>
      <c r="CA7" s="230">
        <v>469950</v>
      </c>
      <c r="CB7" s="230">
        <v>749025</v>
      </c>
      <c r="CC7" s="230">
        <v>-279075</v>
      </c>
      <c r="CD7" s="229">
        <v>-0.37259999999999999</v>
      </c>
      <c r="CE7" s="230">
        <v>2384400</v>
      </c>
      <c r="CF7" s="230">
        <v>1988775</v>
      </c>
      <c r="CG7" s="230">
        <v>395625</v>
      </c>
      <c r="CH7" s="229">
        <v>0.19889999999999999</v>
      </c>
      <c r="CI7" s="230">
        <v>26175</v>
      </c>
      <c r="CJ7" s="230">
        <v>23925</v>
      </c>
      <c r="CK7" s="230">
        <v>2250</v>
      </c>
      <c r="CL7" s="229">
        <v>9.4E-2</v>
      </c>
      <c r="CM7" s="230">
        <v>826500</v>
      </c>
      <c r="CN7" s="230">
        <v>2242275</v>
      </c>
      <c r="CO7" s="230">
        <v>-1415775</v>
      </c>
      <c r="CP7" s="229">
        <v>-0.63139999999999996</v>
      </c>
      <c r="CQ7" s="230">
        <v>381000</v>
      </c>
      <c r="CR7" s="230">
        <v>1351575</v>
      </c>
      <c r="CS7" s="230">
        <v>-970575</v>
      </c>
      <c r="CT7" s="229">
        <v>-0.71809999999999996</v>
      </c>
      <c r="CU7" s="230">
        <v>3618075</v>
      </c>
      <c r="CV7" s="230">
        <v>6355575</v>
      </c>
      <c r="CW7" s="230">
        <v>-2737500</v>
      </c>
      <c r="CX7" s="229">
        <v>-0.43070000000000003</v>
      </c>
      <c r="CY7" s="228">
        <v>23.18</v>
      </c>
      <c r="CZ7" s="228">
        <v>24.11</v>
      </c>
      <c r="DA7" s="228">
        <v>-0.93</v>
      </c>
      <c r="DB7" s="228">
        <v>-0.93</v>
      </c>
      <c r="DC7" s="228">
        <v>29.99</v>
      </c>
      <c r="DD7" s="228">
        <v>30.04</v>
      </c>
      <c r="DE7" s="228">
        <v>-6.81</v>
      </c>
      <c r="DF7" s="228">
        <v>-0.05</v>
      </c>
      <c r="DG7" s="228">
        <v>23.36</v>
      </c>
      <c r="DH7" s="228">
        <v>24.44</v>
      </c>
      <c r="DI7" s="228">
        <v>-1.08</v>
      </c>
      <c r="DJ7" s="228">
        <v>-1.08</v>
      </c>
      <c r="DK7" s="228">
        <v>22.76</v>
      </c>
      <c r="DL7" s="228">
        <v>23.41</v>
      </c>
      <c r="DM7" s="228">
        <v>-0.65</v>
      </c>
      <c r="DN7" s="228">
        <v>-0.65</v>
      </c>
      <c r="DO7" s="228">
        <v>0.46</v>
      </c>
      <c r="DP7" s="228">
        <v>0.6</v>
      </c>
      <c r="DQ7" s="228">
        <v>-0.14000000000000001</v>
      </c>
      <c r="DR7" s="229">
        <v>-0.23330000000000001</v>
      </c>
      <c r="DS7" s="231">
        <v>10400</v>
      </c>
      <c r="DT7" s="231">
        <v>10000</v>
      </c>
      <c r="DU7" s="228">
        <v>0.38</v>
      </c>
      <c r="DV7" s="228">
        <v>0.64</v>
      </c>
      <c r="DW7" s="228">
        <v>-0.26</v>
      </c>
      <c r="DX7" s="229">
        <v>-0.40629999999999999</v>
      </c>
      <c r="DY7" s="229">
        <v>0.83689999999999998</v>
      </c>
      <c r="DZ7" s="230">
        <v>2012700</v>
      </c>
      <c r="EA7" s="229">
        <v>-2.6599999999999999E-2</v>
      </c>
      <c r="EB7" s="229">
        <v>0.83689999999999998</v>
      </c>
      <c r="EC7" s="228">
        <v>-247.59</v>
      </c>
      <c r="ED7" s="229">
        <v>-2.35E-2</v>
      </c>
      <c r="EE7" s="230">
        <v>301565</v>
      </c>
      <c r="EF7" s="230">
        <v>269195</v>
      </c>
      <c r="EG7" s="229">
        <v>0.1202</v>
      </c>
      <c r="EH7" s="229">
        <v>0.52829999999999999</v>
      </c>
      <c r="EI7" s="231">
        <v>344716.56</v>
      </c>
      <c r="EJ7" s="231">
        <v>123448.35</v>
      </c>
      <c r="EK7" s="231">
        <v>135861.84</v>
      </c>
      <c r="EL7" s="231">
        <v>17012</v>
      </c>
      <c r="EM7" s="231">
        <v>604026.75</v>
      </c>
      <c r="EN7" s="231">
        <v>1367471.57</v>
      </c>
      <c r="EO7" s="231">
        <v>-763444.82</v>
      </c>
      <c r="EP7" s="229">
        <v>-0.55830000000000002</v>
      </c>
      <c r="EQ7" s="231">
        <v>88331</v>
      </c>
      <c r="ER7" s="231">
        <v>37743</v>
      </c>
      <c r="ES7" s="231">
        <v>248054</v>
      </c>
      <c r="ET7" s="231">
        <v>12553818</v>
      </c>
      <c r="EU7" s="231">
        <v>374128</v>
      </c>
      <c r="EV7" s="231">
        <v>654925</v>
      </c>
      <c r="EW7" s="231">
        <v>-280797</v>
      </c>
      <c r="EX7" s="229">
        <v>-0.42870000000000003</v>
      </c>
      <c r="EY7" s="229">
        <v>0.28820000000000001</v>
      </c>
    </row>
    <row r="8" spans="1:155" ht="17.25" thickBot="1" x14ac:dyDescent="0.3">
      <c r="A8" s="226">
        <v>46168</v>
      </c>
      <c r="B8" s="227" t="s">
        <v>175</v>
      </c>
      <c r="C8" s="227" t="s">
        <v>176</v>
      </c>
      <c r="D8" s="231">
        <v>1810.6</v>
      </c>
      <c r="E8" s="231">
        <v>1818.2</v>
      </c>
      <c r="F8" s="228">
        <v>-7.6</v>
      </c>
      <c r="G8" s="229">
        <v>-4.1999999999999997E-3</v>
      </c>
      <c r="H8" s="231">
        <v>1800.7</v>
      </c>
      <c r="I8" s="231">
        <v>1807.4</v>
      </c>
      <c r="J8" s="228">
        <v>-6.7</v>
      </c>
      <c r="K8" s="229">
        <v>-3.7000000000000002E-3</v>
      </c>
      <c r="L8" s="231">
        <v>1798.3</v>
      </c>
      <c r="M8" s="231">
        <v>1806.2</v>
      </c>
      <c r="N8" s="228">
        <v>-7.9</v>
      </c>
      <c r="O8" s="229">
        <v>-4.4000000000000003E-3</v>
      </c>
      <c r="P8" s="231">
        <v>1810.6</v>
      </c>
      <c r="Q8" s="231">
        <v>1818.2</v>
      </c>
      <c r="R8" s="228">
        <v>-7.6</v>
      </c>
      <c r="S8" s="229">
        <v>-4.1999999999999997E-3</v>
      </c>
      <c r="T8" s="231">
        <v>1822.6</v>
      </c>
      <c r="U8" s="231">
        <v>1830.5</v>
      </c>
      <c r="V8" s="228">
        <v>-7.9</v>
      </c>
      <c r="W8" s="229">
        <v>-4.3E-3</v>
      </c>
      <c r="X8" s="228">
        <v>9.9</v>
      </c>
      <c r="Y8" s="228">
        <v>-1.2</v>
      </c>
      <c r="Z8" s="228">
        <v>11.1</v>
      </c>
      <c r="AA8" s="229">
        <v>5.4999999999999997E-3</v>
      </c>
      <c r="AB8" s="228">
        <v>-2.4</v>
      </c>
      <c r="AC8" s="228">
        <v>-1.2</v>
      </c>
      <c r="AD8" s="228">
        <v>-1.2</v>
      </c>
      <c r="AE8" s="229">
        <v>-1.2999999999999999E-3</v>
      </c>
      <c r="AF8" s="228">
        <v>9.9</v>
      </c>
      <c r="AG8" s="228">
        <v>10.8</v>
      </c>
      <c r="AH8" s="228">
        <v>-0.9</v>
      </c>
      <c r="AI8" s="229">
        <v>5.4999999999999997E-3</v>
      </c>
      <c r="AJ8" s="228">
        <v>21.9</v>
      </c>
      <c r="AK8" s="228">
        <v>23.1</v>
      </c>
      <c r="AL8" s="228">
        <v>-1.2</v>
      </c>
      <c r="AM8" s="229">
        <v>1.2200000000000001E-2</v>
      </c>
      <c r="AN8" s="231">
        <v>1801.1</v>
      </c>
      <c r="AO8" s="231">
        <v>1814.89</v>
      </c>
      <c r="AP8" s="228">
        <v>0</v>
      </c>
      <c r="AQ8" s="230">
        <v>10796</v>
      </c>
      <c r="AR8" s="230">
        <v>25550</v>
      </c>
      <c r="AS8" s="230">
        <v>-14754</v>
      </c>
      <c r="AT8" s="229">
        <v>-0.57750000000000001</v>
      </c>
      <c r="AU8" s="230">
        <v>5640</v>
      </c>
      <c r="AV8" s="230">
        <v>13498</v>
      </c>
      <c r="AW8" s="230">
        <v>-7858</v>
      </c>
      <c r="AX8" s="229">
        <v>-0.58220000000000005</v>
      </c>
      <c r="AY8" s="230">
        <v>5093</v>
      </c>
      <c r="AZ8" s="230">
        <v>11914</v>
      </c>
      <c r="BA8" s="230">
        <v>-6821</v>
      </c>
      <c r="BB8" s="229">
        <v>-0.57250000000000001</v>
      </c>
      <c r="BC8" s="228">
        <v>63</v>
      </c>
      <c r="BD8" s="228">
        <v>138</v>
      </c>
      <c r="BE8" s="228">
        <v>-75</v>
      </c>
      <c r="BF8" s="229">
        <v>-0.54349999999999998</v>
      </c>
      <c r="BG8" s="230">
        <v>15443</v>
      </c>
      <c r="BH8" s="230">
        <v>38148</v>
      </c>
      <c r="BI8" s="230">
        <v>-22705</v>
      </c>
      <c r="BJ8" s="229">
        <v>-0.59519999999999995</v>
      </c>
      <c r="BK8" s="230">
        <v>9461</v>
      </c>
      <c r="BL8" s="230">
        <v>26628</v>
      </c>
      <c r="BM8" s="230">
        <v>-17167</v>
      </c>
      <c r="BN8" s="229">
        <v>-0.64470000000000005</v>
      </c>
      <c r="BO8" s="230">
        <v>35700</v>
      </c>
      <c r="BP8" s="230">
        <v>90326</v>
      </c>
      <c r="BQ8" s="230">
        <v>-54626</v>
      </c>
      <c r="BR8" s="229">
        <v>-0.6048</v>
      </c>
      <c r="BS8" s="230">
        <v>831648</v>
      </c>
      <c r="BT8" s="230">
        <v>474942</v>
      </c>
      <c r="BU8" s="230">
        <v>356706</v>
      </c>
      <c r="BV8" s="229">
        <v>0.75109999999999999</v>
      </c>
      <c r="BW8" s="230">
        <v>11029800</v>
      </c>
      <c r="BX8" s="230">
        <v>12079850</v>
      </c>
      <c r="BY8" s="230">
        <v>-1050050</v>
      </c>
      <c r="BZ8" s="229">
        <v>-8.6900000000000005E-2</v>
      </c>
      <c r="CA8" s="230">
        <v>1613750</v>
      </c>
      <c r="CB8" s="230">
        <v>1713750</v>
      </c>
      <c r="CC8" s="230">
        <v>-100000</v>
      </c>
      <c r="CD8" s="229">
        <v>-5.8400000000000001E-2</v>
      </c>
      <c r="CE8" s="230">
        <v>9247500</v>
      </c>
      <c r="CF8" s="230">
        <v>8592500</v>
      </c>
      <c r="CG8" s="230">
        <v>655000</v>
      </c>
      <c r="CH8" s="229">
        <v>7.6200000000000004E-2</v>
      </c>
      <c r="CI8" s="230">
        <v>1782300</v>
      </c>
      <c r="CJ8" s="230">
        <v>1773600</v>
      </c>
      <c r="CK8" s="230">
        <v>8700</v>
      </c>
      <c r="CL8" s="229">
        <v>4.8999999999999998E-3</v>
      </c>
      <c r="CM8" s="230">
        <v>1418250</v>
      </c>
      <c r="CN8" s="230">
        <v>6243000</v>
      </c>
      <c r="CO8" s="230">
        <v>-4824750</v>
      </c>
      <c r="CP8" s="229">
        <v>-0.77280000000000004</v>
      </c>
      <c r="CQ8" s="230">
        <v>1617600</v>
      </c>
      <c r="CR8" s="230">
        <v>3633750</v>
      </c>
      <c r="CS8" s="230">
        <v>-2016150</v>
      </c>
      <c r="CT8" s="229">
        <v>-0.55479999999999996</v>
      </c>
      <c r="CU8" s="230">
        <v>14065650</v>
      </c>
      <c r="CV8" s="230">
        <v>21956600</v>
      </c>
      <c r="CW8" s="230">
        <v>-7890950</v>
      </c>
      <c r="CX8" s="229">
        <v>-0.3594</v>
      </c>
      <c r="CY8" s="228">
        <v>22.33</v>
      </c>
      <c r="CZ8" s="228">
        <v>23.19</v>
      </c>
      <c r="DA8" s="228">
        <v>-0.86</v>
      </c>
      <c r="DB8" s="228">
        <v>-0.86</v>
      </c>
      <c r="DC8" s="228">
        <v>30.07</v>
      </c>
      <c r="DD8" s="228">
        <v>30.14</v>
      </c>
      <c r="DE8" s="228">
        <v>-7.74</v>
      </c>
      <c r="DF8" s="228">
        <v>-7.0000000000000007E-2</v>
      </c>
      <c r="DG8" s="228">
        <v>21.58</v>
      </c>
      <c r="DH8" s="228">
        <v>22.64</v>
      </c>
      <c r="DI8" s="228">
        <v>-1.06</v>
      </c>
      <c r="DJ8" s="228">
        <v>-1.06</v>
      </c>
      <c r="DK8" s="228">
        <v>23.25</v>
      </c>
      <c r="DL8" s="228">
        <v>24.02</v>
      </c>
      <c r="DM8" s="228">
        <v>-0.77</v>
      </c>
      <c r="DN8" s="228">
        <v>-0.77</v>
      </c>
      <c r="DO8" s="228">
        <v>1.1399999999999999</v>
      </c>
      <c r="DP8" s="228">
        <v>0.57999999999999996</v>
      </c>
      <c r="DQ8" s="228">
        <v>0.56000000000000005</v>
      </c>
      <c r="DR8" s="229">
        <v>0.96550000000000002</v>
      </c>
      <c r="DS8" s="231">
        <v>1860</v>
      </c>
      <c r="DT8" s="231">
        <v>1700</v>
      </c>
      <c r="DU8" s="228">
        <v>0.61</v>
      </c>
      <c r="DV8" s="228">
        <v>0.7</v>
      </c>
      <c r="DW8" s="228">
        <v>-0.09</v>
      </c>
      <c r="DX8" s="229">
        <v>-0.12859999999999999</v>
      </c>
      <c r="DY8" s="229">
        <v>0.87239999999999995</v>
      </c>
      <c r="DZ8" s="230">
        <v>10366100</v>
      </c>
      <c r="EA8" s="229">
        <v>6.7999999999999996E-3</v>
      </c>
      <c r="EB8" s="229">
        <v>0.87239999999999995</v>
      </c>
      <c r="EC8" s="228">
        <v>13.79</v>
      </c>
      <c r="ED8" s="229">
        <v>7.7000000000000002E-3</v>
      </c>
      <c r="EE8" s="230">
        <v>452899</v>
      </c>
      <c r="EF8" s="230">
        <v>188578</v>
      </c>
      <c r="EG8" s="229">
        <v>1.4016999999999999</v>
      </c>
      <c r="EH8" s="229">
        <v>0.54459999999999997</v>
      </c>
      <c r="EI8" s="231">
        <v>72209.34</v>
      </c>
      <c r="EJ8" s="231">
        <v>43468.55</v>
      </c>
      <c r="EK8" s="231">
        <v>48848.82</v>
      </c>
      <c r="EL8" s="231">
        <v>17468</v>
      </c>
      <c r="EM8" s="231">
        <v>164526.71</v>
      </c>
      <c r="EN8" s="231">
        <v>408282.62</v>
      </c>
      <c r="EO8" s="231">
        <v>-243755.91</v>
      </c>
      <c r="EP8" s="229">
        <v>-0.59699999999999998</v>
      </c>
      <c r="EQ8" s="231">
        <v>26227</v>
      </c>
      <c r="ER8" s="231">
        <v>29031</v>
      </c>
      <c r="ES8" s="231">
        <v>199919</v>
      </c>
      <c r="ET8" s="231">
        <v>65784745</v>
      </c>
      <c r="EU8" s="231">
        <v>255177</v>
      </c>
      <c r="EV8" s="231">
        <v>397529</v>
      </c>
      <c r="EW8" s="231">
        <v>-142352</v>
      </c>
      <c r="EX8" s="229">
        <v>-0.35809999999999997</v>
      </c>
      <c r="EY8" s="229">
        <v>0.21379999999999999</v>
      </c>
    </row>
    <row r="9" spans="1:155" ht="17.25" thickBot="1" x14ac:dyDescent="0.3">
      <c r="A9" s="226">
        <v>46168</v>
      </c>
      <c r="B9" s="227" t="s">
        <v>175</v>
      </c>
      <c r="C9" s="227" t="s">
        <v>177</v>
      </c>
      <c r="D9" s="228">
        <v>928.1</v>
      </c>
      <c r="E9" s="228">
        <v>943.4</v>
      </c>
      <c r="F9" s="228">
        <v>-15.3</v>
      </c>
      <c r="G9" s="229">
        <v>-1.6199999999999999E-2</v>
      </c>
      <c r="H9" s="228">
        <v>930.2</v>
      </c>
      <c r="I9" s="228">
        <v>941.9</v>
      </c>
      <c r="J9" s="228">
        <v>-11.7</v>
      </c>
      <c r="K9" s="229">
        <v>-1.24E-2</v>
      </c>
      <c r="L9" s="228">
        <v>928.55</v>
      </c>
      <c r="M9" s="228">
        <v>944.25</v>
      </c>
      <c r="N9" s="228">
        <v>-15.7</v>
      </c>
      <c r="O9" s="229">
        <v>-1.66E-2</v>
      </c>
      <c r="P9" s="228">
        <v>928.1</v>
      </c>
      <c r="Q9" s="228">
        <v>943.4</v>
      </c>
      <c r="R9" s="228">
        <v>-15.3</v>
      </c>
      <c r="S9" s="229">
        <v>-1.6199999999999999E-2</v>
      </c>
      <c r="T9" s="228">
        <v>934.9</v>
      </c>
      <c r="U9" s="228">
        <v>948.5</v>
      </c>
      <c r="V9" s="228">
        <v>-13.6</v>
      </c>
      <c r="W9" s="229">
        <v>-1.43E-2</v>
      </c>
      <c r="X9" s="228">
        <v>-2.1</v>
      </c>
      <c r="Y9" s="228">
        <v>2.35</v>
      </c>
      <c r="Z9" s="228">
        <v>-4.45</v>
      </c>
      <c r="AA9" s="229">
        <v>-2.3E-3</v>
      </c>
      <c r="AB9" s="228">
        <v>-1.65</v>
      </c>
      <c r="AC9" s="228">
        <v>2.35</v>
      </c>
      <c r="AD9" s="228">
        <v>-4</v>
      </c>
      <c r="AE9" s="229">
        <v>-1.8E-3</v>
      </c>
      <c r="AF9" s="228">
        <v>-2.1</v>
      </c>
      <c r="AG9" s="228">
        <v>1.5</v>
      </c>
      <c r="AH9" s="228">
        <v>-3.6</v>
      </c>
      <c r="AI9" s="229">
        <v>-2.3E-3</v>
      </c>
      <c r="AJ9" s="228">
        <v>4.7</v>
      </c>
      <c r="AK9" s="228">
        <v>6.6</v>
      </c>
      <c r="AL9" s="228">
        <v>-1.9</v>
      </c>
      <c r="AM9" s="229">
        <v>5.1000000000000004E-3</v>
      </c>
      <c r="AN9" s="228">
        <v>936.62</v>
      </c>
      <c r="AO9" s="228">
        <v>936.34</v>
      </c>
      <c r="AP9" s="228">
        <v>0</v>
      </c>
      <c r="AQ9" s="230">
        <v>17421</v>
      </c>
      <c r="AR9" s="230">
        <v>44244</v>
      </c>
      <c r="AS9" s="230">
        <v>-26823</v>
      </c>
      <c r="AT9" s="229">
        <v>-0.60629999999999995</v>
      </c>
      <c r="AU9" s="230">
        <v>4435</v>
      </c>
      <c r="AV9" s="230">
        <v>19906</v>
      </c>
      <c r="AW9" s="230">
        <v>-15471</v>
      </c>
      <c r="AX9" s="229">
        <v>-0.7772</v>
      </c>
      <c r="AY9" s="230">
        <v>12663</v>
      </c>
      <c r="AZ9" s="230">
        <v>24040</v>
      </c>
      <c r="BA9" s="230">
        <v>-11377</v>
      </c>
      <c r="BB9" s="229">
        <v>-0.4733</v>
      </c>
      <c r="BC9" s="228">
        <v>323</v>
      </c>
      <c r="BD9" s="228">
        <v>298</v>
      </c>
      <c r="BE9" s="228">
        <v>25</v>
      </c>
      <c r="BF9" s="229">
        <v>8.3900000000000002E-2</v>
      </c>
      <c r="BG9" s="230">
        <v>29767</v>
      </c>
      <c r="BH9" s="230">
        <v>55517</v>
      </c>
      <c r="BI9" s="230">
        <v>-25750</v>
      </c>
      <c r="BJ9" s="229">
        <v>-0.46379999999999999</v>
      </c>
      <c r="BK9" s="230">
        <v>16284</v>
      </c>
      <c r="BL9" s="230">
        <v>29109</v>
      </c>
      <c r="BM9" s="230">
        <v>-12825</v>
      </c>
      <c r="BN9" s="229">
        <v>-0.44059999999999999</v>
      </c>
      <c r="BO9" s="230">
        <v>63472</v>
      </c>
      <c r="BP9" s="230">
        <v>128870</v>
      </c>
      <c r="BQ9" s="230">
        <v>-65398</v>
      </c>
      <c r="BR9" s="229">
        <v>-0.50749999999999995</v>
      </c>
      <c r="BS9" s="230">
        <v>8872665</v>
      </c>
      <c r="BT9" s="230">
        <v>7291551</v>
      </c>
      <c r="BU9" s="230">
        <v>1581114</v>
      </c>
      <c r="BV9" s="229">
        <v>0.21679999999999999</v>
      </c>
      <c r="BW9" s="230">
        <v>73353000</v>
      </c>
      <c r="BX9" s="230">
        <v>72893250</v>
      </c>
      <c r="BY9" s="230">
        <v>459750</v>
      </c>
      <c r="BZ9" s="229">
        <v>6.3E-3</v>
      </c>
      <c r="CA9" s="230">
        <v>1193250</v>
      </c>
      <c r="CB9" s="230">
        <v>2592750</v>
      </c>
      <c r="CC9" s="230">
        <v>-1399500</v>
      </c>
      <c r="CD9" s="229">
        <v>-0.53979999999999995</v>
      </c>
      <c r="CE9" s="230">
        <v>72051000</v>
      </c>
      <c r="CF9" s="230">
        <v>69084000</v>
      </c>
      <c r="CG9" s="230">
        <v>2967000</v>
      </c>
      <c r="CH9" s="229">
        <v>4.2900000000000001E-2</v>
      </c>
      <c r="CI9" s="230">
        <v>1302000</v>
      </c>
      <c r="CJ9" s="230">
        <v>1216500</v>
      </c>
      <c r="CK9" s="230">
        <v>85500</v>
      </c>
      <c r="CL9" s="229">
        <v>7.0300000000000001E-2</v>
      </c>
      <c r="CM9" s="230">
        <v>7968750</v>
      </c>
      <c r="CN9" s="230">
        <v>17652000</v>
      </c>
      <c r="CO9" s="230">
        <v>-9683250</v>
      </c>
      <c r="CP9" s="229">
        <v>-0.54859999999999998</v>
      </c>
      <c r="CQ9" s="230">
        <v>7205250</v>
      </c>
      <c r="CR9" s="230">
        <v>13152750</v>
      </c>
      <c r="CS9" s="230">
        <v>-5947500</v>
      </c>
      <c r="CT9" s="229">
        <v>-0.45219999999999999</v>
      </c>
      <c r="CU9" s="230">
        <v>88527000</v>
      </c>
      <c r="CV9" s="230">
        <v>103698000</v>
      </c>
      <c r="CW9" s="230">
        <v>-15171000</v>
      </c>
      <c r="CX9" s="229">
        <v>-0.14630000000000001</v>
      </c>
      <c r="CY9" s="228">
        <v>25.96</v>
      </c>
      <c r="CZ9" s="228">
        <v>26.28</v>
      </c>
      <c r="DA9" s="228">
        <v>-0.32</v>
      </c>
      <c r="DB9" s="228">
        <v>-0.32</v>
      </c>
      <c r="DC9" s="228">
        <v>35.159999999999997</v>
      </c>
      <c r="DD9" s="228">
        <v>35.200000000000003</v>
      </c>
      <c r="DE9" s="228">
        <v>-9.1999999999999993</v>
      </c>
      <c r="DF9" s="228">
        <v>-0.04</v>
      </c>
      <c r="DG9" s="228">
        <v>25.92</v>
      </c>
      <c r="DH9" s="228">
        <v>26.21</v>
      </c>
      <c r="DI9" s="228">
        <v>-0.28999999999999998</v>
      </c>
      <c r="DJ9" s="228">
        <v>-0.28999999999999998</v>
      </c>
      <c r="DK9" s="228">
        <v>26.03</v>
      </c>
      <c r="DL9" s="228">
        <v>26.39</v>
      </c>
      <c r="DM9" s="228">
        <v>-0.36</v>
      </c>
      <c r="DN9" s="228">
        <v>-0.36</v>
      </c>
      <c r="DO9" s="228">
        <v>0.9</v>
      </c>
      <c r="DP9" s="228">
        <v>0.75</v>
      </c>
      <c r="DQ9" s="228">
        <v>0.15</v>
      </c>
      <c r="DR9" s="229">
        <v>0.2</v>
      </c>
      <c r="DS9" s="228">
        <v>950</v>
      </c>
      <c r="DT9" s="228">
        <v>950</v>
      </c>
      <c r="DU9" s="228">
        <v>0.55000000000000004</v>
      </c>
      <c r="DV9" s="228">
        <v>0.52</v>
      </c>
      <c r="DW9" s="228">
        <v>0.03</v>
      </c>
      <c r="DX9" s="229">
        <v>5.7700000000000001E-2</v>
      </c>
      <c r="DY9" s="229">
        <v>0.98399999999999999</v>
      </c>
      <c r="DZ9" s="230">
        <v>70300500</v>
      </c>
      <c r="EA9" s="229">
        <v>-5.0000000000000001E-4</v>
      </c>
      <c r="EB9" s="229">
        <v>0.98399999999999999</v>
      </c>
      <c r="EC9" s="228">
        <v>-0.28000000000000003</v>
      </c>
      <c r="ED9" s="229">
        <v>-2.9999999999999997E-4</v>
      </c>
      <c r="EE9" s="230">
        <v>5240329</v>
      </c>
      <c r="EF9" s="230">
        <v>4090622</v>
      </c>
      <c r="EG9" s="229">
        <v>0.28110000000000002</v>
      </c>
      <c r="EH9" s="229">
        <v>0.59060000000000001</v>
      </c>
      <c r="EI9" s="231">
        <v>218101.37</v>
      </c>
      <c r="EJ9" s="231">
        <v>114149.32</v>
      </c>
      <c r="EK9" s="231">
        <v>122360.09</v>
      </c>
      <c r="EL9" s="231">
        <v>39911</v>
      </c>
      <c r="EM9" s="231">
        <v>454610.78</v>
      </c>
      <c r="EN9" s="231">
        <v>917361.6</v>
      </c>
      <c r="EO9" s="231">
        <v>-462750.82</v>
      </c>
      <c r="EP9" s="229">
        <v>-0.50439999999999996</v>
      </c>
      <c r="EQ9" s="231">
        <v>76321</v>
      </c>
      <c r="ER9" s="231">
        <v>66725</v>
      </c>
      <c r="ES9" s="231">
        <v>680878</v>
      </c>
      <c r="ET9" s="231">
        <v>387962395</v>
      </c>
      <c r="EU9" s="231">
        <v>823924</v>
      </c>
      <c r="EV9" s="231">
        <v>978247</v>
      </c>
      <c r="EW9" s="231">
        <v>-154323</v>
      </c>
      <c r="EX9" s="229">
        <v>-0.1578</v>
      </c>
      <c r="EY9" s="229">
        <v>0.22819999999999999</v>
      </c>
    </row>
    <row r="10" spans="1:155" ht="17.25" thickBot="1" x14ac:dyDescent="0.3">
      <c r="A10" s="226">
        <v>46168</v>
      </c>
      <c r="B10" s="227" t="s">
        <v>184</v>
      </c>
      <c r="C10" s="227" t="s">
        <v>185</v>
      </c>
      <c r="D10" s="228">
        <v>423.25</v>
      </c>
      <c r="E10" s="228">
        <v>424.25</v>
      </c>
      <c r="F10" s="228">
        <v>-1</v>
      </c>
      <c r="G10" s="229">
        <v>-2.3999999999999998E-3</v>
      </c>
      <c r="H10" s="228">
        <v>420.1</v>
      </c>
      <c r="I10" s="228">
        <v>421.85</v>
      </c>
      <c r="J10" s="228">
        <v>-1.75</v>
      </c>
      <c r="K10" s="229">
        <v>-4.1000000000000003E-3</v>
      </c>
      <c r="L10" s="228">
        <v>420.35</v>
      </c>
      <c r="M10" s="228">
        <v>421.75</v>
      </c>
      <c r="N10" s="228">
        <v>-1.4</v>
      </c>
      <c r="O10" s="229">
        <v>-3.3E-3</v>
      </c>
      <c r="P10" s="228">
        <v>423.25</v>
      </c>
      <c r="Q10" s="228">
        <v>424.25</v>
      </c>
      <c r="R10" s="228">
        <v>-1</v>
      </c>
      <c r="S10" s="229">
        <v>-2.3999999999999998E-3</v>
      </c>
      <c r="T10" s="228">
        <v>425.75</v>
      </c>
      <c r="U10" s="228">
        <v>426.75</v>
      </c>
      <c r="V10" s="228">
        <v>-1</v>
      </c>
      <c r="W10" s="229">
        <v>-2.3E-3</v>
      </c>
      <c r="X10" s="228">
        <v>3.15</v>
      </c>
      <c r="Y10" s="228">
        <v>-0.1</v>
      </c>
      <c r="Z10" s="228">
        <v>3.25</v>
      </c>
      <c r="AA10" s="229">
        <v>7.4999999999999997E-3</v>
      </c>
      <c r="AB10" s="228">
        <v>0.25</v>
      </c>
      <c r="AC10" s="228">
        <v>-0.1</v>
      </c>
      <c r="AD10" s="228">
        <v>0.35</v>
      </c>
      <c r="AE10" s="229">
        <v>5.9999999999999995E-4</v>
      </c>
      <c r="AF10" s="228">
        <v>3.15</v>
      </c>
      <c r="AG10" s="228">
        <v>2.4</v>
      </c>
      <c r="AH10" s="228">
        <v>0.75</v>
      </c>
      <c r="AI10" s="229">
        <v>7.4999999999999997E-3</v>
      </c>
      <c r="AJ10" s="228">
        <v>5.65</v>
      </c>
      <c r="AK10" s="228">
        <v>4.9000000000000004</v>
      </c>
      <c r="AL10" s="228">
        <v>0.75</v>
      </c>
      <c r="AM10" s="229">
        <v>1.34E-2</v>
      </c>
      <c r="AN10" s="228">
        <v>421.69</v>
      </c>
      <c r="AO10" s="228">
        <v>424.48</v>
      </c>
      <c r="AP10" s="228">
        <v>0</v>
      </c>
      <c r="AQ10" s="230">
        <v>33708</v>
      </c>
      <c r="AR10" s="230">
        <v>42449</v>
      </c>
      <c r="AS10" s="230">
        <v>-8741</v>
      </c>
      <c r="AT10" s="229">
        <v>-0.2059</v>
      </c>
      <c r="AU10" s="230">
        <v>15285</v>
      </c>
      <c r="AV10" s="230">
        <v>20708</v>
      </c>
      <c r="AW10" s="230">
        <v>-5423</v>
      </c>
      <c r="AX10" s="229">
        <v>-0.26190000000000002</v>
      </c>
      <c r="AY10" s="230">
        <v>17584</v>
      </c>
      <c r="AZ10" s="230">
        <v>21249</v>
      </c>
      <c r="BA10" s="230">
        <v>-3665</v>
      </c>
      <c r="BB10" s="229">
        <v>-0.17249999999999999</v>
      </c>
      <c r="BC10" s="228">
        <v>839</v>
      </c>
      <c r="BD10" s="228">
        <v>492</v>
      </c>
      <c r="BE10" s="228">
        <v>347</v>
      </c>
      <c r="BF10" s="229">
        <v>0.70530000000000004</v>
      </c>
      <c r="BG10" s="230">
        <v>37352</v>
      </c>
      <c r="BH10" s="230">
        <v>47294</v>
      </c>
      <c r="BI10" s="230">
        <v>-9942</v>
      </c>
      <c r="BJ10" s="229">
        <v>-0.2102</v>
      </c>
      <c r="BK10" s="230">
        <v>16712</v>
      </c>
      <c r="BL10" s="230">
        <v>19222</v>
      </c>
      <c r="BM10" s="230">
        <v>-2510</v>
      </c>
      <c r="BN10" s="229">
        <v>-0.13059999999999999</v>
      </c>
      <c r="BO10" s="230">
        <v>87772</v>
      </c>
      <c r="BP10" s="230">
        <v>108965</v>
      </c>
      <c r="BQ10" s="230">
        <v>-21193</v>
      </c>
      <c r="BR10" s="229">
        <v>-0.19450000000000001</v>
      </c>
      <c r="BS10" s="230">
        <v>12918938</v>
      </c>
      <c r="BT10" s="230">
        <v>9640444</v>
      </c>
      <c r="BU10" s="230">
        <v>3278494</v>
      </c>
      <c r="BV10" s="229">
        <v>0.34010000000000001</v>
      </c>
      <c r="BW10" s="230">
        <v>108348450</v>
      </c>
      <c r="BX10" s="230">
        <v>116181675</v>
      </c>
      <c r="BY10" s="230">
        <v>-7833225</v>
      </c>
      <c r="BZ10" s="229">
        <v>-6.7400000000000002E-2</v>
      </c>
      <c r="CA10" s="230">
        <v>7938675</v>
      </c>
      <c r="CB10" s="230">
        <v>24377475</v>
      </c>
      <c r="CC10" s="230">
        <v>-16438800</v>
      </c>
      <c r="CD10" s="229">
        <v>-0.67430000000000001</v>
      </c>
      <c r="CE10" s="230">
        <v>104824425</v>
      </c>
      <c r="CF10" s="230">
        <v>89039700</v>
      </c>
      <c r="CG10" s="230">
        <v>15784725</v>
      </c>
      <c r="CH10" s="229">
        <v>0.17730000000000001</v>
      </c>
      <c r="CI10" s="230">
        <v>3524025</v>
      </c>
      <c r="CJ10" s="230">
        <v>2764500</v>
      </c>
      <c r="CK10" s="230">
        <v>759525</v>
      </c>
      <c r="CL10" s="229">
        <v>0.2747</v>
      </c>
      <c r="CM10" s="230">
        <v>24702375</v>
      </c>
      <c r="CN10" s="230">
        <v>61018500</v>
      </c>
      <c r="CO10" s="230">
        <v>-36316125</v>
      </c>
      <c r="CP10" s="229">
        <v>-0.59519999999999995</v>
      </c>
      <c r="CQ10" s="230">
        <v>19997025</v>
      </c>
      <c r="CR10" s="230">
        <v>34720125</v>
      </c>
      <c r="CS10" s="230">
        <v>-14723100</v>
      </c>
      <c r="CT10" s="229">
        <v>-0.42409999999999998</v>
      </c>
      <c r="CU10" s="230">
        <v>153047850</v>
      </c>
      <c r="CV10" s="230">
        <v>211920300</v>
      </c>
      <c r="CW10" s="230">
        <v>-58872450</v>
      </c>
      <c r="CX10" s="229">
        <v>-0.27779999999999999</v>
      </c>
      <c r="CY10" s="228">
        <v>25.18</v>
      </c>
      <c r="CZ10" s="228">
        <v>26.15</v>
      </c>
      <c r="DA10" s="228">
        <v>-0.97</v>
      </c>
      <c r="DB10" s="228">
        <v>-0.97</v>
      </c>
      <c r="DC10" s="228">
        <v>36.01</v>
      </c>
      <c r="DD10" s="228">
        <v>36.1</v>
      </c>
      <c r="DE10" s="228">
        <v>-10.83</v>
      </c>
      <c r="DF10" s="228">
        <v>-0.09</v>
      </c>
      <c r="DG10" s="228">
        <v>25.42</v>
      </c>
      <c r="DH10" s="228">
        <v>26.41</v>
      </c>
      <c r="DI10" s="228">
        <v>-0.99</v>
      </c>
      <c r="DJ10" s="228">
        <v>-0.99</v>
      </c>
      <c r="DK10" s="228">
        <v>24.73</v>
      </c>
      <c r="DL10" s="228">
        <v>25.74</v>
      </c>
      <c r="DM10" s="228">
        <v>-1.01</v>
      </c>
      <c r="DN10" s="228">
        <v>-1.01</v>
      </c>
      <c r="DO10" s="228">
        <v>0.81</v>
      </c>
      <c r="DP10" s="228">
        <v>0.56999999999999995</v>
      </c>
      <c r="DQ10" s="228">
        <v>0.24</v>
      </c>
      <c r="DR10" s="229">
        <v>0.42109999999999997</v>
      </c>
      <c r="DS10" s="228">
        <v>440</v>
      </c>
      <c r="DT10" s="228">
        <v>420</v>
      </c>
      <c r="DU10" s="228">
        <v>0.45</v>
      </c>
      <c r="DV10" s="228">
        <v>0.41</v>
      </c>
      <c r="DW10" s="228">
        <v>0.04</v>
      </c>
      <c r="DX10" s="229">
        <v>9.7600000000000006E-2</v>
      </c>
      <c r="DY10" s="229">
        <v>0.93169999999999997</v>
      </c>
      <c r="DZ10" s="230">
        <v>91804200</v>
      </c>
      <c r="EA10" s="229">
        <v>6.8999999999999999E-3</v>
      </c>
      <c r="EB10" s="229">
        <v>0.93169999999999997</v>
      </c>
      <c r="EC10" s="228">
        <v>2.79</v>
      </c>
      <c r="ED10" s="229">
        <v>6.6E-3</v>
      </c>
      <c r="EE10" s="230">
        <v>6605374</v>
      </c>
      <c r="EF10" s="230">
        <v>5411007</v>
      </c>
      <c r="EG10" s="229">
        <v>0.22070000000000001</v>
      </c>
      <c r="EH10" s="229">
        <v>0.51129999999999998</v>
      </c>
      <c r="EI10" s="231">
        <v>234816</v>
      </c>
      <c r="EJ10" s="231">
        <v>102446</v>
      </c>
      <c r="EK10" s="231">
        <v>203315.46</v>
      </c>
      <c r="EL10" s="231">
        <v>31903</v>
      </c>
      <c r="EM10" s="231">
        <v>540577.46</v>
      </c>
      <c r="EN10" s="231">
        <v>664574.36</v>
      </c>
      <c r="EO10" s="231">
        <v>-123996.9</v>
      </c>
      <c r="EP10" s="229">
        <v>-0.18659999999999999</v>
      </c>
      <c r="EQ10" s="231">
        <v>109524</v>
      </c>
      <c r="ER10" s="231">
        <v>83461</v>
      </c>
      <c r="ES10" s="231">
        <v>458673</v>
      </c>
      <c r="ET10" s="231">
        <v>535778534</v>
      </c>
      <c r="EU10" s="231">
        <v>651658</v>
      </c>
      <c r="EV10" s="231">
        <v>913111</v>
      </c>
      <c r="EW10" s="231">
        <v>-261453</v>
      </c>
      <c r="EX10" s="229">
        <v>-0.2863</v>
      </c>
      <c r="EY10" s="229">
        <v>0.28570000000000001</v>
      </c>
    </row>
    <row r="11" spans="1:155" ht="17.25" thickBot="1" x14ac:dyDescent="0.3">
      <c r="A11" s="226">
        <v>46168</v>
      </c>
      <c r="B11" s="227" t="s">
        <v>188</v>
      </c>
      <c r="C11" s="227" t="s">
        <v>189</v>
      </c>
      <c r="D11" s="231">
        <v>1861.7</v>
      </c>
      <c r="E11" s="231">
        <v>1889.6</v>
      </c>
      <c r="F11" s="228">
        <v>-27.9</v>
      </c>
      <c r="G11" s="229">
        <v>-1.4800000000000001E-2</v>
      </c>
      <c r="H11" s="231">
        <v>1846.9</v>
      </c>
      <c r="I11" s="231">
        <v>1874.8</v>
      </c>
      <c r="J11" s="228">
        <v>-27.9</v>
      </c>
      <c r="K11" s="229">
        <v>-1.49E-2</v>
      </c>
      <c r="L11" s="231">
        <v>1846</v>
      </c>
      <c r="M11" s="231">
        <v>1877.7</v>
      </c>
      <c r="N11" s="228">
        <v>-31.7</v>
      </c>
      <c r="O11" s="229">
        <v>-1.6899999999999998E-2</v>
      </c>
      <c r="P11" s="231">
        <v>1861.7</v>
      </c>
      <c r="Q11" s="231">
        <v>1889.6</v>
      </c>
      <c r="R11" s="228">
        <v>-27.9</v>
      </c>
      <c r="S11" s="229">
        <v>-1.4800000000000001E-2</v>
      </c>
      <c r="T11" s="231">
        <v>1863</v>
      </c>
      <c r="U11" s="231">
        <v>1887.8</v>
      </c>
      <c r="V11" s="228">
        <v>-24.8</v>
      </c>
      <c r="W11" s="229">
        <v>-1.3100000000000001E-2</v>
      </c>
      <c r="X11" s="228">
        <v>14.8</v>
      </c>
      <c r="Y11" s="228">
        <v>2.9</v>
      </c>
      <c r="Z11" s="228">
        <v>11.9</v>
      </c>
      <c r="AA11" s="229">
        <v>8.0000000000000002E-3</v>
      </c>
      <c r="AB11" s="228">
        <v>-0.9</v>
      </c>
      <c r="AC11" s="228">
        <v>2.9</v>
      </c>
      <c r="AD11" s="228">
        <v>-3.8</v>
      </c>
      <c r="AE11" s="229">
        <v>-5.0000000000000001E-4</v>
      </c>
      <c r="AF11" s="228">
        <v>14.8</v>
      </c>
      <c r="AG11" s="228">
        <v>14.8</v>
      </c>
      <c r="AH11" s="228">
        <v>0</v>
      </c>
      <c r="AI11" s="229">
        <v>8.0000000000000002E-3</v>
      </c>
      <c r="AJ11" s="228">
        <v>16.100000000000001</v>
      </c>
      <c r="AK11" s="228">
        <v>13</v>
      </c>
      <c r="AL11" s="228">
        <v>3.1</v>
      </c>
      <c r="AM11" s="229">
        <v>8.6999999999999994E-3</v>
      </c>
      <c r="AN11" s="231">
        <v>1859.52</v>
      </c>
      <c r="AO11" s="231">
        <v>1873.28</v>
      </c>
      <c r="AP11" s="228">
        <v>0</v>
      </c>
      <c r="AQ11" s="230">
        <v>27132</v>
      </c>
      <c r="AR11" s="230">
        <v>52516</v>
      </c>
      <c r="AS11" s="230">
        <v>-25384</v>
      </c>
      <c r="AT11" s="229">
        <v>-0.4834</v>
      </c>
      <c r="AU11" s="230">
        <v>10013</v>
      </c>
      <c r="AV11" s="230">
        <v>24268</v>
      </c>
      <c r="AW11" s="230">
        <v>-14255</v>
      </c>
      <c r="AX11" s="229">
        <v>-0.58740000000000003</v>
      </c>
      <c r="AY11" s="230">
        <v>16648</v>
      </c>
      <c r="AZ11" s="230">
        <v>27935</v>
      </c>
      <c r="BA11" s="230">
        <v>-11287</v>
      </c>
      <c r="BB11" s="229">
        <v>-0.40400000000000003</v>
      </c>
      <c r="BC11" s="228">
        <v>471</v>
      </c>
      <c r="BD11" s="228">
        <v>313</v>
      </c>
      <c r="BE11" s="228">
        <v>158</v>
      </c>
      <c r="BF11" s="229">
        <v>0.50480000000000003</v>
      </c>
      <c r="BG11" s="230">
        <v>32913</v>
      </c>
      <c r="BH11" s="230">
        <v>62094</v>
      </c>
      <c r="BI11" s="230">
        <v>-29181</v>
      </c>
      <c r="BJ11" s="229">
        <v>-0.46989999999999998</v>
      </c>
      <c r="BK11" s="230">
        <v>18279</v>
      </c>
      <c r="BL11" s="230">
        <v>34586</v>
      </c>
      <c r="BM11" s="230">
        <v>-16307</v>
      </c>
      <c r="BN11" s="229">
        <v>-0.47149999999999997</v>
      </c>
      <c r="BO11" s="230">
        <v>78324</v>
      </c>
      <c r="BP11" s="230">
        <v>149196</v>
      </c>
      <c r="BQ11" s="230">
        <v>-70872</v>
      </c>
      <c r="BR11" s="229">
        <v>-0.47499999999999998</v>
      </c>
      <c r="BS11" s="230">
        <v>5942370</v>
      </c>
      <c r="BT11" s="230">
        <v>6040945</v>
      </c>
      <c r="BU11" s="230">
        <v>-98575</v>
      </c>
      <c r="BV11" s="229">
        <v>-1.6299999999999999E-2</v>
      </c>
      <c r="BW11" s="230">
        <v>57618450</v>
      </c>
      <c r="BX11" s="230">
        <v>57594700</v>
      </c>
      <c r="BY11" s="230">
        <v>23750</v>
      </c>
      <c r="BZ11" s="229">
        <v>4.0000000000000002E-4</v>
      </c>
      <c r="CA11" s="230">
        <v>4581850</v>
      </c>
      <c r="CB11" s="230">
        <v>5287225</v>
      </c>
      <c r="CC11" s="230">
        <v>-705375</v>
      </c>
      <c r="CD11" s="229">
        <v>-0.13339999999999999</v>
      </c>
      <c r="CE11" s="230">
        <v>56990975</v>
      </c>
      <c r="CF11" s="230">
        <v>51831050</v>
      </c>
      <c r="CG11" s="230">
        <v>5159925</v>
      </c>
      <c r="CH11" s="229">
        <v>9.9599999999999994E-2</v>
      </c>
      <c r="CI11" s="230">
        <v>627475</v>
      </c>
      <c r="CJ11" s="230">
        <v>476425</v>
      </c>
      <c r="CK11" s="230">
        <v>151050</v>
      </c>
      <c r="CL11" s="229">
        <v>0.317</v>
      </c>
      <c r="CM11" s="230">
        <v>7433750</v>
      </c>
      <c r="CN11" s="230">
        <v>24047350</v>
      </c>
      <c r="CO11" s="230">
        <v>-16613600</v>
      </c>
      <c r="CP11" s="229">
        <v>-0.69089999999999996</v>
      </c>
      <c r="CQ11" s="230">
        <v>3993800</v>
      </c>
      <c r="CR11" s="230">
        <v>12346200</v>
      </c>
      <c r="CS11" s="230">
        <v>-8352400</v>
      </c>
      <c r="CT11" s="229">
        <v>-0.67649999999999999</v>
      </c>
      <c r="CU11" s="230">
        <v>69046000</v>
      </c>
      <c r="CV11" s="230">
        <v>93988250</v>
      </c>
      <c r="CW11" s="230">
        <v>-24942250</v>
      </c>
      <c r="CX11" s="229">
        <v>-0.26540000000000002</v>
      </c>
      <c r="CY11" s="228">
        <v>18.899999999999999</v>
      </c>
      <c r="CZ11" s="228">
        <v>18.88</v>
      </c>
      <c r="DA11" s="228">
        <v>0.02</v>
      </c>
      <c r="DB11" s="228">
        <v>0.02</v>
      </c>
      <c r="DC11" s="228">
        <v>25.66</v>
      </c>
      <c r="DD11" s="228">
        <v>25.65</v>
      </c>
      <c r="DE11" s="228">
        <v>-6.76</v>
      </c>
      <c r="DF11" s="228">
        <v>0.01</v>
      </c>
      <c r="DG11" s="228">
        <v>19.22</v>
      </c>
      <c r="DH11" s="228">
        <v>18.86</v>
      </c>
      <c r="DI11" s="228">
        <v>0.36</v>
      </c>
      <c r="DJ11" s="228">
        <v>0.36</v>
      </c>
      <c r="DK11" s="228">
        <v>18.329999999999998</v>
      </c>
      <c r="DL11" s="228">
        <v>18.93</v>
      </c>
      <c r="DM11" s="228">
        <v>-0.6</v>
      </c>
      <c r="DN11" s="228">
        <v>-0.6</v>
      </c>
      <c r="DO11" s="228">
        <v>0.54</v>
      </c>
      <c r="DP11" s="228">
        <v>0.51</v>
      </c>
      <c r="DQ11" s="228">
        <v>0.03</v>
      </c>
      <c r="DR11" s="229">
        <v>5.8799999999999998E-2</v>
      </c>
      <c r="DS11" s="231">
        <v>1920</v>
      </c>
      <c r="DT11" s="231">
        <v>1800</v>
      </c>
      <c r="DU11" s="228">
        <v>0.56000000000000005</v>
      </c>
      <c r="DV11" s="228">
        <v>0.56000000000000005</v>
      </c>
      <c r="DW11" s="228">
        <v>0</v>
      </c>
      <c r="DX11" s="229">
        <v>0</v>
      </c>
      <c r="DY11" s="229">
        <v>0.92630000000000001</v>
      </c>
      <c r="DZ11" s="230">
        <v>52307475</v>
      </c>
      <c r="EA11" s="229">
        <v>8.5000000000000006E-3</v>
      </c>
      <c r="EB11" s="229">
        <v>0.92630000000000001</v>
      </c>
      <c r="EC11" s="228">
        <v>13.76</v>
      </c>
      <c r="ED11" s="229">
        <v>7.4000000000000003E-3</v>
      </c>
      <c r="EE11" s="230">
        <v>3804471</v>
      </c>
      <c r="EF11" s="230">
        <v>4574795</v>
      </c>
      <c r="EG11" s="229">
        <v>-0.16839999999999999</v>
      </c>
      <c r="EH11" s="229">
        <v>0.64019999999999999</v>
      </c>
      <c r="EI11" s="231">
        <v>302090.84999999998</v>
      </c>
      <c r="EJ11" s="231">
        <v>163503.88</v>
      </c>
      <c r="EK11" s="231">
        <v>240763.49</v>
      </c>
      <c r="EL11" s="231">
        <v>40820</v>
      </c>
      <c r="EM11" s="231">
        <v>706358.22</v>
      </c>
      <c r="EN11" s="231">
        <v>1343396.86</v>
      </c>
      <c r="EO11" s="231">
        <v>-637038.64</v>
      </c>
      <c r="EP11" s="229">
        <v>-0.47420000000000001</v>
      </c>
      <c r="EQ11" s="231">
        <v>144986</v>
      </c>
      <c r="ER11" s="231">
        <v>74665</v>
      </c>
      <c r="ES11" s="231">
        <v>1072691</v>
      </c>
      <c r="ET11" s="231">
        <v>342859930</v>
      </c>
      <c r="EU11" s="231">
        <v>1292341</v>
      </c>
      <c r="EV11" s="231">
        <v>1775354</v>
      </c>
      <c r="EW11" s="231">
        <v>-483013</v>
      </c>
      <c r="EX11" s="229">
        <v>-0.27210000000000001</v>
      </c>
      <c r="EY11" s="229">
        <v>0.2014</v>
      </c>
    </row>
    <row r="12" spans="1:155" ht="17.25" thickBot="1" x14ac:dyDescent="0.3">
      <c r="A12" s="226">
        <v>46168</v>
      </c>
      <c r="B12" s="227" t="s">
        <v>170</v>
      </c>
      <c r="C12" s="227" t="s">
        <v>199</v>
      </c>
      <c r="D12" s="231">
        <v>1417</v>
      </c>
      <c r="E12" s="231">
        <v>1411.9</v>
      </c>
      <c r="F12" s="228">
        <v>5.0999999999999996</v>
      </c>
      <c r="G12" s="229">
        <v>3.5999999999999999E-3</v>
      </c>
      <c r="H12" s="231">
        <v>1417.5</v>
      </c>
      <c r="I12" s="231">
        <v>1413.9</v>
      </c>
      <c r="J12" s="228">
        <v>3.6</v>
      </c>
      <c r="K12" s="229">
        <v>2.5000000000000001E-3</v>
      </c>
      <c r="L12" s="231">
        <v>1419.6</v>
      </c>
      <c r="M12" s="231">
        <v>1412.6</v>
      </c>
      <c r="N12" s="228">
        <v>7</v>
      </c>
      <c r="O12" s="229">
        <v>5.0000000000000001E-3</v>
      </c>
      <c r="P12" s="231">
        <v>1417</v>
      </c>
      <c r="Q12" s="231">
        <v>1411.9</v>
      </c>
      <c r="R12" s="228">
        <v>5.0999999999999996</v>
      </c>
      <c r="S12" s="229">
        <v>3.5999999999999999E-3</v>
      </c>
      <c r="T12" s="231">
        <v>1423</v>
      </c>
      <c r="U12" s="231">
        <v>1420.9</v>
      </c>
      <c r="V12" s="228">
        <v>2.1</v>
      </c>
      <c r="W12" s="229">
        <v>1.5E-3</v>
      </c>
      <c r="X12" s="228">
        <v>-0.5</v>
      </c>
      <c r="Y12" s="228">
        <v>-1.3</v>
      </c>
      <c r="Z12" s="228">
        <v>0.8</v>
      </c>
      <c r="AA12" s="229">
        <v>-4.0000000000000002E-4</v>
      </c>
      <c r="AB12" s="228">
        <v>2.1</v>
      </c>
      <c r="AC12" s="228">
        <v>-1.3</v>
      </c>
      <c r="AD12" s="228">
        <v>3.4</v>
      </c>
      <c r="AE12" s="229">
        <v>1.5E-3</v>
      </c>
      <c r="AF12" s="228">
        <v>-0.5</v>
      </c>
      <c r="AG12" s="228">
        <v>-2</v>
      </c>
      <c r="AH12" s="228">
        <v>1.5</v>
      </c>
      <c r="AI12" s="229">
        <v>-4.0000000000000002E-4</v>
      </c>
      <c r="AJ12" s="228">
        <v>5.5</v>
      </c>
      <c r="AK12" s="228">
        <v>7</v>
      </c>
      <c r="AL12" s="228">
        <v>-1.5</v>
      </c>
      <c r="AM12" s="229">
        <v>3.8999999999999998E-3</v>
      </c>
      <c r="AN12" s="231">
        <v>1415.77</v>
      </c>
      <c r="AO12" s="231">
        <v>1414.64</v>
      </c>
      <c r="AP12" s="228">
        <v>0</v>
      </c>
      <c r="AQ12" s="230">
        <v>9577</v>
      </c>
      <c r="AR12" s="230">
        <v>20267</v>
      </c>
      <c r="AS12" s="230">
        <v>-10690</v>
      </c>
      <c r="AT12" s="229">
        <v>-0.52749999999999997</v>
      </c>
      <c r="AU12" s="230">
        <v>4803</v>
      </c>
      <c r="AV12" s="230">
        <v>9611</v>
      </c>
      <c r="AW12" s="230">
        <v>-4808</v>
      </c>
      <c r="AX12" s="229">
        <v>-0.50029999999999997</v>
      </c>
      <c r="AY12" s="230">
        <v>4738</v>
      </c>
      <c r="AZ12" s="230">
        <v>10612</v>
      </c>
      <c r="BA12" s="230">
        <v>-5874</v>
      </c>
      <c r="BB12" s="229">
        <v>-0.55349999999999999</v>
      </c>
      <c r="BC12" s="228">
        <v>36</v>
      </c>
      <c r="BD12" s="228">
        <v>44</v>
      </c>
      <c r="BE12" s="228">
        <v>-8</v>
      </c>
      <c r="BF12" s="229">
        <v>-0.18179999999999999</v>
      </c>
      <c r="BG12" s="230">
        <v>16661</v>
      </c>
      <c r="BH12" s="230">
        <v>35777</v>
      </c>
      <c r="BI12" s="230">
        <v>-19116</v>
      </c>
      <c r="BJ12" s="229">
        <v>-0.5343</v>
      </c>
      <c r="BK12" s="230">
        <v>11778</v>
      </c>
      <c r="BL12" s="230">
        <v>18130</v>
      </c>
      <c r="BM12" s="230">
        <v>-6352</v>
      </c>
      <c r="BN12" s="229">
        <v>-0.35039999999999999</v>
      </c>
      <c r="BO12" s="230">
        <v>38016</v>
      </c>
      <c r="BP12" s="230">
        <v>74174</v>
      </c>
      <c r="BQ12" s="230">
        <v>-36158</v>
      </c>
      <c r="BR12" s="229">
        <v>-0.48749999999999999</v>
      </c>
      <c r="BS12" s="230">
        <v>1398842</v>
      </c>
      <c r="BT12" s="230">
        <v>695262</v>
      </c>
      <c r="BU12" s="230">
        <v>703580</v>
      </c>
      <c r="BV12" s="229">
        <v>1.012</v>
      </c>
      <c r="BW12" s="230">
        <v>14782050</v>
      </c>
      <c r="BX12" s="230">
        <v>16247250</v>
      </c>
      <c r="BY12" s="230">
        <v>-1465200</v>
      </c>
      <c r="BZ12" s="229">
        <v>-9.0200000000000002E-2</v>
      </c>
      <c r="CA12" s="230">
        <v>1837125</v>
      </c>
      <c r="CB12" s="230">
        <v>2278500</v>
      </c>
      <c r="CC12" s="230">
        <v>-441375</v>
      </c>
      <c r="CD12" s="229">
        <v>-0.19370000000000001</v>
      </c>
      <c r="CE12" s="230">
        <v>13122000</v>
      </c>
      <c r="CF12" s="230">
        <v>12311250</v>
      </c>
      <c r="CG12" s="230">
        <v>810750</v>
      </c>
      <c r="CH12" s="229">
        <v>6.59E-2</v>
      </c>
      <c r="CI12" s="230">
        <v>1660050</v>
      </c>
      <c r="CJ12" s="230">
        <v>1657500</v>
      </c>
      <c r="CK12" s="230">
        <v>2550</v>
      </c>
      <c r="CL12" s="229">
        <v>1.5E-3</v>
      </c>
      <c r="CM12" s="230">
        <v>1738050</v>
      </c>
      <c r="CN12" s="230">
        <v>8258175</v>
      </c>
      <c r="CO12" s="230">
        <v>-6520125</v>
      </c>
      <c r="CP12" s="229">
        <v>-0.78949999999999998</v>
      </c>
      <c r="CQ12" s="230">
        <v>1439250</v>
      </c>
      <c r="CR12" s="230">
        <v>7561125</v>
      </c>
      <c r="CS12" s="230">
        <v>-6121875</v>
      </c>
      <c r="CT12" s="229">
        <v>-0.80969999999999998</v>
      </c>
      <c r="CU12" s="230">
        <v>17959350</v>
      </c>
      <c r="CV12" s="230">
        <v>32066550</v>
      </c>
      <c r="CW12" s="230">
        <v>-14107200</v>
      </c>
      <c r="CX12" s="229">
        <v>-0.43990000000000001</v>
      </c>
      <c r="CY12" s="228">
        <v>20.82</v>
      </c>
      <c r="CZ12" s="228">
        <v>22.13</v>
      </c>
      <c r="DA12" s="228">
        <v>-1.31</v>
      </c>
      <c r="DB12" s="228">
        <v>-1.31</v>
      </c>
      <c r="DC12" s="228">
        <v>27.78</v>
      </c>
      <c r="DD12" s="228">
        <v>27.85</v>
      </c>
      <c r="DE12" s="228">
        <v>-6.96</v>
      </c>
      <c r="DF12" s="228">
        <v>-7.0000000000000007E-2</v>
      </c>
      <c r="DG12" s="228">
        <v>20.079999999999998</v>
      </c>
      <c r="DH12" s="228">
        <v>21.99</v>
      </c>
      <c r="DI12" s="228">
        <v>-1.91</v>
      </c>
      <c r="DJ12" s="228">
        <v>-1.91</v>
      </c>
      <c r="DK12" s="228">
        <v>21.97</v>
      </c>
      <c r="DL12" s="228">
        <v>22.35</v>
      </c>
      <c r="DM12" s="228">
        <v>-0.38</v>
      </c>
      <c r="DN12" s="228">
        <v>-0.38</v>
      </c>
      <c r="DO12" s="228">
        <v>0.83</v>
      </c>
      <c r="DP12" s="228">
        <v>0.92</v>
      </c>
      <c r="DQ12" s="228">
        <v>-0.09</v>
      </c>
      <c r="DR12" s="229">
        <v>-9.7799999999999998E-2</v>
      </c>
      <c r="DS12" s="231">
        <v>1420</v>
      </c>
      <c r="DT12" s="231">
        <v>1300</v>
      </c>
      <c r="DU12" s="228">
        <v>0.71</v>
      </c>
      <c r="DV12" s="228">
        <v>0.51</v>
      </c>
      <c r="DW12" s="228">
        <v>0.2</v>
      </c>
      <c r="DX12" s="229">
        <v>0.39219999999999999</v>
      </c>
      <c r="DY12" s="229">
        <v>0.88949999999999996</v>
      </c>
      <c r="DZ12" s="230">
        <v>13968750</v>
      </c>
      <c r="EA12" s="229">
        <v>-1.8E-3</v>
      </c>
      <c r="EB12" s="229">
        <v>0.88949999999999996</v>
      </c>
      <c r="EC12" s="228">
        <v>-1.1299999999999999</v>
      </c>
      <c r="ED12" s="229">
        <v>-8.0000000000000004E-4</v>
      </c>
      <c r="EE12" s="230">
        <v>946298</v>
      </c>
      <c r="EF12" s="230">
        <v>359658</v>
      </c>
      <c r="EG12" s="229">
        <v>1.6311</v>
      </c>
      <c r="EH12" s="229">
        <v>0.67649999999999999</v>
      </c>
      <c r="EI12" s="231">
        <v>90400.52</v>
      </c>
      <c r="EJ12" s="231">
        <v>61231.21</v>
      </c>
      <c r="EK12" s="231">
        <v>50851.94</v>
      </c>
      <c r="EL12" s="231">
        <v>17312</v>
      </c>
      <c r="EM12" s="231">
        <v>202483.67</v>
      </c>
      <c r="EN12" s="231">
        <v>393050.8</v>
      </c>
      <c r="EO12" s="231">
        <v>-190567.13</v>
      </c>
      <c r="EP12" s="229">
        <v>-0.48480000000000001</v>
      </c>
      <c r="EQ12" s="231">
        <v>25018</v>
      </c>
      <c r="ER12" s="231">
        <v>19550</v>
      </c>
      <c r="ES12" s="231">
        <v>209561</v>
      </c>
      <c r="ET12" s="231">
        <v>76385219</v>
      </c>
      <c r="EU12" s="231">
        <v>254129</v>
      </c>
      <c r="EV12" s="231">
        <v>447111</v>
      </c>
      <c r="EW12" s="231">
        <v>-192982</v>
      </c>
      <c r="EX12" s="229">
        <v>-0.43159999999999998</v>
      </c>
      <c r="EY12" s="229">
        <v>0.2351</v>
      </c>
    </row>
    <row r="13" spans="1:155" ht="17.25" thickBot="1" x14ac:dyDescent="0.3">
      <c r="A13" s="226">
        <v>46168</v>
      </c>
      <c r="B13" s="227" t="s">
        <v>227</v>
      </c>
      <c r="C13" s="227" t="s">
        <v>200</v>
      </c>
      <c r="D13" s="228">
        <v>456.55</v>
      </c>
      <c r="E13" s="228">
        <v>460.1</v>
      </c>
      <c r="F13" s="228">
        <v>-3.55</v>
      </c>
      <c r="G13" s="229">
        <v>-7.7000000000000002E-3</v>
      </c>
      <c r="H13" s="228">
        <v>458.15</v>
      </c>
      <c r="I13" s="228">
        <v>458</v>
      </c>
      <c r="J13" s="228">
        <v>0.15</v>
      </c>
      <c r="K13" s="229">
        <v>2.9999999999999997E-4</v>
      </c>
      <c r="L13" s="228">
        <v>458.75</v>
      </c>
      <c r="M13" s="228">
        <v>460.1</v>
      </c>
      <c r="N13" s="228">
        <v>-1.35</v>
      </c>
      <c r="O13" s="229">
        <v>-2.8999999999999998E-3</v>
      </c>
      <c r="P13" s="228">
        <v>456.55</v>
      </c>
      <c r="Q13" s="228">
        <v>460.1</v>
      </c>
      <c r="R13" s="228">
        <v>-3.55</v>
      </c>
      <c r="S13" s="229">
        <v>-7.7000000000000002E-3</v>
      </c>
      <c r="T13" s="228">
        <v>457</v>
      </c>
      <c r="U13" s="228">
        <v>460.65</v>
      </c>
      <c r="V13" s="228">
        <v>-3.65</v>
      </c>
      <c r="W13" s="229">
        <v>-7.9000000000000008E-3</v>
      </c>
      <c r="X13" s="228">
        <v>-1.6</v>
      </c>
      <c r="Y13" s="228">
        <v>2.1</v>
      </c>
      <c r="Z13" s="228">
        <v>-3.7</v>
      </c>
      <c r="AA13" s="229">
        <v>-3.5000000000000001E-3</v>
      </c>
      <c r="AB13" s="228">
        <v>0.6</v>
      </c>
      <c r="AC13" s="228">
        <v>2.1</v>
      </c>
      <c r="AD13" s="228">
        <v>-1.5</v>
      </c>
      <c r="AE13" s="229">
        <v>1.2999999999999999E-3</v>
      </c>
      <c r="AF13" s="228">
        <v>-1.6</v>
      </c>
      <c r="AG13" s="228">
        <v>2.1</v>
      </c>
      <c r="AH13" s="228">
        <v>-3.7</v>
      </c>
      <c r="AI13" s="229">
        <v>-3.5000000000000001E-3</v>
      </c>
      <c r="AJ13" s="228">
        <v>-1.1499999999999999</v>
      </c>
      <c r="AK13" s="228">
        <v>2.65</v>
      </c>
      <c r="AL13" s="228">
        <v>-3.8</v>
      </c>
      <c r="AM13" s="229">
        <v>-2.5000000000000001E-3</v>
      </c>
      <c r="AN13" s="228">
        <v>466.64</v>
      </c>
      <c r="AO13" s="228">
        <v>466.13</v>
      </c>
      <c r="AP13" s="228">
        <v>0</v>
      </c>
      <c r="AQ13" s="230">
        <v>32989</v>
      </c>
      <c r="AR13" s="230">
        <v>27341</v>
      </c>
      <c r="AS13" s="230">
        <v>5648</v>
      </c>
      <c r="AT13" s="229">
        <v>0.20660000000000001</v>
      </c>
      <c r="AU13" s="230">
        <v>9032</v>
      </c>
      <c r="AV13" s="230">
        <v>13163</v>
      </c>
      <c r="AW13" s="230">
        <v>-4131</v>
      </c>
      <c r="AX13" s="229">
        <v>-0.31380000000000002</v>
      </c>
      <c r="AY13" s="230">
        <v>23391</v>
      </c>
      <c r="AZ13" s="230">
        <v>14034</v>
      </c>
      <c r="BA13" s="230">
        <v>9357</v>
      </c>
      <c r="BB13" s="229">
        <v>0.66669999999999996</v>
      </c>
      <c r="BC13" s="228">
        <v>566</v>
      </c>
      <c r="BD13" s="228">
        <v>144</v>
      </c>
      <c r="BE13" s="228">
        <v>422</v>
      </c>
      <c r="BF13" s="229">
        <v>2.9306000000000001</v>
      </c>
      <c r="BG13" s="230">
        <v>74000</v>
      </c>
      <c r="BH13" s="230">
        <v>23489</v>
      </c>
      <c r="BI13" s="230">
        <v>50511</v>
      </c>
      <c r="BJ13" s="229">
        <v>2.1503999999999999</v>
      </c>
      <c r="BK13" s="230">
        <v>48351</v>
      </c>
      <c r="BL13" s="230">
        <v>20685</v>
      </c>
      <c r="BM13" s="230">
        <v>27666</v>
      </c>
      <c r="BN13" s="229">
        <v>1.3374999999999999</v>
      </c>
      <c r="BO13" s="230">
        <v>155340</v>
      </c>
      <c r="BP13" s="230">
        <v>71515</v>
      </c>
      <c r="BQ13" s="230">
        <v>83825</v>
      </c>
      <c r="BR13" s="229">
        <v>1.1720999999999999</v>
      </c>
      <c r="BS13" s="230">
        <v>18168918</v>
      </c>
      <c r="BT13" s="230">
        <v>8650635</v>
      </c>
      <c r="BU13" s="230">
        <v>9518283</v>
      </c>
      <c r="BV13" s="229">
        <v>1.1003000000000001</v>
      </c>
      <c r="BW13" s="230">
        <v>57056400</v>
      </c>
      <c r="BX13" s="230">
        <v>58098600</v>
      </c>
      <c r="BY13" s="230">
        <v>-1042200</v>
      </c>
      <c r="BZ13" s="229">
        <v>-1.7899999999999999E-2</v>
      </c>
      <c r="CA13" s="230">
        <v>4252500</v>
      </c>
      <c r="CB13" s="230">
        <v>6910650</v>
      </c>
      <c r="CC13" s="230">
        <v>-2658150</v>
      </c>
      <c r="CD13" s="229">
        <v>-0.3846</v>
      </c>
      <c r="CE13" s="230">
        <v>56485350</v>
      </c>
      <c r="CF13" s="230">
        <v>50718150</v>
      </c>
      <c r="CG13" s="230">
        <v>5767200</v>
      </c>
      <c r="CH13" s="229">
        <v>0.1137</v>
      </c>
      <c r="CI13" s="230">
        <v>571050</v>
      </c>
      <c r="CJ13" s="230">
        <v>469800</v>
      </c>
      <c r="CK13" s="230">
        <v>101250</v>
      </c>
      <c r="CL13" s="229">
        <v>0.2155</v>
      </c>
      <c r="CM13" s="230">
        <v>20002950</v>
      </c>
      <c r="CN13" s="230">
        <v>35514450</v>
      </c>
      <c r="CO13" s="230">
        <v>-15511500</v>
      </c>
      <c r="CP13" s="229">
        <v>-0.43680000000000002</v>
      </c>
      <c r="CQ13" s="230">
        <v>18592200</v>
      </c>
      <c r="CR13" s="230">
        <v>20922300</v>
      </c>
      <c r="CS13" s="230">
        <v>-2330100</v>
      </c>
      <c r="CT13" s="229">
        <v>-0.1114</v>
      </c>
      <c r="CU13" s="230">
        <v>95651550</v>
      </c>
      <c r="CV13" s="230">
        <v>114535350</v>
      </c>
      <c r="CW13" s="230">
        <v>-18883800</v>
      </c>
      <c r="CX13" s="229">
        <v>-0.16489999999999999</v>
      </c>
      <c r="CY13" s="228">
        <v>27.05</v>
      </c>
      <c r="CZ13" s="228">
        <v>24.85</v>
      </c>
      <c r="DA13" s="228">
        <v>2.2000000000000002</v>
      </c>
      <c r="DB13" s="228">
        <v>2.2000000000000002</v>
      </c>
      <c r="DC13" s="228">
        <v>30.53</v>
      </c>
      <c r="DD13" s="228">
        <v>30.59</v>
      </c>
      <c r="DE13" s="228">
        <v>-3.48</v>
      </c>
      <c r="DF13" s="228">
        <v>-0.06</v>
      </c>
      <c r="DG13" s="228">
        <v>26.12</v>
      </c>
      <c r="DH13" s="228">
        <v>24.62</v>
      </c>
      <c r="DI13" s="228">
        <v>1.5</v>
      </c>
      <c r="DJ13" s="228">
        <v>1.5</v>
      </c>
      <c r="DK13" s="228">
        <v>28.36</v>
      </c>
      <c r="DL13" s="228">
        <v>25.03</v>
      </c>
      <c r="DM13" s="228">
        <v>3.33</v>
      </c>
      <c r="DN13" s="228">
        <v>3.33</v>
      </c>
      <c r="DO13" s="228">
        <v>0.93</v>
      </c>
      <c r="DP13" s="228">
        <v>0.59</v>
      </c>
      <c r="DQ13" s="228">
        <v>0.34</v>
      </c>
      <c r="DR13" s="229">
        <v>0.57630000000000003</v>
      </c>
      <c r="DS13" s="228">
        <v>460</v>
      </c>
      <c r="DT13" s="228">
        <v>450</v>
      </c>
      <c r="DU13" s="228">
        <v>0.65</v>
      </c>
      <c r="DV13" s="228">
        <v>0.88</v>
      </c>
      <c r="DW13" s="228">
        <v>-0.23</v>
      </c>
      <c r="DX13" s="229">
        <v>-0.26140000000000002</v>
      </c>
      <c r="DY13" s="229">
        <v>0.93059999999999998</v>
      </c>
      <c r="DZ13" s="230">
        <v>51187950</v>
      </c>
      <c r="EA13" s="229">
        <v>-4.7999999999999996E-3</v>
      </c>
      <c r="EB13" s="229">
        <v>0.93059999999999998</v>
      </c>
      <c r="EC13" s="228">
        <v>-0.51</v>
      </c>
      <c r="ED13" s="229">
        <v>-1.1000000000000001E-3</v>
      </c>
      <c r="EE13" s="230">
        <v>5399718</v>
      </c>
      <c r="EF13" s="230">
        <v>5013225</v>
      </c>
      <c r="EG13" s="229">
        <v>7.7100000000000002E-2</v>
      </c>
      <c r="EH13" s="229">
        <v>0.29720000000000002</v>
      </c>
      <c r="EI13" s="231">
        <v>484067.84000000003</v>
      </c>
      <c r="EJ13" s="231">
        <v>303326.65000000002</v>
      </c>
      <c r="EK13" s="231">
        <v>207654.04</v>
      </c>
      <c r="EL13" s="231">
        <v>24788</v>
      </c>
      <c r="EM13" s="231">
        <v>995048.53</v>
      </c>
      <c r="EN13" s="231">
        <v>448790.95</v>
      </c>
      <c r="EO13" s="231">
        <v>546257.57999999996</v>
      </c>
      <c r="EP13" s="229">
        <v>1.2172000000000001</v>
      </c>
      <c r="EQ13" s="231">
        <v>95088</v>
      </c>
      <c r="ER13" s="231">
        <v>84194</v>
      </c>
      <c r="ES13" s="231">
        <v>260494</v>
      </c>
      <c r="ET13" s="231">
        <v>320531323</v>
      </c>
      <c r="EU13" s="231">
        <v>439775</v>
      </c>
      <c r="EV13" s="231">
        <v>533823</v>
      </c>
      <c r="EW13" s="231">
        <v>-94048</v>
      </c>
      <c r="EX13" s="229">
        <v>-0.1762</v>
      </c>
      <c r="EY13" s="229">
        <v>0.2984</v>
      </c>
    </row>
    <row r="14" spans="1:155" ht="17.25" thickBot="1" x14ac:dyDescent="0.3">
      <c r="A14" s="226">
        <v>46168</v>
      </c>
      <c r="B14" s="227" t="s">
        <v>170</v>
      </c>
      <c r="C14" s="227" t="s">
        <v>208</v>
      </c>
      <c r="D14" s="231">
        <v>1326.5</v>
      </c>
      <c r="E14" s="231">
        <v>1334.8</v>
      </c>
      <c r="F14" s="228">
        <v>-8.3000000000000007</v>
      </c>
      <c r="G14" s="229">
        <v>-6.1999999999999998E-3</v>
      </c>
      <c r="H14" s="231">
        <v>1327.9</v>
      </c>
      <c r="I14" s="231">
        <v>1331.4</v>
      </c>
      <c r="J14" s="228">
        <v>-3.5</v>
      </c>
      <c r="K14" s="229">
        <v>-2.5999999999999999E-3</v>
      </c>
      <c r="L14" s="231">
        <v>1332.6</v>
      </c>
      <c r="M14" s="231">
        <v>1337.4</v>
      </c>
      <c r="N14" s="228">
        <v>-4.8</v>
      </c>
      <c r="O14" s="229">
        <v>-3.5999999999999999E-3</v>
      </c>
      <c r="P14" s="231">
        <v>1326.5</v>
      </c>
      <c r="Q14" s="231">
        <v>1334.8</v>
      </c>
      <c r="R14" s="228">
        <v>-8.3000000000000007</v>
      </c>
      <c r="S14" s="229">
        <v>-6.1999999999999998E-3</v>
      </c>
      <c r="T14" s="231">
        <v>1320.2</v>
      </c>
      <c r="U14" s="231">
        <v>1330</v>
      </c>
      <c r="V14" s="228">
        <v>-9.8000000000000007</v>
      </c>
      <c r="W14" s="229">
        <v>-7.4000000000000003E-3</v>
      </c>
      <c r="X14" s="228">
        <v>-1.4</v>
      </c>
      <c r="Y14" s="228">
        <v>6</v>
      </c>
      <c r="Z14" s="228">
        <v>-7.4</v>
      </c>
      <c r="AA14" s="229">
        <v>-1.1000000000000001E-3</v>
      </c>
      <c r="AB14" s="228">
        <v>4.7</v>
      </c>
      <c r="AC14" s="228">
        <v>6</v>
      </c>
      <c r="AD14" s="228">
        <v>-1.3</v>
      </c>
      <c r="AE14" s="229">
        <v>3.5000000000000001E-3</v>
      </c>
      <c r="AF14" s="228">
        <v>-1.4</v>
      </c>
      <c r="AG14" s="228">
        <v>3.4</v>
      </c>
      <c r="AH14" s="228">
        <v>-4.8</v>
      </c>
      <c r="AI14" s="229">
        <v>-1.1000000000000001E-3</v>
      </c>
      <c r="AJ14" s="228">
        <v>-7.7</v>
      </c>
      <c r="AK14" s="228">
        <v>-1.4</v>
      </c>
      <c r="AL14" s="228">
        <v>-6.3</v>
      </c>
      <c r="AM14" s="229">
        <v>-5.7999999999999996E-3</v>
      </c>
      <c r="AN14" s="231">
        <v>1337.36</v>
      </c>
      <c r="AO14" s="231">
        <v>1332.27</v>
      </c>
      <c r="AP14" s="228">
        <v>0</v>
      </c>
      <c r="AQ14" s="230">
        <v>12269</v>
      </c>
      <c r="AR14" s="230">
        <v>16410</v>
      </c>
      <c r="AS14" s="230">
        <v>-4141</v>
      </c>
      <c r="AT14" s="229">
        <v>-0.25230000000000002</v>
      </c>
      <c r="AU14" s="230">
        <v>6915</v>
      </c>
      <c r="AV14" s="230">
        <v>8239</v>
      </c>
      <c r="AW14" s="230">
        <v>-1324</v>
      </c>
      <c r="AX14" s="229">
        <v>-0.16070000000000001</v>
      </c>
      <c r="AY14" s="230">
        <v>5298</v>
      </c>
      <c r="AZ14" s="230">
        <v>8054</v>
      </c>
      <c r="BA14" s="230">
        <v>-2756</v>
      </c>
      <c r="BB14" s="229">
        <v>-0.3422</v>
      </c>
      <c r="BC14" s="228">
        <v>56</v>
      </c>
      <c r="BD14" s="228">
        <v>117</v>
      </c>
      <c r="BE14" s="228">
        <v>-61</v>
      </c>
      <c r="BF14" s="229">
        <v>-0.52139999999999997</v>
      </c>
      <c r="BG14" s="230">
        <v>13946</v>
      </c>
      <c r="BH14" s="230">
        <v>26980</v>
      </c>
      <c r="BI14" s="230">
        <v>-13034</v>
      </c>
      <c r="BJ14" s="229">
        <v>-0.48309999999999997</v>
      </c>
      <c r="BK14" s="230">
        <v>8479</v>
      </c>
      <c r="BL14" s="230">
        <v>15352</v>
      </c>
      <c r="BM14" s="230">
        <v>-6873</v>
      </c>
      <c r="BN14" s="229">
        <v>-0.44769999999999999</v>
      </c>
      <c r="BO14" s="230">
        <v>34694</v>
      </c>
      <c r="BP14" s="230">
        <v>58742</v>
      </c>
      <c r="BQ14" s="230">
        <v>-24048</v>
      </c>
      <c r="BR14" s="229">
        <v>-0.40939999999999999</v>
      </c>
      <c r="BS14" s="230">
        <v>1941505</v>
      </c>
      <c r="BT14" s="230">
        <v>4702818</v>
      </c>
      <c r="BU14" s="230">
        <v>-2761313</v>
      </c>
      <c r="BV14" s="229">
        <v>-0.58720000000000006</v>
      </c>
      <c r="BW14" s="230">
        <v>17575000</v>
      </c>
      <c r="BX14" s="230">
        <v>22027500</v>
      </c>
      <c r="BY14" s="230">
        <v>-4452500</v>
      </c>
      <c r="BZ14" s="229">
        <v>-0.2021</v>
      </c>
      <c r="CA14" s="230">
        <v>5315000</v>
      </c>
      <c r="CB14" s="230">
        <v>5790000</v>
      </c>
      <c r="CC14" s="230">
        <v>-475000</v>
      </c>
      <c r="CD14" s="229">
        <v>-8.2000000000000003E-2</v>
      </c>
      <c r="CE14" s="230">
        <v>17446875</v>
      </c>
      <c r="CF14" s="230">
        <v>16125000</v>
      </c>
      <c r="CG14" s="230">
        <v>1321875</v>
      </c>
      <c r="CH14" s="229">
        <v>8.2000000000000003E-2</v>
      </c>
      <c r="CI14" s="230">
        <v>128125</v>
      </c>
      <c r="CJ14" s="230">
        <v>112500</v>
      </c>
      <c r="CK14" s="230">
        <v>15625</v>
      </c>
      <c r="CL14" s="229">
        <v>0.1389</v>
      </c>
      <c r="CM14" s="230">
        <v>2550000</v>
      </c>
      <c r="CN14" s="230">
        <v>9517500</v>
      </c>
      <c r="CO14" s="230">
        <v>-6967500</v>
      </c>
      <c r="CP14" s="229">
        <v>-0.73209999999999997</v>
      </c>
      <c r="CQ14" s="230">
        <v>1770000</v>
      </c>
      <c r="CR14" s="230">
        <v>5685625</v>
      </c>
      <c r="CS14" s="230">
        <v>-3915625</v>
      </c>
      <c r="CT14" s="229">
        <v>-0.68869999999999998</v>
      </c>
      <c r="CU14" s="230">
        <v>21895000</v>
      </c>
      <c r="CV14" s="230">
        <v>37230625</v>
      </c>
      <c r="CW14" s="230">
        <v>-15335625</v>
      </c>
      <c r="CX14" s="229">
        <v>-0.41189999999999999</v>
      </c>
      <c r="CY14" s="228">
        <v>24</v>
      </c>
      <c r="CZ14" s="228">
        <v>24.84</v>
      </c>
      <c r="DA14" s="228">
        <v>-0.84</v>
      </c>
      <c r="DB14" s="228">
        <v>-0.84</v>
      </c>
      <c r="DC14" s="228">
        <v>28.57</v>
      </c>
      <c r="DD14" s="228">
        <v>28.64</v>
      </c>
      <c r="DE14" s="228">
        <v>-4.57</v>
      </c>
      <c r="DF14" s="228">
        <v>-7.0000000000000007E-2</v>
      </c>
      <c r="DG14" s="228">
        <v>23.96</v>
      </c>
      <c r="DH14" s="228">
        <v>24.57</v>
      </c>
      <c r="DI14" s="228">
        <v>-0.61</v>
      </c>
      <c r="DJ14" s="228">
        <v>-0.61</v>
      </c>
      <c r="DK14" s="228">
        <v>24.07</v>
      </c>
      <c r="DL14" s="228">
        <v>25.26</v>
      </c>
      <c r="DM14" s="228">
        <v>-1.19</v>
      </c>
      <c r="DN14" s="228">
        <v>-1.19</v>
      </c>
      <c r="DO14" s="228">
        <v>0.69</v>
      </c>
      <c r="DP14" s="228">
        <v>0.6</v>
      </c>
      <c r="DQ14" s="228">
        <v>0.09</v>
      </c>
      <c r="DR14" s="229">
        <v>0.15</v>
      </c>
      <c r="DS14" s="231">
        <v>1400</v>
      </c>
      <c r="DT14" s="231">
        <v>1200</v>
      </c>
      <c r="DU14" s="228">
        <v>0.61</v>
      </c>
      <c r="DV14" s="228">
        <v>0.56999999999999995</v>
      </c>
      <c r="DW14" s="228">
        <v>0.04</v>
      </c>
      <c r="DX14" s="229">
        <v>7.0199999999999999E-2</v>
      </c>
      <c r="DY14" s="229">
        <v>0.76780000000000004</v>
      </c>
      <c r="DZ14" s="230">
        <v>16237500</v>
      </c>
      <c r="EA14" s="229">
        <v>-4.5999999999999999E-3</v>
      </c>
      <c r="EB14" s="229">
        <v>0.76780000000000004</v>
      </c>
      <c r="EC14" s="228">
        <v>-5.09</v>
      </c>
      <c r="ED14" s="229">
        <v>-3.8E-3</v>
      </c>
      <c r="EE14" s="230">
        <v>1131214</v>
      </c>
      <c r="EF14" s="230">
        <v>3402992</v>
      </c>
      <c r="EG14" s="229">
        <v>-0.66759999999999997</v>
      </c>
      <c r="EH14" s="229">
        <v>0.58260000000000001</v>
      </c>
      <c r="EI14" s="231">
        <v>119618.22</v>
      </c>
      <c r="EJ14" s="231">
        <v>70168.509999999995</v>
      </c>
      <c r="EK14" s="231">
        <v>102379.01</v>
      </c>
      <c r="EL14" s="231">
        <v>16223</v>
      </c>
      <c r="EM14" s="231">
        <v>292165.74</v>
      </c>
      <c r="EN14" s="231">
        <v>488566.32</v>
      </c>
      <c r="EO14" s="231">
        <v>-196400.58</v>
      </c>
      <c r="EP14" s="229">
        <v>-0.40200000000000002</v>
      </c>
      <c r="EQ14" s="231">
        <v>34909</v>
      </c>
      <c r="ER14" s="231">
        <v>22711</v>
      </c>
      <c r="ES14" s="231">
        <v>233124</v>
      </c>
      <c r="ET14" s="231">
        <v>61026255</v>
      </c>
      <c r="EU14" s="231">
        <v>290744</v>
      </c>
      <c r="EV14" s="231">
        <v>495718</v>
      </c>
      <c r="EW14" s="231">
        <v>-204974</v>
      </c>
      <c r="EX14" s="229">
        <v>-0.41349999999999998</v>
      </c>
      <c r="EY14" s="229">
        <v>0.35880000000000001</v>
      </c>
    </row>
    <row r="15" spans="1:155" ht="17.25" thickBot="1" x14ac:dyDescent="0.3">
      <c r="A15" s="226">
        <v>46168</v>
      </c>
      <c r="B15" s="227" t="s">
        <v>162</v>
      </c>
      <c r="C15" s="227" t="s">
        <v>209</v>
      </c>
      <c r="D15" s="231">
        <v>7412</v>
      </c>
      <c r="E15" s="231">
        <v>7472</v>
      </c>
      <c r="F15" s="228">
        <v>-60</v>
      </c>
      <c r="G15" s="229">
        <v>-8.0000000000000002E-3</v>
      </c>
      <c r="H15" s="231">
        <v>7376</v>
      </c>
      <c r="I15" s="231">
        <v>7414</v>
      </c>
      <c r="J15" s="228">
        <v>-38</v>
      </c>
      <c r="K15" s="229">
        <v>-5.1000000000000004E-3</v>
      </c>
      <c r="L15" s="231">
        <v>7374.5</v>
      </c>
      <c r="M15" s="231">
        <v>7424.5</v>
      </c>
      <c r="N15" s="228">
        <v>-50</v>
      </c>
      <c r="O15" s="229">
        <v>-6.7000000000000002E-3</v>
      </c>
      <c r="P15" s="231">
        <v>7412</v>
      </c>
      <c r="Q15" s="231">
        <v>7472</v>
      </c>
      <c r="R15" s="228">
        <v>-60</v>
      </c>
      <c r="S15" s="229">
        <v>-8.0000000000000002E-3</v>
      </c>
      <c r="T15" s="231">
        <v>7446</v>
      </c>
      <c r="U15" s="231">
        <v>7496.5</v>
      </c>
      <c r="V15" s="228">
        <v>-50.5</v>
      </c>
      <c r="W15" s="229">
        <v>-6.7000000000000002E-3</v>
      </c>
      <c r="X15" s="228">
        <v>36</v>
      </c>
      <c r="Y15" s="228">
        <v>10.5</v>
      </c>
      <c r="Z15" s="228">
        <v>25.5</v>
      </c>
      <c r="AA15" s="229">
        <v>4.8999999999999998E-3</v>
      </c>
      <c r="AB15" s="228">
        <v>-1.5</v>
      </c>
      <c r="AC15" s="228">
        <v>10.5</v>
      </c>
      <c r="AD15" s="228">
        <v>-12</v>
      </c>
      <c r="AE15" s="229">
        <v>-2.0000000000000001E-4</v>
      </c>
      <c r="AF15" s="228">
        <v>36</v>
      </c>
      <c r="AG15" s="228">
        <v>58</v>
      </c>
      <c r="AH15" s="228">
        <v>-22</v>
      </c>
      <c r="AI15" s="229">
        <v>4.8999999999999998E-3</v>
      </c>
      <c r="AJ15" s="228">
        <v>70</v>
      </c>
      <c r="AK15" s="228">
        <v>82.5</v>
      </c>
      <c r="AL15" s="228">
        <v>-12.5</v>
      </c>
      <c r="AM15" s="229">
        <v>9.4999999999999998E-3</v>
      </c>
      <c r="AN15" s="231">
        <v>7402.85</v>
      </c>
      <c r="AO15" s="231">
        <v>7442.32</v>
      </c>
      <c r="AP15" s="228">
        <v>0</v>
      </c>
      <c r="AQ15" s="230">
        <v>6312</v>
      </c>
      <c r="AR15" s="230">
        <v>29994</v>
      </c>
      <c r="AS15" s="230">
        <v>-23682</v>
      </c>
      <c r="AT15" s="229">
        <v>-0.78959999999999997</v>
      </c>
      <c r="AU15" s="230">
        <v>1860</v>
      </c>
      <c r="AV15" s="230">
        <v>13163</v>
      </c>
      <c r="AW15" s="230">
        <v>-11303</v>
      </c>
      <c r="AX15" s="229">
        <v>-0.85870000000000002</v>
      </c>
      <c r="AY15" s="230">
        <v>4358</v>
      </c>
      <c r="AZ15" s="230">
        <v>16644</v>
      </c>
      <c r="BA15" s="230">
        <v>-12286</v>
      </c>
      <c r="BB15" s="229">
        <v>-0.73819999999999997</v>
      </c>
      <c r="BC15" s="228">
        <v>94</v>
      </c>
      <c r="BD15" s="228">
        <v>187</v>
      </c>
      <c r="BE15" s="228">
        <v>-93</v>
      </c>
      <c r="BF15" s="229">
        <v>-0.49730000000000002</v>
      </c>
      <c r="BG15" s="230">
        <v>49028</v>
      </c>
      <c r="BH15" s="230">
        <v>193660</v>
      </c>
      <c r="BI15" s="230">
        <v>-144632</v>
      </c>
      <c r="BJ15" s="229">
        <v>-0.74680000000000002</v>
      </c>
      <c r="BK15" s="230">
        <v>20468</v>
      </c>
      <c r="BL15" s="230">
        <v>79894</v>
      </c>
      <c r="BM15" s="230">
        <v>-59426</v>
      </c>
      <c r="BN15" s="229">
        <v>-0.74380000000000002</v>
      </c>
      <c r="BO15" s="230">
        <v>75808</v>
      </c>
      <c r="BP15" s="230">
        <v>303548</v>
      </c>
      <c r="BQ15" s="230">
        <v>-227740</v>
      </c>
      <c r="BR15" s="229">
        <v>-0.75029999999999997</v>
      </c>
      <c r="BS15" s="230">
        <v>419636</v>
      </c>
      <c r="BT15" s="230">
        <v>1477511</v>
      </c>
      <c r="BU15" s="230">
        <v>-1057875</v>
      </c>
      <c r="BV15" s="229">
        <v>-0.71599999999999997</v>
      </c>
      <c r="BW15" s="230">
        <v>3158700</v>
      </c>
      <c r="BX15" s="230">
        <v>3425000</v>
      </c>
      <c r="BY15" s="230">
        <v>-266300</v>
      </c>
      <c r="BZ15" s="229">
        <v>-7.7799999999999994E-2</v>
      </c>
      <c r="CA15" s="230">
        <v>193900</v>
      </c>
      <c r="CB15" s="230">
        <v>296300</v>
      </c>
      <c r="CC15" s="230">
        <v>-102400</v>
      </c>
      <c r="CD15" s="229">
        <v>-0.34560000000000002</v>
      </c>
      <c r="CE15" s="230">
        <v>3130900</v>
      </c>
      <c r="CF15" s="230">
        <v>3101600</v>
      </c>
      <c r="CG15" s="230">
        <v>29300</v>
      </c>
      <c r="CH15" s="229">
        <v>9.4000000000000004E-3</v>
      </c>
      <c r="CI15" s="230">
        <v>27800</v>
      </c>
      <c r="CJ15" s="230">
        <v>27100</v>
      </c>
      <c r="CK15" s="228">
        <v>700</v>
      </c>
      <c r="CL15" s="229">
        <v>2.58E-2</v>
      </c>
      <c r="CM15" s="230">
        <v>1042900</v>
      </c>
      <c r="CN15" s="230">
        <v>2181900</v>
      </c>
      <c r="CO15" s="230">
        <v>-1139000</v>
      </c>
      <c r="CP15" s="229">
        <v>-0.52200000000000002</v>
      </c>
      <c r="CQ15" s="230">
        <v>752200</v>
      </c>
      <c r="CR15" s="230">
        <v>1696700</v>
      </c>
      <c r="CS15" s="230">
        <v>-944500</v>
      </c>
      <c r="CT15" s="229">
        <v>-0.55669999999999997</v>
      </c>
      <c r="CU15" s="230">
        <v>4953800</v>
      </c>
      <c r="CV15" s="230">
        <v>7303600</v>
      </c>
      <c r="CW15" s="230">
        <v>-2349800</v>
      </c>
      <c r="CX15" s="229">
        <v>-0.32169999999999999</v>
      </c>
      <c r="CY15" s="228">
        <v>26.08</v>
      </c>
      <c r="CZ15" s="228">
        <v>26.89</v>
      </c>
      <c r="DA15" s="228">
        <v>-0.81</v>
      </c>
      <c r="DB15" s="228">
        <v>-0.81</v>
      </c>
      <c r="DC15" s="228">
        <v>33.619999999999997</v>
      </c>
      <c r="DD15" s="228">
        <v>33.700000000000003</v>
      </c>
      <c r="DE15" s="228">
        <v>-7.54</v>
      </c>
      <c r="DF15" s="228">
        <v>-0.08</v>
      </c>
      <c r="DG15" s="228">
        <v>26.3</v>
      </c>
      <c r="DH15" s="228">
        <v>26.94</v>
      </c>
      <c r="DI15" s="228">
        <v>-0.64</v>
      </c>
      <c r="DJ15" s="228">
        <v>-0.64</v>
      </c>
      <c r="DK15" s="228">
        <v>25.69</v>
      </c>
      <c r="DL15" s="228">
        <v>26.77</v>
      </c>
      <c r="DM15" s="228">
        <v>-1.08</v>
      </c>
      <c r="DN15" s="228">
        <v>-1.08</v>
      </c>
      <c r="DO15" s="228">
        <v>0.72</v>
      </c>
      <c r="DP15" s="228">
        <v>0.78</v>
      </c>
      <c r="DQ15" s="228">
        <v>-0.06</v>
      </c>
      <c r="DR15" s="229">
        <v>-7.6899999999999996E-2</v>
      </c>
      <c r="DS15" s="231">
        <v>8000</v>
      </c>
      <c r="DT15" s="231">
        <v>6800</v>
      </c>
      <c r="DU15" s="228">
        <v>0.42</v>
      </c>
      <c r="DV15" s="228">
        <v>0.41</v>
      </c>
      <c r="DW15" s="228">
        <v>0.01</v>
      </c>
      <c r="DX15" s="229">
        <v>2.4400000000000002E-2</v>
      </c>
      <c r="DY15" s="229">
        <v>0.94220000000000004</v>
      </c>
      <c r="DZ15" s="230">
        <v>3128700</v>
      </c>
      <c r="EA15" s="229">
        <v>5.1000000000000004E-3</v>
      </c>
      <c r="EB15" s="229">
        <v>0.94220000000000004</v>
      </c>
      <c r="EC15" s="228">
        <v>39.47</v>
      </c>
      <c r="ED15" s="229">
        <v>5.3E-3</v>
      </c>
      <c r="EE15" s="230">
        <v>195280</v>
      </c>
      <c r="EF15" s="230">
        <v>449714</v>
      </c>
      <c r="EG15" s="229">
        <v>-0.56579999999999997</v>
      </c>
      <c r="EH15" s="229">
        <v>0.46539999999999998</v>
      </c>
      <c r="EI15" s="231">
        <v>373811.73</v>
      </c>
      <c r="EJ15" s="231">
        <v>149326.56</v>
      </c>
      <c r="EK15" s="231">
        <v>46905.4</v>
      </c>
      <c r="EL15" s="231">
        <v>15864</v>
      </c>
      <c r="EM15" s="231">
        <v>570043.68999999994</v>
      </c>
      <c r="EN15" s="231">
        <v>2263723.2999999998</v>
      </c>
      <c r="EO15" s="231">
        <v>-1693679.61</v>
      </c>
      <c r="EP15" s="229">
        <v>-0.74819999999999998</v>
      </c>
      <c r="EQ15" s="231">
        <v>79574</v>
      </c>
      <c r="ER15" s="231">
        <v>54154</v>
      </c>
      <c r="ES15" s="231">
        <v>234132</v>
      </c>
      <c r="ET15" s="231">
        <v>20960143</v>
      </c>
      <c r="EU15" s="231">
        <v>367861</v>
      </c>
      <c r="EV15" s="231">
        <v>540469</v>
      </c>
      <c r="EW15" s="231">
        <v>-172608</v>
      </c>
      <c r="EX15" s="229">
        <v>-0.31940000000000002</v>
      </c>
      <c r="EY15" s="229">
        <v>0.23630000000000001</v>
      </c>
    </row>
    <row r="16" spans="1:155" ht="17.25" thickBot="1" x14ac:dyDescent="0.3">
      <c r="A16" s="226">
        <v>46168</v>
      </c>
      <c r="B16" s="227" t="s">
        <v>614</v>
      </c>
      <c r="C16" s="227" t="s">
        <v>664</v>
      </c>
      <c r="D16" s="228">
        <v>252.4</v>
      </c>
      <c r="E16" s="228">
        <v>249.62</v>
      </c>
      <c r="F16" s="228">
        <v>2.78</v>
      </c>
      <c r="G16" s="229">
        <v>1.11E-2</v>
      </c>
      <c r="H16" s="228">
        <v>250.17</v>
      </c>
      <c r="I16" s="228">
        <v>247.67</v>
      </c>
      <c r="J16" s="228">
        <v>2.5</v>
      </c>
      <c r="K16" s="229">
        <v>1.01E-2</v>
      </c>
      <c r="L16" s="228">
        <v>250.41</v>
      </c>
      <c r="M16" s="228">
        <v>248.13</v>
      </c>
      <c r="N16" s="228">
        <v>2.2799999999999998</v>
      </c>
      <c r="O16" s="229">
        <v>9.1999999999999998E-3</v>
      </c>
      <c r="P16" s="228">
        <v>252.4</v>
      </c>
      <c r="Q16" s="228">
        <v>249.62</v>
      </c>
      <c r="R16" s="228">
        <v>2.78</v>
      </c>
      <c r="S16" s="229">
        <v>1.11E-2</v>
      </c>
      <c r="T16" s="228">
        <v>253.68</v>
      </c>
      <c r="U16" s="228">
        <v>250.97</v>
      </c>
      <c r="V16" s="228">
        <v>2.71</v>
      </c>
      <c r="W16" s="229">
        <v>1.0800000000000001E-2</v>
      </c>
      <c r="X16" s="228">
        <v>2.23</v>
      </c>
      <c r="Y16" s="228">
        <v>0.46</v>
      </c>
      <c r="Z16" s="228">
        <v>1.77</v>
      </c>
      <c r="AA16" s="229">
        <v>8.8999999999999999E-3</v>
      </c>
      <c r="AB16" s="228">
        <v>0.24</v>
      </c>
      <c r="AC16" s="228">
        <v>0.46</v>
      </c>
      <c r="AD16" s="228">
        <v>-0.22</v>
      </c>
      <c r="AE16" s="229">
        <v>1E-3</v>
      </c>
      <c r="AF16" s="228">
        <v>2.23</v>
      </c>
      <c r="AG16" s="228">
        <v>1.95</v>
      </c>
      <c r="AH16" s="228">
        <v>0.28000000000000003</v>
      </c>
      <c r="AI16" s="229">
        <v>8.8999999999999999E-3</v>
      </c>
      <c r="AJ16" s="228">
        <v>3.51</v>
      </c>
      <c r="AK16" s="228">
        <v>3.3</v>
      </c>
      <c r="AL16" s="228">
        <v>0.21</v>
      </c>
      <c r="AM16" s="229">
        <v>1.4E-2</v>
      </c>
      <c r="AN16" s="228">
        <v>250.82</v>
      </c>
      <c r="AO16" s="228">
        <v>252.54</v>
      </c>
      <c r="AP16" s="228">
        <v>0</v>
      </c>
      <c r="AQ16" s="230">
        <v>39659</v>
      </c>
      <c r="AR16" s="230">
        <v>46605</v>
      </c>
      <c r="AS16" s="230">
        <v>-6946</v>
      </c>
      <c r="AT16" s="229">
        <v>-0.14899999999999999</v>
      </c>
      <c r="AU16" s="230">
        <v>16376</v>
      </c>
      <c r="AV16" s="230">
        <v>21508</v>
      </c>
      <c r="AW16" s="230">
        <v>-5132</v>
      </c>
      <c r="AX16" s="229">
        <v>-0.23860000000000001</v>
      </c>
      <c r="AY16" s="230">
        <v>22446</v>
      </c>
      <c r="AZ16" s="230">
        <v>24610</v>
      </c>
      <c r="BA16" s="230">
        <v>-2164</v>
      </c>
      <c r="BB16" s="229">
        <v>-8.7900000000000006E-2</v>
      </c>
      <c r="BC16" s="228">
        <v>837</v>
      </c>
      <c r="BD16" s="228">
        <v>487</v>
      </c>
      <c r="BE16" s="228">
        <v>350</v>
      </c>
      <c r="BF16" s="229">
        <v>0.71870000000000001</v>
      </c>
      <c r="BG16" s="230">
        <v>34996</v>
      </c>
      <c r="BH16" s="230">
        <v>40548</v>
      </c>
      <c r="BI16" s="230">
        <v>-5552</v>
      </c>
      <c r="BJ16" s="229">
        <v>-0.13689999999999999</v>
      </c>
      <c r="BK16" s="230">
        <v>19190</v>
      </c>
      <c r="BL16" s="230">
        <v>25809</v>
      </c>
      <c r="BM16" s="230">
        <v>-6619</v>
      </c>
      <c r="BN16" s="229">
        <v>-0.25650000000000001</v>
      </c>
      <c r="BO16" s="230">
        <v>93845</v>
      </c>
      <c r="BP16" s="230">
        <v>112962</v>
      </c>
      <c r="BQ16" s="230">
        <v>-19117</v>
      </c>
      <c r="BR16" s="229">
        <v>-0.16919999999999999</v>
      </c>
      <c r="BS16" s="230">
        <v>25760413</v>
      </c>
      <c r="BT16" s="230">
        <v>20915538</v>
      </c>
      <c r="BU16" s="230">
        <v>4844875</v>
      </c>
      <c r="BV16" s="229">
        <v>0.2316</v>
      </c>
      <c r="BW16" s="230">
        <v>195641725</v>
      </c>
      <c r="BX16" s="230">
        <v>196485625</v>
      </c>
      <c r="BY16" s="230">
        <v>-843900</v>
      </c>
      <c r="BZ16" s="229">
        <v>-4.3E-3</v>
      </c>
      <c r="CA16" s="230">
        <v>7146475</v>
      </c>
      <c r="CB16" s="230">
        <v>34010625</v>
      </c>
      <c r="CC16" s="230">
        <v>-26864150</v>
      </c>
      <c r="CD16" s="229">
        <v>-0.78990000000000005</v>
      </c>
      <c r="CE16" s="230">
        <v>189368250</v>
      </c>
      <c r="CF16" s="230">
        <v>157159400</v>
      </c>
      <c r="CG16" s="230">
        <v>32208850</v>
      </c>
      <c r="CH16" s="229">
        <v>0.2049</v>
      </c>
      <c r="CI16" s="230">
        <v>6273475</v>
      </c>
      <c r="CJ16" s="230">
        <v>5315600</v>
      </c>
      <c r="CK16" s="230">
        <v>957875</v>
      </c>
      <c r="CL16" s="229">
        <v>0.1802</v>
      </c>
      <c r="CM16" s="230">
        <v>22860475</v>
      </c>
      <c r="CN16" s="230">
        <v>75611500</v>
      </c>
      <c r="CO16" s="230">
        <v>-52751025</v>
      </c>
      <c r="CP16" s="229">
        <v>-0.69769999999999999</v>
      </c>
      <c r="CQ16" s="230">
        <v>24354275</v>
      </c>
      <c r="CR16" s="230">
        <v>43111650</v>
      </c>
      <c r="CS16" s="230">
        <v>-18757375</v>
      </c>
      <c r="CT16" s="229">
        <v>-0.43509999999999999</v>
      </c>
      <c r="CU16" s="230">
        <v>242856475</v>
      </c>
      <c r="CV16" s="230">
        <v>315208775</v>
      </c>
      <c r="CW16" s="230">
        <v>-72352300</v>
      </c>
      <c r="CX16" s="229">
        <v>-0.22950000000000001</v>
      </c>
      <c r="CY16" s="228">
        <v>31.91</v>
      </c>
      <c r="CZ16" s="228">
        <v>31.58</v>
      </c>
      <c r="DA16" s="228">
        <v>0.33</v>
      </c>
      <c r="DB16" s="228">
        <v>0.33</v>
      </c>
      <c r="DC16" s="228">
        <v>45.02</v>
      </c>
      <c r="DD16" s="228">
        <v>45.11</v>
      </c>
      <c r="DE16" s="228">
        <v>-13.11</v>
      </c>
      <c r="DF16" s="228">
        <v>-0.09</v>
      </c>
      <c r="DG16" s="228">
        <v>31.63</v>
      </c>
      <c r="DH16" s="228">
        <v>31.48</v>
      </c>
      <c r="DI16" s="228">
        <v>0.15</v>
      </c>
      <c r="DJ16" s="228">
        <v>0.15</v>
      </c>
      <c r="DK16" s="228">
        <v>32.35</v>
      </c>
      <c r="DL16" s="228">
        <v>31.71</v>
      </c>
      <c r="DM16" s="228">
        <v>0.64</v>
      </c>
      <c r="DN16" s="228">
        <v>0.64</v>
      </c>
      <c r="DO16" s="228">
        <v>1.07</v>
      </c>
      <c r="DP16" s="228">
        <v>0.56999999999999995</v>
      </c>
      <c r="DQ16" s="228">
        <v>0.5</v>
      </c>
      <c r="DR16" s="229">
        <v>0.87719999999999998</v>
      </c>
      <c r="DS16" s="228">
        <v>260</v>
      </c>
      <c r="DT16" s="228">
        <v>250</v>
      </c>
      <c r="DU16" s="228">
        <v>0.55000000000000004</v>
      </c>
      <c r="DV16" s="228">
        <v>0.64</v>
      </c>
      <c r="DW16" s="228">
        <v>-0.09</v>
      </c>
      <c r="DX16" s="229">
        <v>-0.1406</v>
      </c>
      <c r="DY16" s="229">
        <v>0.96479999999999999</v>
      </c>
      <c r="DZ16" s="230">
        <v>162475000</v>
      </c>
      <c r="EA16" s="229">
        <v>7.9000000000000008E-3</v>
      </c>
      <c r="EB16" s="229">
        <v>0.96479999999999999</v>
      </c>
      <c r="EC16" s="228">
        <v>1.72</v>
      </c>
      <c r="ED16" s="229">
        <v>6.8999999999999999E-3</v>
      </c>
      <c r="EE16" s="230">
        <v>12674139</v>
      </c>
      <c r="EF16" s="230">
        <v>10063721</v>
      </c>
      <c r="EG16" s="229">
        <v>0.25940000000000002</v>
      </c>
      <c r="EH16" s="229">
        <v>0.49199999999999999</v>
      </c>
      <c r="EI16" s="231">
        <v>222468.97</v>
      </c>
      <c r="EJ16" s="231">
        <v>116684.28</v>
      </c>
      <c r="EK16" s="231">
        <v>242226.94</v>
      </c>
      <c r="EL16" s="231">
        <v>29288</v>
      </c>
      <c r="EM16" s="231">
        <v>581380.18999999994</v>
      </c>
      <c r="EN16" s="231">
        <v>689901.35</v>
      </c>
      <c r="EO16" s="231">
        <v>-108521.16</v>
      </c>
      <c r="EP16" s="229">
        <v>-0.1573</v>
      </c>
      <c r="EQ16" s="231">
        <v>59378</v>
      </c>
      <c r="ER16" s="231">
        <v>60131</v>
      </c>
      <c r="ES16" s="231">
        <v>493880</v>
      </c>
      <c r="ET16" s="231">
        <v>1366821859</v>
      </c>
      <c r="EU16" s="231">
        <v>613389</v>
      </c>
      <c r="EV16" s="231">
        <v>793770</v>
      </c>
      <c r="EW16" s="231">
        <v>-180381</v>
      </c>
      <c r="EX16" s="229">
        <v>-0.22720000000000001</v>
      </c>
      <c r="EY16" s="229">
        <v>0.1777</v>
      </c>
    </row>
    <row r="17" spans="1:155" ht="17.25" thickBot="1" x14ac:dyDescent="0.3">
      <c r="A17" s="226">
        <v>46168</v>
      </c>
      <c r="B17" s="227" t="s">
        <v>157</v>
      </c>
      <c r="C17" s="227" t="s">
        <v>219</v>
      </c>
      <c r="D17" s="231">
        <v>3187.3</v>
      </c>
      <c r="E17" s="231">
        <v>3192.2</v>
      </c>
      <c r="F17" s="228">
        <v>-4.9000000000000004</v>
      </c>
      <c r="G17" s="229">
        <v>-1.5E-3</v>
      </c>
      <c r="H17" s="231">
        <v>3165</v>
      </c>
      <c r="I17" s="231">
        <v>3171.6</v>
      </c>
      <c r="J17" s="228">
        <v>-6.6</v>
      </c>
      <c r="K17" s="229">
        <v>-2.0999999999999999E-3</v>
      </c>
      <c r="L17" s="231">
        <v>3161.1</v>
      </c>
      <c r="M17" s="231">
        <v>3172.2</v>
      </c>
      <c r="N17" s="228">
        <v>-11.1</v>
      </c>
      <c r="O17" s="229">
        <v>-3.5000000000000001E-3</v>
      </c>
      <c r="P17" s="231">
        <v>3187.3</v>
      </c>
      <c r="Q17" s="231">
        <v>3192.2</v>
      </c>
      <c r="R17" s="228">
        <v>-4.9000000000000004</v>
      </c>
      <c r="S17" s="229">
        <v>-1.5E-3</v>
      </c>
      <c r="T17" s="231">
        <v>3200.9</v>
      </c>
      <c r="U17" s="231">
        <v>3207.8</v>
      </c>
      <c r="V17" s="228">
        <v>-6.9</v>
      </c>
      <c r="W17" s="229">
        <v>-2.2000000000000001E-3</v>
      </c>
      <c r="X17" s="228">
        <v>22.3</v>
      </c>
      <c r="Y17" s="228">
        <v>0.6</v>
      </c>
      <c r="Z17" s="228">
        <v>21.7</v>
      </c>
      <c r="AA17" s="229">
        <v>7.0000000000000001E-3</v>
      </c>
      <c r="AB17" s="228">
        <v>-3.9</v>
      </c>
      <c r="AC17" s="228">
        <v>0.6</v>
      </c>
      <c r="AD17" s="228">
        <v>-4.5</v>
      </c>
      <c r="AE17" s="229">
        <v>-1.1999999999999999E-3</v>
      </c>
      <c r="AF17" s="228">
        <v>22.3</v>
      </c>
      <c r="AG17" s="228">
        <v>20.6</v>
      </c>
      <c r="AH17" s="228">
        <v>1.7</v>
      </c>
      <c r="AI17" s="229">
        <v>7.0000000000000001E-3</v>
      </c>
      <c r="AJ17" s="228">
        <v>35.9</v>
      </c>
      <c r="AK17" s="228">
        <v>36.200000000000003</v>
      </c>
      <c r="AL17" s="228">
        <v>-0.3</v>
      </c>
      <c r="AM17" s="229">
        <v>1.1299999999999999E-2</v>
      </c>
      <c r="AN17" s="231">
        <v>3172.45</v>
      </c>
      <c r="AO17" s="231">
        <v>3194.51</v>
      </c>
      <c r="AP17" s="228">
        <v>0</v>
      </c>
      <c r="AQ17" s="230">
        <v>12793</v>
      </c>
      <c r="AR17" s="230">
        <v>23177</v>
      </c>
      <c r="AS17" s="230">
        <v>-10384</v>
      </c>
      <c r="AT17" s="229">
        <v>-0.44800000000000001</v>
      </c>
      <c r="AU17" s="230">
        <v>5505</v>
      </c>
      <c r="AV17" s="230">
        <v>11437</v>
      </c>
      <c r="AW17" s="230">
        <v>-5932</v>
      </c>
      <c r="AX17" s="229">
        <v>-0.51870000000000005</v>
      </c>
      <c r="AY17" s="230">
        <v>7248</v>
      </c>
      <c r="AZ17" s="230">
        <v>11196</v>
      </c>
      <c r="BA17" s="230">
        <v>-3948</v>
      </c>
      <c r="BB17" s="229">
        <v>-0.35260000000000002</v>
      </c>
      <c r="BC17" s="228">
        <v>40</v>
      </c>
      <c r="BD17" s="228">
        <v>544</v>
      </c>
      <c r="BE17" s="228">
        <v>-504</v>
      </c>
      <c r="BF17" s="229">
        <v>-0.92649999999999999</v>
      </c>
      <c r="BG17" s="230">
        <v>13749</v>
      </c>
      <c r="BH17" s="230">
        <v>19250</v>
      </c>
      <c r="BI17" s="230">
        <v>-5501</v>
      </c>
      <c r="BJ17" s="229">
        <v>-0.2858</v>
      </c>
      <c r="BK17" s="230">
        <v>9869</v>
      </c>
      <c r="BL17" s="230">
        <v>16114</v>
      </c>
      <c r="BM17" s="230">
        <v>-6245</v>
      </c>
      <c r="BN17" s="229">
        <v>-0.3876</v>
      </c>
      <c r="BO17" s="230">
        <v>36411</v>
      </c>
      <c r="BP17" s="230">
        <v>58541</v>
      </c>
      <c r="BQ17" s="230">
        <v>-22130</v>
      </c>
      <c r="BR17" s="229">
        <v>-0.378</v>
      </c>
      <c r="BS17" s="230">
        <v>994564</v>
      </c>
      <c r="BT17" s="230">
        <v>637356</v>
      </c>
      <c r="BU17" s="230">
        <v>357208</v>
      </c>
      <c r="BV17" s="229">
        <v>0.5605</v>
      </c>
      <c r="BW17" s="230">
        <v>15312250</v>
      </c>
      <c r="BX17" s="230">
        <v>16102500</v>
      </c>
      <c r="BY17" s="230">
        <v>-790250</v>
      </c>
      <c r="BZ17" s="229">
        <v>-4.9099999999999998E-2</v>
      </c>
      <c r="CA17" s="230">
        <v>479250</v>
      </c>
      <c r="CB17" s="230">
        <v>1272750</v>
      </c>
      <c r="CC17" s="230">
        <v>-793500</v>
      </c>
      <c r="CD17" s="229">
        <v>-0.62350000000000005</v>
      </c>
      <c r="CE17" s="230">
        <v>14561500</v>
      </c>
      <c r="CF17" s="230">
        <v>14080000</v>
      </c>
      <c r="CG17" s="230">
        <v>481500</v>
      </c>
      <c r="CH17" s="229">
        <v>3.4200000000000001E-2</v>
      </c>
      <c r="CI17" s="230">
        <v>750750</v>
      </c>
      <c r="CJ17" s="230">
        <v>749750</v>
      </c>
      <c r="CK17" s="230">
        <v>1000</v>
      </c>
      <c r="CL17" s="229">
        <v>1.2999999999999999E-3</v>
      </c>
      <c r="CM17" s="230">
        <v>785000</v>
      </c>
      <c r="CN17" s="230">
        <v>2407000</v>
      </c>
      <c r="CO17" s="230">
        <v>-1622000</v>
      </c>
      <c r="CP17" s="229">
        <v>-0.67390000000000005</v>
      </c>
      <c r="CQ17" s="230">
        <v>845250</v>
      </c>
      <c r="CR17" s="230">
        <v>2706500</v>
      </c>
      <c r="CS17" s="230">
        <v>-1861250</v>
      </c>
      <c r="CT17" s="229">
        <v>-0.68769999999999998</v>
      </c>
      <c r="CU17" s="230">
        <v>16942500</v>
      </c>
      <c r="CV17" s="230">
        <v>21216000</v>
      </c>
      <c r="CW17" s="230">
        <v>-4273500</v>
      </c>
      <c r="CX17" s="229">
        <v>-0.2014</v>
      </c>
      <c r="CY17" s="228">
        <v>21.53</v>
      </c>
      <c r="CZ17" s="228">
        <v>22.39</v>
      </c>
      <c r="DA17" s="228">
        <v>-0.86</v>
      </c>
      <c r="DB17" s="228">
        <v>-0.86</v>
      </c>
      <c r="DC17" s="228">
        <v>28.65</v>
      </c>
      <c r="DD17" s="228">
        <v>28.73</v>
      </c>
      <c r="DE17" s="228">
        <v>-7.12</v>
      </c>
      <c r="DF17" s="228">
        <v>-0.08</v>
      </c>
      <c r="DG17" s="228">
        <v>21.09</v>
      </c>
      <c r="DH17" s="228">
        <v>21.7</v>
      </c>
      <c r="DI17" s="228">
        <v>-0.61</v>
      </c>
      <c r="DJ17" s="228">
        <v>-0.61</v>
      </c>
      <c r="DK17" s="228">
        <v>22.01</v>
      </c>
      <c r="DL17" s="228">
        <v>23.14</v>
      </c>
      <c r="DM17" s="228">
        <v>-1.1299999999999999</v>
      </c>
      <c r="DN17" s="228">
        <v>-1.1299999999999999</v>
      </c>
      <c r="DO17" s="228">
        <v>1.08</v>
      </c>
      <c r="DP17" s="228">
        <v>1.1200000000000001</v>
      </c>
      <c r="DQ17" s="228">
        <v>-0.04</v>
      </c>
      <c r="DR17" s="229">
        <v>-3.5700000000000003E-2</v>
      </c>
      <c r="DS17" s="231">
        <v>3200</v>
      </c>
      <c r="DT17" s="231">
        <v>3000</v>
      </c>
      <c r="DU17" s="228">
        <v>0.72</v>
      </c>
      <c r="DV17" s="228">
        <v>0.84</v>
      </c>
      <c r="DW17" s="228">
        <v>-0.12</v>
      </c>
      <c r="DX17" s="229">
        <v>-0.1429</v>
      </c>
      <c r="DY17" s="229">
        <v>0.96970000000000001</v>
      </c>
      <c r="DZ17" s="230">
        <v>14829750</v>
      </c>
      <c r="EA17" s="229">
        <v>8.3000000000000001E-3</v>
      </c>
      <c r="EB17" s="229">
        <v>0.96970000000000001</v>
      </c>
      <c r="EC17" s="228">
        <v>22.06</v>
      </c>
      <c r="ED17" s="229">
        <v>7.0000000000000001E-3</v>
      </c>
      <c r="EE17" s="230">
        <v>562178</v>
      </c>
      <c r="EF17" s="230">
        <v>295977</v>
      </c>
      <c r="EG17" s="229">
        <v>0.89939999999999998</v>
      </c>
      <c r="EH17" s="229">
        <v>0.56530000000000002</v>
      </c>
      <c r="EI17" s="231">
        <v>111477.57</v>
      </c>
      <c r="EJ17" s="231">
        <v>76786.61</v>
      </c>
      <c r="EK17" s="231">
        <v>101866</v>
      </c>
      <c r="EL17" s="231">
        <v>29836</v>
      </c>
      <c r="EM17" s="231">
        <v>290130.18</v>
      </c>
      <c r="EN17" s="231">
        <v>463849.41</v>
      </c>
      <c r="EO17" s="231">
        <v>-173719.23</v>
      </c>
      <c r="EP17" s="229">
        <v>-0.3745</v>
      </c>
      <c r="EQ17" s="231">
        <v>25282</v>
      </c>
      <c r="ER17" s="231">
        <v>25548</v>
      </c>
      <c r="ES17" s="231">
        <v>488149</v>
      </c>
      <c r="ET17" s="231">
        <v>38401443</v>
      </c>
      <c r="EU17" s="231">
        <v>538979</v>
      </c>
      <c r="EV17" s="231">
        <v>669031</v>
      </c>
      <c r="EW17" s="231">
        <v>-130052</v>
      </c>
      <c r="EX17" s="229">
        <v>-0.19439999999999999</v>
      </c>
      <c r="EY17" s="229">
        <v>0.44119999999999998</v>
      </c>
    </row>
    <row r="18" spans="1:155" ht="17.25" thickBot="1" x14ac:dyDescent="0.3">
      <c r="A18" s="226">
        <v>46168</v>
      </c>
      <c r="B18" s="227" t="s">
        <v>221</v>
      </c>
      <c r="C18" s="227" t="s">
        <v>222</v>
      </c>
      <c r="D18" s="231">
        <v>1161.3</v>
      </c>
      <c r="E18" s="231">
        <v>1154.3</v>
      </c>
      <c r="F18" s="228">
        <v>7</v>
      </c>
      <c r="G18" s="229">
        <v>6.1000000000000004E-3</v>
      </c>
      <c r="H18" s="231">
        <v>1161.9000000000001</v>
      </c>
      <c r="I18" s="231">
        <v>1165.7</v>
      </c>
      <c r="J18" s="228">
        <v>-3.8</v>
      </c>
      <c r="K18" s="229">
        <v>-3.3E-3</v>
      </c>
      <c r="L18" s="231">
        <v>1161.9000000000001</v>
      </c>
      <c r="M18" s="231">
        <v>1169</v>
      </c>
      <c r="N18" s="228">
        <v>-7.1</v>
      </c>
      <c r="O18" s="229">
        <v>-6.1000000000000004E-3</v>
      </c>
      <c r="P18" s="231">
        <v>1161.3</v>
      </c>
      <c r="Q18" s="231">
        <v>1154.3</v>
      </c>
      <c r="R18" s="228">
        <v>7</v>
      </c>
      <c r="S18" s="229">
        <v>6.1000000000000004E-3</v>
      </c>
      <c r="T18" s="231">
        <v>1150.5</v>
      </c>
      <c r="U18" s="231">
        <v>1142.0999999999999</v>
      </c>
      <c r="V18" s="228">
        <v>8.4</v>
      </c>
      <c r="W18" s="229">
        <v>7.4000000000000003E-3</v>
      </c>
      <c r="X18" s="228">
        <v>-0.6</v>
      </c>
      <c r="Y18" s="228">
        <v>3.3</v>
      </c>
      <c r="Z18" s="228">
        <v>-3.9</v>
      </c>
      <c r="AA18" s="229">
        <v>-5.0000000000000001E-4</v>
      </c>
      <c r="AB18" s="228">
        <v>0</v>
      </c>
      <c r="AC18" s="228">
        <v>3.3</v>
      </c>
      <c r="AD18" s="228">
        <v>-3.3</v>
      </c>
      <c r="AE18" s="229">
        <v>0</v>
      </c>
      <c r="AF18" s="228">
        <v>-0.6</v>
      </c>
      <c r="AG18" s="228">
        <v>-11.4</v>
      </c>
      <c r="AH18" s="228">
        <v>10.8</v>
      </c>
      <c r="AI18" s="229">
        <v>-5.0000000000000001E-4</v>
      </c>
      <c r="AJ18" s="228">
        <v>-11.4</v>
      </c>
      <c r="AK18" s="228">
        <v>-23.6</v>
      </c>
      <c r="AL18" s="228">
        <v>12.2</v>
      </c>
      <c r="AM18" s="229">
        <v>-9.7999999999999997E-3</v>
      </c>
      <c r="AN18" s="231">
        <v>1167.75</v>
      </c>
      <c r="AO18" s="231">
        <v>1162.4100000000001</v>
      </c>
      <c r="AP18" s="228">
        <v>0</v>
      </c>
      <c r="AQ18" s="230">
        <v>27674</v>
      </c>
      <c r="AR18" s="230">
        <v>89940</v>
      </c>
      <c r="AS18" s="230">
        <v>-62266</v>
      </c>
      <c r="AT18" s="229">
        <v>-0.69230000000000003</v>
      </c>
      <c r="AU18" s="230">
        <v>11338</v>
      </c>
      <c r="AV18" s="230">
        <v>43197</v>
      </c>
      <c r="AW18" s="230">
        <v>-31859</v>
      </c>
      <c r="AX18" s="229">
        <v>-0.73750000000000004</v>
      </c>
      <c r="AY18" s="230">
        <v>15509</v>
      </c>
      <c r="AZ18" s="230">
        <v>45795</v>
      </c>
      <c r="BA18" s="230">
        <v>-30286</v>
      </c>
      <c r="BB18" s="229">
        <v>-0.6613</v>
      </c>
      <c r="BC18" s="228">
        <v>827</v>
      </c>
      <c r="BD18" s="228">
        <v>948</v>
      </c>
      <c r="BE18" s="228">
        <v>-121</v>
      </c>
      <c r="BF18" s="229">
        <v>-0.12759999999999999</v>
      </c>
      <c r="BG18" s="230">
        <v>32638</v>
      </c>
      <c r="BH18" s="230">
        <v>48348</v>
      </c>
      <c r="BI18" s="230">
        <v>-15710</v>
      </c>
      <c r="BJ18" s="229">
        <v>-0.32490000000000002</v>
      </c>
      <c r="BK18" s="230">
        <v>15437</v>
      </c>
      <c r="BL18" s="230">
        <v>25285</v>
      </c>
      <c r="BM18" s="230">
        <v>-9848</v>
      </c>
      <c r="BN18" s="229">
        <v>-0.38950000000000001</v>
      </c>
      <c r="BO18" s="230">
        <v>75749</v>
      </c>
      <c r="BP18" s="230">
        <v>163573</v>
      </c>
      <c r="BQ18" s="230">
        <v>-87824</v>
      </c>
      <c r="BR18" s="229">
        <v>-0.53690000000000004</v>
      </c>
      <c r="BS18" s="230">
        <v>1316166</v>
      </c>
      <c r="BT18" s="230">
        <v>1481646</v>
      </c>
      <c r="BU18" s="230">
        <v>-165480</v>
      </c>
      <c r="BV18" s="229">
        <v>-0.11169999999999999</v>
      </c>
      <c r="BW18" s="230">
        <v>39810600</v>
      </c>
      <c r="BX18" s="230">
        <v>43314350</v>
      </c>
      <c r="BY18" s="230">
        <v>-3503750</v>
      </c>
      <c r="BZ18" s="229">
        <v>-8.09E-2</v>
      </c>
      <c r="CA18" s="230">
        <v>2802450</v>
      </c>
      <c r="CB18" s="230">
        <v>4888450</v>
      </c>
      <c r="CC18" s="230">
        <v>-2086000</v>
      </c>
      <c r="CD18" s="229">
        <v>-0.42670000000000002</v>
      </c>
      <c r="CE18" s="230">
        <v>38795400</v>
      </c>
      <c r="CF18" s="230">
        <v>37582300</v>
      </c>
      <c r="CG18" s="230">
        <v>1213100</v>
      </c>
      <c r="CH18" s="229">
        <v>3.2300000000000002E-2</v>
      </c>
      <c r="CI18" s="230">
        <v>1015200</v>
      </c>
      <c r="CJ18" s="230">
        <v>843600</v>
      </c>
      <c r="CK18" s="230">
        <v>171600</v>
      </c>
      <c r="CL18" s="229">
        <v>0.2034</v>
      </c>
      <c r="CM18" s="230">
        <v>4354750</v>
      </c>
      <c r="CN18" s="230">
        <v>24352800</v>
      </c>
      <c r="CO18" s="230">
        <v>-19998050</v>
      </c>
      <c r="CP18" s="229">
        <v>-0.82120000000000004</v>
      </c>
      <c r="CQ18" s="230">
        <v>3264050</v>
      </c>
      <c r="CR18" s="230">
        <v>10371900</v>
      </c>
      <c r="CS18" s="230">
        <v>-7107850</v>
      </c>
      <c r="CT18" s="229">
        <v>-0.68530000000000002</v>
      </c>
      <c r="CU18" s="230">
        <v>47429400</v>
      </c>
      <c r="CV18" s="230">
        <v>78039050</v>
      </c>
      <c r="CW18" s="230">
        <v>-30609650</v>
      </c>
      <c r="CX18" s="229">
        <v>-0.39219999999999999</v>
      </c>
      <c r="CY18" s="228">
        <v>25.73</v>
      </c>
      <c r="CZ18" s="228">
        <v>27.26</v>
      </c>
      <c r="DA18" s="228">
        <v>-1.53</v>
      </c>
      <c r="DB18" s="228">
        <v>-1.53</v>
      </c>
      <c r="DC18" s="228">
        <v>32.840000000000003</v>
      </c>
      <c r="DD18" s="228">
        <v>32.92</v>
      </c>
      <c r="DE18" s="228">
        <v>-7.11</v>
      </c>
      <c r="DF18" s="228">
        <v>-0.08</v>
      </c>
      <c r="DG18" s="228">
        <v>25.94</v>
      </c>
      <c r="DH18" s="228">
        <v>27.59</v>
      </c>
      <c r="DI18" s="228">
        <v>-1.65</v>
      </c>
      <c r="DJ18" s="228">
        <v>-1.65</v>
      </c>
      <c r="DK18" s="228">
        <v>25.4</v>
      </c>
      <c r="DL18" s="228">
        <v>26.72</v>
      </c>
      <c r="DM18" s="228">
        <v>-1.32</v>
      </c>
      <c r="DN18" s="228">
        <v>-1.32</v>
      </c>
      <c r="DO18" s="228">
        <v>0.75</v>
      </c>
      <c r="DP18" s="228">
        <v>0.43</v>
      </c>
      <c r="DQ18" s="228">
        <v>0.32</v>
      </c>
      <c r="DR18" s="229">
        <v>0.74419999999999997</v>
      </c>
      <c r="DS18" s="231">
        <v>1290</v>
      </c>
      <c r="DT18" s="231">
        <v>1200</v>
      </c>
      <c r="DU18" s="228">
        <v>0.47</v>
      </c>
      <c r="DV18" s="228">
        <v>0.52</v>
      </c>
      <c r="DW18" s="228">
        <v>-0.05</v>
      </c>
      <c r="DX18" s="229">
        <v>-9.6199999999999994E-2</v>
      </c>
      <c r="DY18" s="229">
        <v>0.93420000000000003</v>
      </c>
      <c r="DZ18" s="230">
        <v>38425900</v>
      </c>
      <c r="EA18" s="229">
        <v>-5.0000000000000001E-4</v>
      </c>
      <c r="EB18" s="229">
        <v>0.93420000000000003</v>
      </c>
      <c r="EC18" s="228">
        <v>-5.34</v>
      </c>
      <c r="ED18" s="229">
        <v>-4.5999999999999999E-3</v>
      </c>
      <c r="EE18" s="230">
        <v>565909</v>
      </c>
      <c r="EF18" s="230">
        <v>608154</v>
      </c>
      <c r="EG18" s="229">
        <v>-6.9500000000000006E-2</v>
      </c>
      <c r="EH18" s="229">
        <v>0.43</v>
      </c>
      <c r="EI18" s="231">
        <v>141164.91</v>
      </c>
      <c r="EJ18" s="231">
        <v>64643.8</v>
      </c>
      <c r="EK18" s="231">
        <v>113245.05</v>
      </c>
      <c r="EL18" s="231">
        <v>58575</v>
      </c>
      <c r="EM18" s="231">
        <v>319053.76</v>
      </c>
      <c r="EN18" s="231">
        <v>679618.97</v>
      </c>
      <c r="EO18" s="231">
        <v>-360565.21</v>
      </c>
      <c r="EP18" s="229">
        <v>-0.53049999999999997</v>
      </c>
      <c r="EQ18" s="231">
        <v>53151</v>
      </c>
      <c r="ER18" s="231">
        <v>37922</v>
      </c>
      <c r="ES18" s="231">
        <v>462211</v>
      </c>
      <c r="ET18" s="231">
        <v>145140505</v>
      </c>
      <c r="EU18" s="231">
        <v>553284</v>
      </c>
      <c r="EV18" s="231">
        <v>930526</v>
      </c>
      <c r="EW18" s="231">
        <v>-377242</v>
      </c>
      <c r="EX18" s="229">
        <v>-0.40539999999999998</v>
      </c>
      <c r="EY18" s="229">
        <v>0.32679999999999998</v>
      </c>
    </row>
    <row r="19" spans="1:155" ht="17.25" thickBot="1" x14ac:dyDescent="0.3">
      <c r="A19" s="226">
        <v>46168</v>
      </c>
      <c r="B19" s="227" t="s">
        <v>172</v>
      </c>
      <c r="C19" s="227" t="s">
        <v>224</v>
      </c>
      <c r="D19" s="228">
        <v>771.85</v>
      </c>
      <c r="E19" s="228">
        <v>779.45</v>
      </c>
      <c r="F19" s="228">
        <v>-7.6</v>
      </c>
      <c r="G19" s="229">
        <v>-9.7999999999999997E-3</v>
      </c>
      <c r="H19" s="228">
        <v>778.9</v>
      </c>
      <c r="I19" s="228">
        <v>786.85</v>
      </c>
      <c r="J19" s="228">
        <v>-7.95</v>
      </c>
      <c r="K19" s="229">
        <v>-1.01E-2</v>
      </c>
      <c r="L19" s="228">
        <v>780</v>
      </c>
      <c r="M19" s="228">
        <v>787.55</v>
      </c>
      <c r="N19" s="228">
        <v>-7.55</v>
      </c>
      <c r="O19" s="229">
        <v>-9.5999999999999992E-3</v>
      </c>
      <c r="P19" s="228">
        <v>771.85</v>
      </c>
      <c r="Q19" s="228">
        <v>779.45</v>
      </c>
      <c r="R19" s="228">
        <v>-7.6</v>
      </c>
      <c r="S19" s="229">
        <v>-9.7999999999999997E-3</v>
      </c>
      <c r="T19" s="228">
        <v>776.5</v>
      </c>
      <c r="U19" s="228">
        <v>784.45</v>
      </c>
      <c r="V19" s="228">
        <v>-7.95</v>
      </c>
      <c r="W19" s="229">
        <v>-1.01E-2</v>
      </c>
      <c r="X19" s="228">
        <v>-7.05</v>
      </c>
      <c r="Y19" s="228">
        <v>0.7</v>
      </c>
      <c r="Z19" s="228">
        <v>-7.75</v>
      </c>
      <c r="AA19" s="229">
        <v>-9.1000000000000004E-3</v>
      </c>
      <c r="AB19" s="228">
        <v>1.1000000000000001</v>
      </c>
      <c r="AC19" s="228">
        <v>0.7</v>
      </c>
      <c r="AD19" s="228">
        <v>0.4</v>
      </c>
      <c r="AE19" s="229">
        <v>1.4E-3</v>
      </c>
      <c r="AF19" s="228">
        <v>-7.05</v>
      </c>
      <c r="AG19" s="228">
        <v>-7.4</v>
      </c>
      <c r="AH19" s="228">
        <v>0.35</v>
      </c>
      <c r="AI19" s="229">
        <v>-9.1000000000000004E-3</v>
      </c>
      <c r="AJ19" s="228">
        <v>-2.4</v>
      </c>
      <c r="AK19" s="228">
        <v>-2.4</v>
      </c>
      <c r="AL19" s="228">
        <v>0</v>
      </c>
      <c r="AM19" s="229">
        <v>-3.0999999999999999E-3</v>
      </c>
      <c r="AN19" s="228">
        <v>784.91</v>
      </c>
      <c r="AO19" s="228">
        <v>776.77</v>
      </c>
      <c r="AP19" s="228">
        <v>0</v>
      </c>
      <c r="AQ19" s="230">
        <v>98568</v>
      </c>
      <c r="AR19" s="230">
        <v>206591</v>
      </c>
      <c r="AS19" s="230">
        <v>-108023</v>
      </c>
      <c r="AT19" s="229">
        <v>-0.52290000000000003</v>
      </c>
      <c r="AU19" s="230">
        <v>36850</v>
      </c>
      <c r="AV19" s="230">
        <v>98164</v>
      </c>
      <c r="AW19" s="230">
        <v>-61314</v>
      </c>
      <c r="AX19" s="229">
        <v>-0.62460000000000004</v>
      </c>
      <c r="AY19" s="230">
        <v>59601</v>
      </c>
      <c r="AZ19" s="230">
        <v>105804</v>
      </c>
      <c r="BA19" s="230">
        <v>-46203</v>
      </c>
      <c r="BB19" s="229">
        <v>-0.43669999999999998</v>
      </c>
      <c r="BC19" s="230">
        <v>2117</v>
      </c>
      <c r="BD19" s="230">
        <v>2623</v>
      </c>
      <c r="BE19" s="228">
        <v>-506</v>
      </c>
      <c r="BF19" s="229">
        <v>-0.19289999999999999</v>
      </c>
      <c r="BG19" s="230">
        <v>153666</v>
      </c>
      <c r="BH19" s="230">
        <v>256104</v>
      </c>
      <c r="BI19" s="230">
        <v>-102438</v>
      </c>
      <c r="BJ19" s="229">
        <v>-0.4</v>
      </c>
      <c r="BK19" s="230">
        <v>84774</v>
      </c>
      <c r="BL19" s="230">
        <v>142925</v>
      </c>
      <c r="BM19" s="230">
        <v>-58151</v>
      </c>
      <c r="BN19" s="229">
        <v>-0.40689999999999998</v>
      </c>
      <c r="BO19" s="230">
        <v>337008</v>
      </c>
      <c r="BP19" s="230">
        <v>605620</v>
      </c>
      <c r="BQ19" s="230">
        <v>-268612</v>
      </c>
      <c r="BR19" s="229">
        <v>-0.44350000000000001</v>
      </c>
      <c r="BS19" s="230">
        <v>32460126</v>
      </c>
      <c r="BT19" s="230">
        <v>27008144</v>
      </c>
      <c r="BU19" s="230">
        <v>5451982</v>
      </c>
      <c r="BV19" s="229">
        <v>0.2019</v>
      </c>
      <c r="BW19" s="230">
        <v>353434050</v>
      </c>
      <c r="BX19" s="230">
        <v>364960350</v>
      </c>
      <c r="BY19" s="230">
        <v>-11526300</v>
      </c>
      <c r="BZ19" s="229">
        <v>-3.1600000000000003E-2</v>
      </c>
      <c r="CA19" s="230">
        <v>6763350</v>
      </c>
      <c r="CB19" s="230">
        <v>22565400</v>
      </c>
      <c r="CC19" s="230">
        <v>-15802050</v>
      </c>
      <c r="CD19" s="229">
        <v>-0.70030000000000003</v>
      </c>
      <c r="CE19" s="230">
        <v>320835900</v>
      </c>
      <c r="CF19" s="230">
        <v>310565750</v>
      </c>
      <c r="CG19" s="230">
        <v>10270150</v>
      </c>
      <c r="CH19" s="229">
        <v>3.3099999999999997E-2</v>
      </c>
      <c r="CI19" s="230">
        <v>32598150</v>
      </c>
      <c r="CJ19" s="230">
        <v>31829200</v>
      </c>
      <c r="CK19" s="230">
        <v>768950</v>
      </c>
      <c r="CL19" s="229">
        <v>2.4199999999999999E-2</v>
      </c>
      <c r="CM19" s="230">
        <v>45862000</v>
      </c>
      <c r="CN19" s="230">
        <v>75101800</v>
      </c>
      <c r="CO19" s="230">
        <v>-29239800</v>
      </c>
      <c r="CP19" s="229">
        <v>-0.38929999999999998</v>
      </c>
      <c r="CQ19" s="230">
        <v>28584650</v>
      </c>
      <c r="CR19" s="230">
        <v>50057850</v>
      </c>
      <c r="CS19" s="230">
        <v>-21473200</v>
      </c>
      <c r="CT19" s="229">
        <v>-0.42899999999999999</v>
      </c>
      <c r="CU19" s="230">
        <v>427880700</v>
      </c>
      <c r="CV19" s="230">
        <v>490120000</v>
      </c>
      <c r="CW19" s="230">
        <v>-62239300</v>
      </c>
      <c r="CX19" s="229">
        <v>-0.127</v>
      </c>
      <c r="CY19" s="228">
        <v>22.03</v>
      </c>
      <c r="CZ19" s="228">
        <v>23.59</v>
      </c>
      <c r="DA19" s="228">
        <v>-1.56</v>
      </c>
      <c r="DB19" s="228">
        <v>-1.56</v>
      </c>
      <c r="DC19" s="228">
        <v>25.58</v>
      </c>
      <c r="DD19" s="228">
        <v>25.6</v>
      </c>
      <c r="DE19" s="228">
        <v>-3.55</v>
      </c>
      <c r="DF19" s="228">
        <v>-0.02</v>
      </c>
      <c r="DG19" s="228">
        <v>22.08</v>
      </c>
      <c r="DH19" s="228">
        <v>23.88</v>
      </c>
      <c r="DI19" s="228">
        <v>-1.8</v>
      </c>
      <c r="DJ19" s="228">
        <v>-1.8</v>
      </c>
      <c r="DK19" s="228">
        <v>21.94</v>
      </c>
      <c r="DL19" s="228">
        <v>23.1</v>
      </c>
      <c r="DM19" s="228">
        <v>-1.1599999999999999</v>
      </c>
      <c r="DN19" s="228">
        <v>-1.1599999999999999</v>
      </c>
      <c r="DO19" s="228">
        <v>0.62</v>
      </c>
      <c r="DP19" s="228">
        <v>0.67</v>
      </c>
      <c r="DQ19" s="228">
        <v>-0.05</v>
      </c>
      <c r="DR19" s="229">
        <v>-7.46E-2</v>
      </c>
      <c r="DS19" s="228">
        <v>800</v>
      </c>
      <c r="DT19" s="228">
        <v>760</v>
      </c>
      <c r="DU19" s="228">
        <v>0.55000000000000004</v>
      </c>
      <c r="DV19" s="228">
        <v>0.56000000000000005</v>
      </c>
      <c r="DW19" s="228">
        <v>-0.01</v>
      </c>
      <c r="DX19" s="229">
        <v>-1.7899999999999999E-2</v>
      </c>
      <c r="DY19" s="229">
        <v>0.98119999999999996</v>
      </c>
      <c r="DZ19" s="230">
        <v>342394950</v>
      </c>
      <c r="EA19" s="229">
        <v>-1.04E-2</v>
      </c>
      <c r="EB19" s="229">
        <v>0.98119999999999996</v>
      </c>
      <c r="EC19" s="228">
        <v>-8.14</v>
      </c>
      <c r="ED19" s="229">
        <v>-1.04E-2</v>
      </c>
      <c r="EE19" s="230">
        <v>13439280</v>
      </c>
      <c r="EF19" s="230">
        <v>17754293</v>
      </c>
      <c r="EG19" s="229">
        <v>-0.24299999999999999</v>
      </c>
      <c r="EH19" s="229">
        <v>0.41399999999999998</v>
      </c>
      <c r="EI19" s="231">
        <v>687024.32</v>
      </c>
      <c r="EJ19" s="231">
        <v>366658.11</v>
      </c>
      <c r="EK19" s="231">
        <v>424461.26</v>
      </c>
      <c r="EL19" s="231">
        <v>196582</v>
      </c>
      <c r="EM19" s="231">
        <v>1478143.69</v>
      </c>
      <c r="EN19" s="231">
        <v>2632649.23</v>
      </c>
      <c r="EO19" s="231">
        <v>-1154505.54</v>
      </c>
      <c r="EP19" s="229">
        <v>-0.4385</v>
      </c>
      <c r="EQ19" s="231">
        <v>368950</v>
      </c>
      <c r="ER19" s="231">
        <v>220726</v>
      </c>
      <c r="ES19" s="231">
        <v>2729497</v>
      </c>
      <c r="ET19" s="231">
        <v>1496665645</v>
      </c>
      <c r="EU19" s="231">
        <v>3319173</v>
      </c>
      <c r="EV19" s="231">
        <v>3842044</v>
      </c>
      <c r="EW19" s="231">
        <v>-522871</v>
      </c>
      <c r="EX19" s="229">
        <v>-0.1361</v>
      </c>
      <c r="EY19" s="229">
        <v>0.28589999999999999</v>
      </c>
    </row>
    <row r="20" spans="1:155" ht="17.25" thickBot="1" x14ac:dyDescent="0.3">
      <c r="A20" s="226">
        <v>46168</v>
      </c>
      <c r="B20" s="227" t="s">
        <v>175</v>
      </c>
      <c r="C20" s="227" t="s">
        <v>225</v>
      </c>
      <c r="D20" s="228">
        <v>620.25</v>
      </c>
      <c r="E20" s="228">
        <v>621.54999999999995</v>
      </c>
      <c r="F20" s="228">
        <v>-1.3</v>
      </c>
      <c r="G20" s="229">
        <v>-2.0999999999999999E-3</v>
      </c>
      <c r="H20" s="228">
        <v>618.85</v>
      </c>
      <c r="I20" s="228">
        <v>620</v>
      </c>
      <c r="J20" s="228">
        <v>-1.1499999999999999</v>
      </c>
      <c r="K20" s="229">
        <v>-1.9E-3</v>
      </c>
      <c r="L20" s="228">
        <v>616.9</v>
      </c>
      <c r="M20" s="228">
        <v>619.25</v>
      </c>
      <c r="N20" s="228">
        <v>-2.35</v>
      </c>
      <c r="O20" s="229">
        <v>-3.8E-3</v>
      </c>
      <c r="P20" s="228">
        <v>620.25</v>
      </c>
      <c r="Q20" s="228">
        <v>621.54999999999995</v>
      </c>
      <c r="R20" s="228">
        <v>-1.3</v>
      </c>
      <c r="S20" s="229">
        <v>-2.0999999999999999E-3</v>
      </c>
      <c r="T20" s="228">
        <v>624.4</v>
      </c>
      <c r="U20" s="228">
        <v>625.15</v>
      </c>
      <c r="V20" s="228">
        <v>-0.75</v>
      </c>
      <c r="W20" s="229">
        <v>-1.1999999999999999E-3</v>
      </c>
      <c r="X20" s="228">
        <v>1.4</v>
      </c>
      <c r="Y20" s="228">
        <v>-0.75</v>
      </c>
      <c r="Z20" s="228">
        <v>2.15</v>
      </c>
      <c r="AA20" s="229">
        <v>2.3E-3</v>
      </c>
      <c r="AB20" s="228">
        <v>-1.95</v>
      </c>
      <c r="AC20" s="228">
        <v>-0.75</v>
      </c>
      <c r="AD20" s="228">
        <v>-1.2</v>
      </c>
      <c r="AE20" s="229">
        <v>-3.2000000000000002E-3</v>
      </c>
      <c r="AF20" s="228">
        <v>1.4</v>
      </c>
      <c r="AG20" s="228">
        <v>1.55</v>
      </c>
      <c r="AH20" s="228">
        <v>-0.15</v>
      </c>
      <c r="AI20" s="229">
        <v>2.3E-3</v>
      </c>
      <c r="AJ20" s="228">
        <v>5.55</v>
      </c>
      <c r="AK20" s="228">
        <v>5.15</v>
      </c>
      <c r="AL20" s="228">
        <v>0.4</v>
      </c>
      <c r="AM20" s="229">
        <v>8.9999999999999993E-3</v>
      </c>
      <c r="AN20" s="228">
        <v>619.41999999999996</v>
      </c>
      <c r="AO20" s="228">
        <v>621.91999999999996</v>
      </c>
      <c r="AP20" s="228">
        <v>0</v>
      </c>
      <c r="AQ20" s="230">
        <v>10614</v>
      </c>
      <c r="AR20" s="230">
        <v>19899</v>
      </c>
      <c r="AS20" s="230">
        <v>-9285</v>
      </c>
      <c r="AT20" s="229">
        <v>-0.46660000000000001</v>
      </c>
      <c r="AU20" s="230">
        <v>4991</v>
      </c>
      <c r="AV20" s="230">
        <v>9860</v>
      </c>
      <c r="AW20" s="230">
        <v>-4869</v>
      </c>
      <c r="AX20" s="229">
        <v>-0.49380000000000002</v>
      </c>
      <c r="AY20" s="230">
        <v>5556</v>
      </c>
      <c r="AZ20" s="230">
        <v>9736</v>
      </c>
      <c r="BA20" s="230">
        <v>-4180</v>
      </c>
      <c r="BB20" s="229">
        <v>-0.42930000000000001</v>
      </c>
      <c r="BC20" s="228">
        <v>67</v>
      </c>
      <c r="BD20" s="228">
        <v>303</v>
      </c>
      <c r="BE20" s="228">
        <v>-236</v>
      </c>
      <c r="BF20" s="229">
        <v>-0.77890000000000004</v>
      </c>
      <c r="BG20" s="230">
        <v>10896</v>
      </c>
      <c r="BH20" s="230">
        <v>14079</v>
      </c>
      <c r="BI20" s="230">
        <v>-3183</v>
      </c>
      <c r="BJ20" s="229">
        <v>-0.2261</v>
      </c>
      <c r="BK20" s="230">
        <v>5604</v>
      </c>
      <c r="BL20" s="230">
        <v>8352</v>
      </c>
      <c r="BM20" s="230">
        <v>-2748</v>
      </c>
      <c r="BN20" s="229">
        <v>-0.32900000000000001</v>
      </c>
      <c r="BO20" s="230">
        <v>27114</v>
      </c>
      <c r="BP20" s="230">
        <v>42330</v>
      </c>
      <c r="BQ20" s="230">
        <v>-15216</v>
      </c>
      <c r="BR20" s="229">
        <v>-0.35949999999999999</v>
      </c>
      <c r="BS20" s="230">
        <v>2279987</v>
      </c>
      <c r="BT20" s="230">
        <v>1764233</v>
      </c>
      <c r="BU20" s="230">
        <v>515754</v>
      </c>
      <c r="BV20" s="229">
        <v>0.2923</v>
      </c>
      <c r="BW20" s="230">
        <v>52350100</v>
      </c>
      <c r="BX20" s="230">
        <v>57472800</v>
      </c>
      <c r="BY20" s="230">
        <v>-5122700</v>
      </c>
      <c r="BZ20" s="229">
        <v>-8.9099999999999999E-2</v>
      </c>
      <c r="CA20" s="230">
        <v>4588100</v>
      </c>
      <c r="CB20" s="230">
        <v>7852900</v>
      </c>
      <c r="CC20" s="230">
        <v>-3264800</v>
      </c>
      <c r="CD20" s="229">
        <v>-0.41570000000000001</v>
      </c>
      <c r="CE20" s="230">
        <v>49286600</v>
      </c>
      <c r="CF20" s="230">
        <v>46575100</v>
      </c>
      <c r="CG20" s="230">
        <v>2711500</v>
      </c>
      <c r="CH20" s="229">
        <v>5.8200000000000002E-2</v>
      </c>
      <c r="CI20" s="230">
        <v>3063500</v>
      </c>
      <c r="CJ20" s="230">
        <v>3044800</v>
      </c>
      <c r="CK20" s="230">
        <v>18700</v>
      </c>
      <c r="CL20" s="229">
        <v>6.1000000000000004E-3</v>
      </c>
      <c r="CM20" s="230">
        <v>6441600</v>
      </c>
      <c r="CN20" s="230">
        <v>20981400</v>
      </c>
      <c r="CO20" s="230">
        <v>-14539800</v>
      </c>
      <c r="CP20" s="229">
        <v>-0.69299999999999995</v>
      </c>
      <c r="CQ20" s="230">
        <v>4813600</v>
      </c>
      <c r="CR20" s="230">
        <v>14788400</v>
      </c>
      <c r="CS20" s="230">
        <v>-9974800</v>
      </c>
      <c r="CT20" s="229">
        <v>-0.67449999999999999</v>
      </c>
      <c r="CU20" s="230">
        <v>63605300</v>
      </c>
      <c r="CV20" s="230">
        <v>93242600</v>
      </c>
      <c r="CW20" s="230">
        <v>-29637300</v>
      </c>
      <c r="CX20" s="229">
        <v>-0.31790000000000002</v>
      </c>
      <c r="CY20" s="228">
        <v>22.19</v>
      </c>
      <c r="CZ20" s="228">
        <v>22.49</v>
      </c>
      <c r="DA20" s="228">
        <v>-0.3</v>
      </c>
      <c r="DB20" s="228">
        <v>-0.3</v>
      </c>
      <c r="DC20" s="228">
        <v>27.59</v>
      </c>
      <c r="DD20" s="228">
        <v>27.66</v>
      </c>
      <c r="DE20" s="228">
        <v>-5.4</v>
      </c>
      <c r="DF20" s="228">
        <v>-7.0000000000000007E-2</v>
      </c>
      <c r="DG20" s="228">
        <v>21.52</v>
      </c>
      <c r="DH20" s="228">
        <v>22.11</v>
      </c>
      <c r="DI20" s="228">
        <v>-0.59</v>
      </c>
      <c r="DJ20" s="228">
        <v>-0.59</v>
      </c>
      <c r="DK20" s="228">
        <v>23.42</v>
      </c>
      <c r="DL20" s="228">
        <v>23.2</v>
      </c>
      <c r="DM20" s="228">
        <v>0.22</v>
      </c>
      <c r="DN20" s="228">
        <v>0.22</v>
      </c>
      <c r="DO20" s="228">
        <v>0.75</v>
      </c>
      <c r="DP20" s="228">
        <v>0.7</v>
      </c>
      <c r="DQ20" s="228">
        <v>0.05</v>
      </c>
      <c r="DR20" s="229">
        <v>7.1400000000000005E-2</v>
      </c>
      <c r="DS20" s="228">
        <v>600</v>
      </c>
      <c r="DT20" s="228">
        <v>585</v>
      </c>
      <c r="DU20" s="228">
        <v>0.51</v>
      </c>
      <c r="DV20" s="228">
        <v>0.59</v>
      </c>
      <c r="DW20" s="228">
        <v>-0.08</v>
      </c>
      <c r="DX20" s="229">
        <v>-0.1356</v>
      </c>
      <c r="DY20" s="229">
        <v>0.9194</v>
      </c>
      <c r="DZ20" s="230">
        <v>49619900</v>
      </c>
      <c r="EA20" s="229">
        <v>5.4000000000000003E-3</v>
      </c>
      <c r="EB20" s="229">
        <v>0.9194</v>
      </c>
      <c r="EC20" s="228">
        <v>2.5</v>
      </c>
      <c r="ED20" s="229">
        <v>4.0000000000000001E-3</v>
      </c>
      <c r="EE20" s="230">
        <v>1223257</v>
      </c>
      <c r="EF20" s="230">
        <v>1072030</v>
      </c>
      <c r="EG20" s="229">
        <v>0.1411</v>
      </c>
      <c r="EH20" s="229">
        <v>0.53649999999999998</v>
      </c>
      <c r="EI20" s="231">
        <v>76385.600000000006</v>
      </c>
      <c r="EJ20" s="231">
        <v>38071.71</v>
      </c>
      <c r="EK20" s="231">
        <v>72477.45</v>
      </c>
      <c r="EL20" s="231">
        <v>19385</v>
      </c>
      <c r="EM20" s="231">
        <v>186934.76</v>
      </c>
      <c r="EN20" s="231">
        <v>290538.53999999998</v>
      </c>
      <c r="EO20" s="231">
        <v>-103603.78</v>
      </c>
      <c r="EP20" s="229">
        <v>-0.35659999999999997</v>
      </c>
      <c r="EQ20" s="231">
        <v>41494</v>
      </c>
      <c r="ER20" s="231">
        <v>28931</v>
      </c>
      <c r="ES20" s="231">
        <v>324829</v>
      </c>
      <c r="ET20" s="231">
        <v>156090005</v>
      </c>
      <c r="EU20" s="231">
        <v>395254</v>
      </c>
      <c r="EV20" s="231">
        <v>576318</v>
      </c>
      <c r="EW20" s="231">
        <v>-181064</v>
      </c>
      <c r="EX20" s="229">
        <v>-0.31419999999999998</v>
      </c>
      <c r="EY20" s="229">
        <v>0.40749999999999997</v>
      </c>
    </row>
    <row r="21" spans="1:155" ht="17.25" thickBot="1" x14ac:dyDescent="0.3">
      <c r="A21" s="226">
        <v>46168</v>
      </c>
      <c r="B21" s="227" t="s">
        <v>227</v>
      </c>
      <c r="C21" s="227" t="s">
        <v>228</v>
      </c>
      <c r="D21" s="231">
        <v>1114</v>
      </c>
      <c r="E21" s="231">
        <v>1105.4000000000001</v>
      </c>
      <c r="F21" s="228">
        <v>8.6</v>
      </c>
      <c r="G21" s="229">
        <v>7.7999999999999996E-3</v>
      </c>
      <c r="H21" s="231">
        <v>1103.8</v>
      </c>
      <c r="I21" s="231">
        <v>1099.5999999999999</v>
      </c>
      <c r="J21" s="228">
        <v>4.2</v>
      </c>
      <c r="K21" s="229">
        <v>3.8E-3</v>
      </c>
      <c r="L21" s="231">
        <v>1106.4000000000001</v>
      </c>
      <c r="M21" s="231">
        <v>1099.5999999999999</v>
      </c>
      <c r="N21" s="228">
        <v>6.8</v>
      </c>
      <c r="O21" s="229">
        <v>6.1999999999999998E-3</v>
      </c>
      <c r="P21" s="231">
        <v>1114</v>
      </c>
      <c r="Q21" s="231">
        <v>1105.4000000000001</v>
      </c>
      <c r="R21" s="228">
        <v>8.6</v>
      </c>
      <c r="S21" s="229">
        <v>7.7999999999999996E-3</v>
      </c>
      <c r="T21" s="231">
        <v>1114.3</v>
      </c>
      <c r="U21" s="231">
        <v>1106.0999999999999</v>
      </c>
      <c r="V21" s="228">
        <v>8.1999999999999993</v>
      </c>
      <c r="W21" s="229">
        <v>7.4000000000000003E-3</v>
      </c>
      <c r="X21" s="228">
        <v>10.199999999999999</v>
      </c>
      <c r="Y21" s="228">
        <v>0</v>
      </c>
      <c r="Z21" s="228">
        <v>10.199999999999999</v>
      </c>
      <c r="AA21" s="229">
        <v>9.1999999999999998E-3</v>
      </c>
      <c r="AB21" s="228">
        <v>2.6</v>
      </c>
      <c r="AC21" s="228">
        <v>0</v>
      </c>
      <c r="AD21" s="228">
        <v>2.6</v>
      </c>
      <c r="AE21" s="229">
        <v>2.3999999999999998E-3</v>
      </c>
      <c r="AF21" s="228">
        <v>10.199999999999999</v>
      </c>
      <c r="AG21" s="228">
        <v>5.8</v>
      </c>
      <c r="AH21" s="228">
        <v>4.4000000000000004</v>
      </c>
      <c r="AI21" s="229">
        <v>9.1999999999999998E-3</v>
      </c>
      <c r="AJ21" s="228">
        <v>10.5</v>
      </c>
      <c r="AK21" s="228">
        <v>6.5</v>
      </c>
      <c r="AL21" s="228">
        <v>4</v>
      </c>
      <c r="AM21" s="229">
        <v>9.4999999999999998E-3</v>
      </c>
      <c r="AN21" s="231">
        <v>1109.72</v>
      </c>
      <c r="AO21" s="231">
        <v>1116.21</v>
      </c>
      <c r="AP21" s="228">
        <v>0</v>
      </c>
      <c r="AQ21" s="230">
        <v>13446</v>
      </c>
      <c r="AR21" s="230">
        <v>34981</v>
      </c>
      <c r="AS21" s="230">
        <v>-21535</v>
      </c>
      <c r="AT21" s="229">
        <v>-0.61560000000000004</v>
      </c>
      <c r="AU21" s="230">
        <v>4540</v>
      </c>
      <c r="AV21" s="230">
        <v>15198</v>
      </c>
      <c r="AW21" s="230">
        <v>-10658</v>
      </c>
      <c r="AX21" s="229">
        <v>-0.70130000000000003</v>
      </c>
      <c r="AY21" s="230">
        <v>8661</v>
      </c>
      <c r="AZ21" s="230">
        <v>19048</v>
      </c>
      <c r="BA21" s="230">
        <v>-10387</v>
      </c>
      <c r="BB21" s="229">
        <v>-0.54530000000000001</v>
      </c>
      <c r="BC21" s="228">
        <v>245</v>
      </c>
      <c r="BD21" s="228">
        <v>735</v>
      </c>
      <c r="BE21" s="228">
        <v>-490</v>
      </c>
      <c r="BF21" s="229">
        <v>-0.66669999999999996</v>
      </c>
      <c r="BG21" s="230">
        <v>30478</v>
      </c>
      <c r="BH21" s="230">
        <v>89529</v>
      </c>
      <c r="BI21" s="230">
        <v>-59051</v>
      </c>
      <c r="BJ21" s="229">
        <v>-0.65959999999999996</v>
      </c>
      <c r="BK21" s="230">
        <v>17465</v>
      </c>
      <c r="BL21" s="230">
        <v>51629</v>
      </c>
      <c r="BM21" s="230">
        <v>-34164</v>
      </c>
      <c r="BN21" s="229">
        <v>-0.66169999999999995</v>
      </c>
      <c r="BO21" s="230">
        <v>61389</v>
      </c>
      <c r="BP21" s="230">
        <v>176139</v>
      </c>
      <c r="BQ21" s="230">
        <v>-114750</v>
      </c>
      <c r="BR21" s="229">
        <v>-0.65149999999999997</v>
      </c>
      <c r="BS21" s="230">
        <v>6002464</v>
      </c>
      <c r="BT21" s="230">
        <v>8261424</v>
      </c>
      <c r="BU21" s="230">
        <v>-2258960</v>
      </c>
      <c r="BV21" s="229">
        <v>-0.27339999999999998</v>
      </c>
      <c r="BW21" s="230">
        <v>33159000</v>
      </c>
      <c r="BX21" s="230">
        <v>34743100</v>
      </c>
      <c r="BY21" s="230">
        <v>-1584100</v>
      </c>
      <c r="BZ21" s="229">
        <v>-4.5600000000000002E-2</v>
      </c>
      <c r="CA21" s="230">
        <v>2204300</v>
      </c>
      <c r="CB21" s="230">
        <v>3644200</v>
      </c>
      <c r="CC21" s="230">
        <v>-1439900</v>
      </c>
      <c r="CD21" s="229">
        <v>-0.39510000000000001</v>
      </c>
      <c r="CE21" s="230">
        <v>31025400</v>
      </c>
      <c r="CF21" s="230">
        <v>29002400</v>
      </c>
      <c r="CG21" s="230">
        <v>2023000</v>
      </c>
      <c r="CH21" s="229">
        <v>6.9800000000000001E-2</v>
      </c>
      <c r="CI21" s="230">
        <v>2133600</v>
      </c>
      <c r="CJ21" s="230">
        <v>2096500</v>
      </c>
      <c r="CK21" s="230">
        <v>37100</v>
      </c>
      <c r="CL21" s="229">
        <v>1.77E-2</v>
      </c>
      <c r="CM21" s="230">
        <v>5843600</v>
      </c>
      <c r="CN21" s="230">
        <v>11851700</v>
      </c>
      <c r="CO21" s="230">
        <v>-6008100</v>
      </c>
      <c r="CP21" s="229">
        <v>-0.50690000000000002</v>
      </c>
      <c r="CQ21" s="230">
        <v>3735900</v>
      </c>
      <c r="CR21" s="230">
        <v>10140900</v>
      </c>
      <c r="CS21" s="230">
        <v>-6405000</v>
      </c>
      <c r="CT21" s="229">
        <v>-0.63160000000000005</v>
      </c>
      <c r="CU21" s="230">
        <v>42738500</v>
      </c>
      <c r="CV21" s="230">
        <v>56735700</v>
      </c>
      <c r="CW21" s="230">
        <v>-13997200</v>
      </c>
      <c r="CX21" s="229">
        <v>-0.2467</v>
      </c>
      <c r="CY21" s="228">
        <v>27.37</v>
      </c>
      <c r="CZ21" s="228">
        <v>29.51</v>
      </c>
      <c r="DA21" s="228">
        <v>-2.14</v>
      </c>
      <c r="DB21" s="228">
        <v>-2.14</v>
      </c>
      <c r="DC21" s="228">
        <v>36.159999999999997</v>
      </c>
      <c r="DD21" s="228">
        <v>36.25</v>
      </c>
      <c r="DE21" s="228">
        <v>-8.7899999999999991</v>
      </c>
      <c r="DF21" s="228">
        <v>-0.09</v>
      </c>
      <c r="DG21" s="228">
        <v>27.12</v>
      </c>
      <c r="DH21" s="228">
        <v>29.29</v>
      </c>
      <c r="DI21" s="228">
        <v>-2.17</v>
      </c>
      <c r="DJ21" s="228">
        <v>-2.17</v>
      </c>
      <c r="DK21" s="228">
        <v>27.84</v>
      </c>
      <c r="DL21" s="228">
        <v>29.83</v>
      </c>
      <c r="DM21" s="228">
        <v>-1.99</v>
      </c>
      <c r="DN21" s="228">
        <v>-1.99</v>
      </c>
      <c r="DO21" s="228">
        <v>0.64</v>
      </c>
      <c r="DP21" s="228">
        <v>0.86</v>
      </c>
      <c r="DQ21" s="228">
        <v>-0.22</v>
      </c>
      <c r="DR21" s="229">
        <v>-0.25580000000000003</v>
      </c>
      <c r="DS21" s="231">
        <v>1110</v>
      </c>
      <c r="DT21" s="231">
        <v>1050</v>
      </c>
      <c r="DU21" s="228">
        <v>0.56999999999999995</v>
      </c>
      <c r="DV21" s="228">
        <v>0.57999999999999996</v>
      </c>
      <c r="DW21" s="228">
        <v>-0.01</v>
      </c>
      <c r="DX21" s="229">
        <v>-1.72E-2</v>
      </c>
      <c r="DY21" s="229">
        <v>0.93769999999999998</v>
      </c>
      <c r="DZ21" s="230">
        <v>31098900</v>
      </c>
      <c r="EA21" s="229">
        <v>6.8999999999999999E-3</v>
      </c>
      <c r="EB21" s="229">
        <v>0.93769999999999998</v>
      </c>
      <c r="EC21" s="228">
        <v>6.49</v>
      </c>
      <c r="ED21" s="229">
        <v>5.7999999999999996E-3</v>
      </c>
      <c r="EE21" s="230">
        <v>3191422</v>
      </c>
      <c r="EF21" s="230">
        <v>3646263</v>
      </c>
      <c r="EG21" s="229">
        <v>-0.12470000000000001</v>
      </c>
      <c r="EH21" s="229">
        <v>0.53169999999999995</v>
      </c>
      <c r="EI21" s="231">
        <v>245141.37</v>
      </c>
      <c r="EJ21" s="231">
        <v>133236.03</v>
      </c>
      <c r="EK21" s="231">
        <v>104855.07</v>
      </c>
      <c r="EL21" s="231">
        <v>24791</v>
      </c>
      <c r="EM21" s="231">
        <v>483232.47</v>
      </c>
      <c r="EN21" s="231">
        <v>1365428.41</v>
      </c>
      <c r="EO21" s="231">
        <v>-882195.94</v>
      </c>
      <c r="EP21" s="229">
        <v>-0.64610000000000001</v>
      </c>
      <c r="EQ21" s="231">
        <v>65561</v>
      </c>
      <c r="ER21" s="231">
        <v>39409</v>
      </c>
      <c r="ES21" s="231">
        <v>369398</v>
      </c>
      <c r="ET21" s="231">
        <v>218611634</v>
      </c>
      <c r="EU21" s="231">
        <v>474368</v>
      </c>
      <c r="EV21" s="231">
        <v>621157</v>
      </c>
      <c r="EW21" s="231">
        <v>-146789</v>
      </c>
      <c r="EX21" s="229">
        <v>-0.23630000000000001</v>
      </c>
      <c r="EY21" s="229">
        <v>0.19550000000000001</v>
      </c>
    </row>
    <row r="22" spans="1:155" ht="17.25" thickBot="1" x14ac:dyDescent="0.3">
      <c r="A22" s="226">
        <v>46168</v>
      </c>
      <c r="B22" s="227" t="s">
        <v>168</v>
      </c>
      <c r="C22" s="227" t="s">
        <v>230</v>
      </c>
      <c r="D22" s="231">
        <v>2195.1</v>
      </c>
      <c r="E22" s="231">
        <v>2193</v>
      </c>
      <c r="F22" s="228">
        <v>2.1</v>
      </c>
      <c r="G22" s="229">
        <v>1E-3</v>
      </c>
      <c r="H22" s="231">
        <v>2209.4</v>
      </c>
      <c r="I22" s="231">
        <v>2196.5</v>
      </c>
      <c r="J22" s="228">
        <v>12.9</v>
      </c>
      <c r="K22" s="229">
        <v>5.8999999999999999E-3</v>
      </c>
      <c r="L22" s="231">
        <v>2202.8000000000002</v>
      </c>
      <c r="M22" s="231">
        <v>2202.4</v>
      </c>
      <c r="N22" s="228">
        <v>0.4</v>
      </c>
      <c r="O22" s="229">
        <v>2.0000000000000001E-4</v>
      </c>
      <c r="P22" s="231">
        <v>2195.1</v>
      </c>
      <c r="Q22" s="231">
        <v>2193</v>
      </c>
      <c r="R22" s="228">
        <v>2.1</v>
      </c>
      <c r="S22" s="229">
        <v>1E-3</v>
      </c>
      <c r="T22" s="231">
        <v>2209.1</v>
      </c>
      <c r="U22" s="231">
        <v>2205.8000000000002</v>
      </c>
      <c r="V22" s="228">
        <v>3.3</v>
      </c>
      <c r="W22" s="229">
        <v>1.5E-3</v>
      </c>
      <c r="X22" s="228">
        <v>-14.3</v>
      </c>
      <c r="Y22" s="228">
        <v>5.9</v>
      </c>
      <c r="Z22" s="228">
        <v>-20.2</v>
      </c>
      <c r="AA22" s="229">
        <v>-6.4999999999999997E-3</v>
      </c>
      <c r="AB22" s="228">
        <v>-6.6</v>
      </c>
      <c r="AC22" s="228">
        <v>5.9</v>
      </c>
      <c r="AD22" s="228">
        <v>-12.5</v>
      </c>
      <c r="AE22" s="229">
        <v>-3.0000000000000001E-3</v>
      </c>
      <c r="AF22" s="228">
        <v>-14.3</v>
      </c>
      <c r="AG22" s="228">
        <v>-3.5</v>
      </c>
      <c r="AH22" s="228">
        <v>-10.8</v>
      </c>
      <c r="AI22" s="229">
        <v>-6.4999999999999997E-3</v>
      </c>
      <c r="AJ22" s="228">
        <v>-0.3</v>
      </c>
      <c r="AK22" s="228">
        <v>9.3000000000000007</v>
      </c>
      <c r="AL22" s="228">
        <v>-9.6</v>
      </c>
      <c r="AM22" s="229">
        <v>-1E-4</v>
      </c>
      <c r="AN22" s="231">
        <v>2204.65</v>
      </c>
      <c r="AO22" s="231">
        <v>2197.25</v>
      </c>
      <c r="AP22" s="228">
        <v>0</v>
      </c>
      <c r="AQ22" s="230">
        <v>14107</v>
      </c>
      <c r="AR22" s="230">
        <v>23280</v>
      </c>
      <c r="AS22" s="230">
        <v>-9173</v>
      </c>
      <c r="AT22" s="229">
        <v>-0.39400000000000002</v>
      </c>
      <c r="AU22" s="230">
        <v>5314</v>
      </c>
      <c r="AV22" s="230">
        <v>10228</v>
      </c>
      <c r="AW22" s="230">
        <v>-4914</v>
      </c>
      <c r="AX22" s="229">
        <v>-0.48039999999999999</v>
      </c>
      <c r="AY22" s="230">
        <v>8630</v>
      </c>
      <c r="AZ22" s="230">
        <v>12851</v>
      </c>
      <c r="BA22" s="230">
        <v>-4221</v>
      </c>
      <c r="BB22" s="229">
        <v>-0.32850000000000001</v>
      </c>
      <c r="BC22" s="228">
        <v>163</v>
      </c>
      <c r="BD22" s="228">
        <v>201</v>
      </c>
      <c r="BE22" s="228">
        <v>-38</v>
      </c>
      <c r="BF22" s="229">
        <v>-0.18909999999999999</v>
      </c>
      <c r="BG22" s="230">
        <v>21486</v>
      </c>
      <c r="BH22" s="230">
        <v>28865</v>
      </c>
      <c r="BI22" s="230">
        <v>-7379</v>
      </c>
      <c r="BJ22" s="229">
        <v>-0.25559999999999999</v>
      </c>
      <c r="BK22" s="230">
        <v>12885</v>
      </c>
      <c r="BL22" s="230">
        <v>15264</v>
      </c>
      <c r="BM22" s="230">
        <v>-2379</v>
      </c>
      <c r="BN22" s="229">
        <v>-0.15590000000000001</v>
      </c>
      <c r="BO22" s="230">
        <v>48478</v>
      </c>
      <c r="BP22" s="230">
        <v>67409</v>
      </c>
      <c r="BQ22" s="230">
        <v>-18931</v>
      </c>
      <c r="BR22" s="229">
        <v>-0.28079999999999999</v>
      </c>
      <c r="BS22" s="230">
        <v>2367055</v>
      </c>
      <c r="BT22" s="230">
        <v>802498</v>
      </c>
      <c r="BU22" s="230">
        <v>1564557</v>
      </c>
      <c r="BV22" s="229">
        <v>1.9496</v>
      </c>
      <c r="BW22" s="230">
        <v>15632400</v>
      </c>
      <c r="BX22" s="230">
        <v>17071800</v>
      </c>
      <c r="BY22" s="230">
        <v>-1439400</v>
      </c>
      <c r="BZ22" s="229">
        <v>-8.43E-2</v>
      </c>
      <c r="CA22" s="230">
        <v>1516200</v>
      </c>
      <c r="CB22" s="230">
        <v>2393400</v>
      </c>
      <c r="CC22" s="230">
        <v>-877200</v>
      </c>
      <c r="CD22" s="229">
        <v>-0.36649999999999999</v>
      </c>
      <c r="CE22" s="230">
        <v>15362100</v>
      </c>
      <c r="CF22" s="230">
        <v>14435700</v>
      </c>
      <c r="CG22" s="230">
        <v>926400</v>
      </c>
      <c r="CH22" s="229">
        <v>6.4199999999999993E-2</v>
      </c>
      <c r="CI22" s="230">
        <v>270300</v>
      </c>
      <c r="CJ22" s="230">
        <v>242700</v>
      </c>
      <c r="CK22" s="230">
        <v>27600</v>
      </c>
      <c r="CL22" s="229">
        <v>0.1137</v>
      </c>
      <c r="CM22" s="230">
        <v>3802200</v>
      </c>
      <c r="CN22" s="230">
        <v>11082600</v>
      </c>
      <c r="CO22" s="230">
        <v>-7280400</v>
      </c>
      <c r="CP22" s="229">
        <v>-0.65690000000000004</v>
      </c>
      <c r="CQ22" s="230">
        <v>2075700</v>
      </c>
      <c r="CR22" s="230">
        <v>5369400</v>
      </c>
      <c r="CS22" s="230">
        <v>-3293700</v>
      </c>
      <c r="CT22" s="229">
        <v>-0.61339999999999995</v>
      </c>
      <c r="CU22" s="230">
        <v>21510300</v>
      </c>
      <c r="CV22" s="230">
        <v>33523800</v>
      </c>
      <c r="CW22" s="230">
        <v>-12013500</v>
      </c>
      <c r="CX22" s="229">
        <v>-0.3584</v>
      </c>
      <c r="CY22" s="228">
        <v>20.53</v>
      </c>
      <c r="CZ22" s="228">
        <v>21.06</v>
      </c>
      <c r="DA22" s="228">
        <v>-0.53</v>
      </c>
      <c r="DB22" s="228">
        <v>-0.53</v>
      </c>
      <c r="DC22" s="228">
        <v>24.47</v>
      </c>
      <c r="DD22" s="228">
        <v>24.52</v>
      </c>
      <c r="DE22" s="228">
        <v>-3.94</v>
      </c>
      <c r="DF22" s="228">
        <v>-0.05</v>
      </c>
      <c r="DG22" s="228">
        <v>20.88</v>
      </c>
      <c r="DH22" s="228">
        <v>21.38</v>
      </c>
      <c r="DI22" s="228">
        <v>-0.5</v>
      </c>
      <c r="DJ22" s="228">
        <v>-0.5</v>
      </c>
      <c r="DK22" s="228">
        <v>19.77</v>
      </c>
      <c r="DL22" s="228">
        <v>20.37</v>
      </c>
      <c r="DM22" s="228">
        <v>-0.6</v>
      </c>
      <c r="DN22" s="228">
        <v>-0.6</v>
      </c>
      <c r="DO22" s="228">
        <v>0.55000000000000004</v>
      </c>
      <c r="DP22" s="228">
        <v>0.48</v>
      </c>
      <c r="DQ22" s="228">
        <v>7.0000000000000007E-2</v>
      </c>
      <c r="DR22" s="229">
        <v>0.14580000000000001</v>
      </c>
      <c r="DS22" s="231">
        <v>2400</v>
      </c>
      <c r="DT22" s="231">
        <v>2300</v>
      </c>
      <c r="DU22" s="228">
        <v>0.6</v>
      </c>
      <c r="DV22" s="228">
        <v>0.53</v>
      </c>
      <c r="DW22" s="228">
        <v>7.0000000000000007E-2</v>
      </c>
      <c r="DX22" s="229">
        <v>0.1321</v>
      </c>
      <c r="DY22" s="229">
        <v>0.91159999999999997</v>
      </c>
      <c r="DZ22" s="230">
        <v>14678400</v>
      </c>
      <c r="EA22" s="229">
        <v>-3.5000000000000001E-3</v>
      </c>
      <c r="EB22" s="229">
        <v>0.91159999999999997</v>
      </c>
      <c r="EC22" s="228">
        <v>-7.4</v>
      </c>
      <c r="ED22" s="229">
        <v>-3.3999999999999998E-3</v>
      </c>
      <c r="EE22" s="230">
        <v>1533784</v>
      </c>
      <c r="EF22" s="230">
        <v>464400</v>
      </c>
      <c r="EG22" s="229">
        <v>2.3027000000000002</v>
      </c>
      <c r="EH22" s="229">
        <v>0.64800000000000002</v>
      </c>
      <c r="EI22" s="231">
        <v>147977.89000000001</v>
      </c>
      <c r="EJ22" s="231">
        <v>85399.679999999993</v>
      </c>
      <c r="EK22" s="231">
        <v>93112.99</v>
      </c>
      <c r="EL22" s="231">
        <v>24446</v>
      </c>
      <c r="EM22" s="231">
        <v>326490.56</v>
      </c>
      <c r="EN22" s="231">
        <v>455299.84000000003</v>
      </c>
      <c r="EO22" s="231">
        <v>-128809.28</v>
      </c>
      <c r="EP22" s="229">
        <v>-0.28289999999999998</v>
      </c>
      <c r="EQ22" s="231">
        <v>87923</v>
      </c>
      <c r="ER22" s="231">
        <v>45326</v>
      </c>
      <c r="ES22" s="231">
        <v>343185</v>
      </c>
      <c r="ET22" s="231">
        <v>89517840</v>
      </c>
      <c r="EU22" s="231">
        <v>476433</v>
      </c>
      <c r="EV22" s="231">
        <v>754301</v>
      </c>
      <c r="EW22" s="231">
        <v>-277868</v>
      </c>
      <c r="EX22" s="229">
        <v>-0.36840000000000001</v>
      </c>
      <c r="EY22" s="229">
        <v>0.24030000000000001</v>
      </c>
    </row>
    <row r="23" spans="1:155" ht="17.25" thickBot="1" x14ac:dyDescent="0.3">
      <c r="A23" s="226">
        <v>46168</v>
      </c>
      <c r="B23" s="227" t="s">
        <v>172</v>
      </c>
      <c r="C23" s="227" t="s">
        <v>232</v>
      </c>
      <c r="D23" s="231">
        <v>1290.2</v>
      </c>
      <c r="E23" s="231">
        <v>1300.3</v>
      </c>
      <c r="F23" s="228">
        <v>-10.1</v>
      </c>
      <c r="G23" s="229">
        <v>-7.7999999999999996E-3</v>
      </c>
      <c r="H23" s="231">
        <v>1279.0999999999999</v>
      </c>
      <c r="I23" s="231">
        <v>1291.8</v>
      </c>
      <c r="J23" s="228">
        <v>-12.7</v>
      </c>
      <c r="K23" s="229">
        <v>-9.7999999999999997E-3</v>
      </c>
      <c r="L23" s="231">
        <v>1279.4000000000001</v>
      </c>
      <c r="M23" s="231">
        <v>1290.9000000000001</v>
      </c>
      <c r="N23" s="228">
        <v>-11.5</v>
      </c>
      <c r="O23" s="229">
        <v>-8.8999999999999999E-3</v>
      </c>
      <c r="P23" s="231">
        <v>1290.2</v>
      </c>
      <c r="Q23" s="231">
        <v>1300.3</v>
      </c>
      <c r="R23" s="228">
        <v>-10.1</v>
      </c>
      <c r="S23" s="229">
        <v>-7.7999999999999996E-3</v>
      </c>
      <c r="T23" s="231">
        <v>1295.9000000000001</v>
      </c>
      <c r="U23" s="231">
        <v>1308.5999999999999</v>
      </c>
      <c r="V23" s="228">
        <v>-12.7</v>
      </c>
      <c r="W23" s="229">
        <v>-9.7000000000000003E-3</v>
      </c>
      <c r="X23" s="228">
        <v>11.1</v>
      </c>
      <c r="Y23" s="228">
        <v>-0.9</v>
      </c>
      <c r="Z23" s="228">
        <v>12</v>
      </c>
      <c r="AA23" s="229">
        <v>8.6999999999999994E-3</v>
      </c>
      <c r="AB23" s="228">
        <v>0.3</v>
      </c>
      <c r="AC23" s="228">
        <v>-0.9</v>
      </c>
      <c r="AD23" s="228">
        <v>1.2</v>
      </c>
      <c r="AE23" s="229">
        <v>2.0000000000000001E-4</v>
      </c>
      <c r="AF23" s="228">
        <v>11.1</v>
      </c>
      <c r="AG23" s="228">
        <v>8.5</v>
      </c>
      <c r="AH23" s="228">
        <v>2.6</v>
      </c>
      <c r="AI23" s="229">
        <v>8.6999999999999994E-3</v>
      </c>
      <c r="AJ23" s="228">
        <v>16.8</v>
      </c>
      <c r="AK23" s="228">
        <v>16.8</v>
      </c>
      <c r="AL23" s="228">
        <v>0</v>
      </c>
      <c r="AM23" s="229">
        <v>1.3100000000000001E-2</v>
      </c>
      <c r="AN23" s="231">
        <v>1289.1500000000001</v>
      </c>
      <c r="AO23" s="231">
        <v>1299.4100000000001</v>
      </c>
      <c r="AP23" s="228">
        <v>0</v>
      </c>
      <c r="AQ23" s="230">
        <v>66285</v>
      </c>
      <c r="AR23" s="230">
        <v>89424</v>
      </c>
      <c r="AS23" s="230">
        <v>-23139</v>
      </c>
      <c r="AT23" s="229">
        <v>-0.25879999999999997</v>
      </c>
      <c r="AU23" s="230">
        <v>29528</v>
      </c>
      <c r="AV23" s="230">
        <v>44098</v>
      </c>
      <c r="AW23" s="230">
        <v>-14570</v>
      </c>
      <c r="AX23" s="229">
        <v>-0.33040000000000003</v>
      </c>
      <c r="AY23" s="230">
        <v>36105</v>
      </c>
      <c r="AZ23" s="230">
        <v>44883</v>
      </c>
      <c r="BA23" s="230">
        <v>-8778</v>
      </c>
      <c r="BB23" s="229">
        <v>-0.1956</v>
      </c>
      <c r="BC23" s="228">
        <v>652</v>
      </c>
      <c r="BD23" s="228">
        <v>443</v>
      </c>
      <c r="BE23" s="228">
        <v>209</v>
      </c>
      <c r="BF23" s="229">
        <v>0.4718</v>
      </c>
      <c r="BG23" s="230">
        <v>60324</v>
      </c>
      <c r="BH23" s="230">
        <v>114679</v>
      </c>
      <c r="BI23" s="230">
        <v>-54355</v>
      </c>
      <c r="BJ23" s="229">
        <v>-0.47399999999999998</v>
      </c>
      <c r="BK23" s="230">
        <v>41282</v>
      </c>
      <c r="BL23" s="230">
        <v>67363</v>
      </c>
      <c r="BM23" s="230">
        <v>-26081</v>
      </c>
      <c r="BN23" s="229">
        <v>-0.38719999999999999</v>
      </c>
      <c r="BO23" s="230">
        <v>167891</v>
      </c>
      <c r="BP23" s="230">
        <v>271466</v>
      </c>
      <c r="BQ23" s="230">
        <v>-103575</v>
      </c>
      <c r="BR23" s="229">
        <v>-0.38150000000000001</v>
      </c>
      <c r="BS23" s="230">
        <v>18565338</v>
      </c>
      <c r="BT23" s="230">
        <v>14277779</v>
      </c>
      <c r="BU23" s="230">
        <v>4287559</v>
      </c>
      <c r="BV23" s="229">
        <v>0.30030000000000001</v>
      </c>
      <c r="BW23" s="230">
        <v>157894800</v>
      </c>
      <c r="BX23" s="230">
        <v>165757900</v>
      </c>
      <c r="BY23" s="230">
        <v>-7863100</v>
      </c>
      <c r="BZ23" s="229">
        <v>-4.7399999999999998E-2</v>
      </c>
      <c r="CA23" s="230">
        <v>15957200</v>
      </c>
      <c r="CB23" s="230">
        <v>22606500</v>
      </c>
      <c r="CC23" s="230">
        <v>-6649300</v>
      </c>
      <c r="CD23" s="229">
        <v>-0.29409999999999997</v>
      </c>
      <c r="CE23" s="230">
        <v>152499200</v>
      </c>
      <c r="CF23" s="230">
        <v>137953200</v>
      </c>
      <c r="CG23" s="230">
        <v>14546000</v>
      </c>
      <c r="CH23" s="229">
        <v>0.10539999999999999</v>
      </c>
      <c r="CI23" s="230">
        <v>5395600</v>
      </c>
      <c r="CJ23" s="230">
        <v>5198200</v>
      </c>
      <c r="CK23" s="230">
        <v>197400</v>
      </c>
      <c r="CL23" s="229">
        <v>3.7999999999999999E-2</v>
      </c>
      <c r="CM23" s="230">
        <v>12620300</v>
      </c>
      <c r="CN23" s="230">
        <v>33882100</v>
      </c>
      <c r="CO23" s="230">
        <v>-21261800</v>
      </c>
      <c r="CP23" s="229">
        <v>-0.62749999999999995</v>
      </c>
      <c r="CQ23" s="230">
        <v>13486200</v>
      </c>
      <c r="CR23" s="230">
        <v>25811100</v>
      </c>
      <c r="CS23" s="230">
        <v>-12324900</v>
      </c>
      <c r="CT23" s="229">
        <v>-0.47749999999999998</v>
      </c>
      <c r="CU23" s="230">
        <v>184001300</v>
      </c>
      <c r="CV23" s="230">
        <v>225451100</v>
      </c>
      <c r="CW23" s="230">
        <v>-41449800</v>
      </c>
      <c r="CX23" s="229">
        <v>-0.18390000000000001</v>
      </c>
      <c r="CY23" s="228">
        <v>17.82</v>
      </c>
      <c r="CZ23" s="228">
        <v>18.77</v>
      </c>
      <c r="DA23" s="228">
        <v>-0.95</v>
      </c>
      <c r="DB23" s="228">
        <v>-0.95</v>
      </c>
      <c r="DC23" s="228">
        <v>23.97</v>
      </c>
      <c r="DD23" s="228">
        <v>23.99</v>
      </c>
      <c r="DE23" s="228">
        <v>-6.15</v>
      </c>
      <c r="DF23" s="228">
        <v>-0.02</v>
      </c>
      <c r="DG23" s="228">
        <v>17.93</v>
      </c>
      <c r="DH23" s="228">
        <v>18.62</v>
      </c>
      <c r="DI23" s="228">
        <v>-0.69</v>
      </c>
      <c r="DJ23" s="228">
        <v>-0.69</v>
      </c>
      <c r="DK23" s="228">
        <v>17.670000000000002</v>
      </c>
      <c r="DL23" s="228">
        <v>19.010000000000002</v>
      </c>
      <c r="DM23" s="228">
        <v>-1.34</v>
      </c>
      <c r="DN23" s="228">
        <v>-1.34</v>
      </c>
      <c r="DO23" s="228">
        <v>1.07</v>
      </c>
      <c r="DP23" s="228">
        <v>0.76</v>
      </c>
      <c r="DQ23" s="228">
        <v>0.31</v>
      </c>
      <c r="DR23" s="229">
        <v>0.40789999999999998</v>
      </c>
      <c r="DS23" s="231">
        <v>1300</v>
      </c>
      <c r="DT23" s="231">
        <v>1300</v>
      </c>
      <c r="DU23" s="228">
        <v>0.68</v>
      </c>
      <c r="DV23" s="228">
        <v>0.59</v>
      </c>
      <c r="DW23" s="228">
        <v>0.09</v>
      </c>
      <c r="DX23" s="229">
        <v>0.1525</v>
      </c>
      <c r="DY23" s="229">
        <v>0.90820000000000001</v>
      </c>
      <c r="DZ23" s="230">
        <v>143151400</v>
      </c>
      <c r="EA23" s="229">
        <v>8.3999999999999995E-3</v>
      </c>
      <c r="EB23" s="229">
        <v>0.90820000000000001</v>
      </c>
      <c r="EC23" s="228">
        <v>10.26</v>
      </c>
      <c r="ED23" s="229">
        <v>8.0000000000000002E-3</v>
      </c>
      <c r="EE23" s="230">
        <v>8095905</v>
      </c>
      <c r="EF23" s="230">
        <v>9952022</v>
      </c>
      <c r="EG23" s="229">
        <v>-0.1865</v>
      </c>
      <c r="EH23" s="229">
        <v>0.43609999999999999</v>
      </c>
      <c r="EI23" s="231">
        <v>564306.25</v>
      </c>
      <c r="EJ23" s="231">
        <v>376347.64</v>
      </c>
      <c r="EK23" s="231">
        <v>600826.03</v>
      </c>
      <c r="EL23" s="231">
        <v>81605</v>
      </c>
      <c r="EM23" s="231">
        <v>1541479.92</v>
      </c>
      <c r="EN23" s="231">
        <v>2455153.9</v>
      </c>
      <c r="EO23" s="231">
        <v>-913673.98</v>
      </c>
      <c r="EP23" s="229">
        <v>-0.37209999999999999</v>
      </c>
      <c r="EQ23" s="231">
        <v>166562</v>
      </c>
      <c r="ER23" s="231">
        <v>172914</v>
      </c>
      <c r="ES23" s="231">
        <v>2037466</v>
      </c>
      <c r="ET23" s="231">
        <v>668616020</v>
      </c>
      <c r="EU23" s="231">
        <v>2376942</v>
      </c>
      <c r="EV23" s="231">
        <v>2929853</v>
      </c>
      <c r="EW23" s="231">
        <v>-552911</v>
      </c>
      <c r="EX23" s="229">
        <v>-0.18870000000000001</v>
      </c>
      <c r="EY23" s="229">
        <v>0.2752</v>
      </c>
    </row>
    <row r="24" spans="1:155" ht="17.25" thickBot="1" x14ac:dyDescent="0.3">
      <c r="A24" s="226">
        <v>46168</v>
      </c>
      <c r="B24" s="227" t="s">
        <v>215</v>
      </c>
      <c r="C24" s="227" t="s">
        <v>238</v>
      </c>
      <c r="D24" s="231">
        <v>4507.3</v>
      </c>
      <c r="E24" s="231">
        <v>4518</v>
      </c>
      <c r="F24" s="228">
        <v>-10.7</v>
      </c>
      <c r="G24" s="229">
        <v>-2.3999999999999998E-3</v>
      </c>
      <c r="H24" s="231">
        <v>4480.8</v>
      </c>
      <c r="I24" s="231">
        <v>4501.8999999999996</v>
      </c>
      <c r="J24" s="228">
        <v>-21.1</v>
      </c>
      <c r="K24" s="229">
        <v>-4.7000000000000002E-3</v>
      </c>
      <c r="L24" s="231">
        <v>4471.5</v>
      </c>
      <c r="M24" s="231">
        <v>4481.6000000000004</v>
      </c>
      <c r="N24" s="228">
        <v>-10.1</v>
      </c>
      <c r="O24" s="229">
        <v>-2.3E-3</v>
      </c>
      <c r="P24" s="231">
        <v>4507.3</v>
      </c>
      <c r="Q24" s="231">
        <v>4518</v>
      </c>
      <c r="R24" s="228">
        <v>-10.7</v>
      </c>
      <c r="S24" s="229">
        <v>-2.3999999999999998E-3</v>
      </c>
      <c r="T24" s="231">
        <v>4533.6000000000004</v>
      </c>
      <c r="U24" s="231">
        <v>4539</v>
      </c>
      <c r="V24" s="228">
        <v>-5.4</v>
      </c>
      <c r="W24" s="229">
        <v>-1.1999999999999999E-3</v>
      </c>
      <c r="X24" s="228">
        <v>26.5</v>
      </c>
      <c r="Y24" s="228">
        <v>-20.3</v>
      </c>
      <c r="Z24" s="228">
        <v>46.8</v>
      </c>
      <c r="AA24" s="229">
        <v>5.8999999999999999E-3</v>
      </c>
      <c r="AB24" s="228">
        <v>-9.3000000000000007</v>
      </c>
      <c r="AC24" s="228">
        <v>-20.3</v>
      </c>
      <c r="AD24" s="228">
        <v>11</v>
      </c>
      <c r="AE24" s="229">
        <v>-2.0999999999999999E-3</v>
      </c>
      <c r="AF24" s="228">
        <v>26.5</v>
      </c>
      <c r="AG24" s="228">
        <v>16.100000000000001</v>
      </c>
      <c r="AH24" s="228">
        <v>10.4</v>
      </c>
      <c r="AI24" s="229">
        <v>5.8999999999999999E-3</v>
      </c>
      <c r="AJ24" s="228">
        <v>52.8</v>
      </c>
      <c r="AK24" s="228">
        <v>37.1</v>
      </c>
      <c r="AL24" s="228">
        <v>15.7</v>
      </c>
      <c r="AM24" s="229">
        <v>1.18E-2</v>
      </c>
      <c r="AN24" s="231">
        <v>4471.54</v>
      </c>
      <c r="AO24" s="231">
        <v>4506.2</v>
      </c>
      <c r="AP24" s="228">
        <v>0</v>
      </c>
      <c r="AQ24" s="230">
        <v>28002</v>
      </c>
      <c r="AR24" s="230">
        <v>43596</v>
      </c>
      <c r="AS24" s="230">
        <v>-15594</v>
      </c>
      <c r="AT24" s="229">
        <v>-0.35770000000000002</v>
      </c>
      <c r="AU24" s="230">
        <v>13060</v>
      </c>
      <c r="AV24" s="230">
        <v>21811</v>
      </c>
      <c r="AW24" s="230">
        <v>-8751</v>
      </c>
      <c r="AX24" s="229">
        <v>-0.4012</v>
      </c>
      <c r="AY24" s="230">
        <v>14729</v>
      </c>
      <c r="AZ24" s="230">
        <v>21583</v>
      </c>
      <c r="BA24" s="230">
        <v>-6854</v>
      </c>
      <c r="BB24" s="229">
        <v>-0.31759999999999999</v>
      </c>
      <c r="BC24" s="228">
        <v>213</v>
      </c>
      <c r="BD24" s="228">
        <v>202</v>
      </c>
      <c r="BE24" s="228">
        <v>11</v>
      </c>
      <c r="BF24" s="229">
        <v>5.45E-2</v>
      </c>
      <c r="BG24" s="230">
        <v>48109</v>
      </c>
      <c r="BH24" s="230">
        <v>137249</v>
      </c>
      <c r="BI24" s="230">
        <v>-89140</v>
      </c>
      <c r="BJ24" s="229">
        <v>-0.64949999999999997</v>
      </c>
      <c r="BK24" s="230">
        <v>30904</v>
      </c>
      <c r="BL24" s="230">
        <v>190864</v>
      </c>
      <c r="BM24" s="230">
        <v>-159960</v>
      </c>
      <c r="BN24" s="229">
        <v>-0.83809999999999996</v>
      </c>
      <c r="BO24" s="230">
        <v>107015</v>
      </c>
      <c r="BP24" s="230">
        <v>371709</v>
      </c>
      <c r="BQ24" s="230">
        <v>-264694</v>
      </c>
      <c r="BR24" s="229">
        <v>-0.71209999999999996</v>
      </c>
      <c r="BS24" s="230">
        <v>781161</v>
      </c>
      <c r="BT24" s="230">
        <v>2577026</v>
      </c>
      <c r="BU24" s="230">
        <v>-1795865</v>
      </c>
      <c r="BV24" s="229">
        <v>-0.69689999999999996</v>
      </c>
      <c r="BW24" s="230">
        <v>7481850</v>
      </c>
      <c r="BX24" s="230">
        <v>8314350</v>
      </c>
      <c r="BY24" s="230">
        <v>-832500</v>
      </c>
      <c r="BZ24" s="229">
        <v>-0.10009999999999999</v>
      </c>
      <c r="CA24" s="230">
        <v>1473450</v>
      </c>
      <c r="CB24" s="230">
        <v>1524750</v>
      </c>
      <c r="CC24" s="230">
        <v>-51300</v>
      </c>
      <c r="CD24" s="229">
        <v>-3.3599999999999998E-2</v>
      </c>
      <c r="CE24" s="230">
        <v>7402050</v>
      </c>
      <c r="CF24" s="230">
        <v>6727950</v>
      </c>
      <c r="CG24" s="230">
        <v>674100</v>
      </c>
      <c r="CH24" s="229">
        <v>0.1002</v>
      </c>
      <c r="CI24" s="230">
        <v>79800</v>
      </c>
      <c r="CJ24" s="230">
        <v>61650</v>
      </c>
      <c r="CK24" s="230">
        <v>18150</v>
      </c>
      <c r="CL24" s="229">
        <v>0.2944</v>
      </c>
      <c r="CM24" s="230">
        <v>1461750</v>
      </c>
      <c r="CN24" s="230">
        <v>5614500</v>
      </c>
      <c r="CO24" s="230">
        <v>-4152750</v>
      </c>
      <c r="CP24" s="229">
        <v>-0.73960000000000004</v>
      </c>
      <c r="CQ24" s="230">
        <v>1419900</v>
      </c>
      <c r="CR24" s="230">
        <v>3552600</v>
      </c>
      <c r="CS24" s="230">
        <v>-2132700</v>
      </c>
      <c r="CT24" s="229">
        <v>-0.60029999999999994</v>
      </c>
      <c r="CU24" s="230">
        <v>10363500</v>
      </c>
      <c r="CV24" s="230">
        <v>17481450</v>
      </c>
      <c r="CW24" s="230">
        <v>-7117950</v>
      </c>
      <c r="CX24" s="229">
        <v>-0.40720000000000001</v>
      </c>
      <c r="CY24" s="228">
        <v>32.17</v>
      </c>
      <c r="CZ24" s="228">
        <v>31.89</v>
      </c>
      <c r="DA24" s="228">
        <v>0.28000000000000003</v>
      </c>
      <c r="DB24" s="228">
        <v>0.28000000000000003</v>
      </c>
      <c r="DC24" s="228">
        <v>40.159999999999997</v>
      </c>
      <c r="DD24" s="228">
        <v>40.26</v>
      </c>
      <c r="DE24" s="228">
        <v>-7.99</v>
      </c>
      <c r="DF24" s="228">
        <v>-0.1</v>
      </c>
      <c r="DG24" s="228">
        <v>31.65</v>
      </c>
      <c r="DH24" s="228">
        <v>31.69</v>
      </c>
      <c r="DI24" s="228">
        <v>-0.04</v>
      </c>
      <c r="DJ24" s="228">
        <v>-0.04</v>
      </c>
      <c r="DK24" s="228">
        <v>32.92</v>
      </c>
      <c r="DL24" s="228">
        <v>32.25</v>
      </c>
      <c r="DM24" s="228">
        <v>0.67</v>
      </c>
      <c r="DN24" s="228">
        <v>0.67</v>
      </c>
      <c r="DO24" s="228">
        <v>0.97</v>
      </c>
      <c r="DP24" s="228">
        <v>0.63</v>
      </c>
      <c r="DQ24" s="228">
        <v>0.34</v>
      </c>
      <c r="DR24" s="229">
        <v>0.53969999999999996</v>
      </c>
      <c r="DS24" s="231">
        <v>4600</v>
      </c>
      <c r="DT24" s="231">
        <v>4200</v>
      </c>
      <c r="DU24" s="228">
        <v>0.64</v>
      </c>
      <c r="DV24" s="228">
        <v>1.39</v>
      </c>
      <c r="DW24" s="228">
        <v>-0.75</v>
      </c>
      <c r="DX24" s="229">
        <v>-0.53959999999999997</v>
      </c>
      <c r="DY24" s="229">
        <v>0.83550000000000002</v>
      </c>
      <c r="DZ24" s="230">
        <v>6789600</v>
      </c>
      <c r="EA24" s="229">
        <v>8.0000000000000002E-3</v>
      </c>
      <c r="EB24" s="229">
        <v>0.83550000000000002</v>
      </c>
      <c r="EC24" s="228">
        <v>34.659999999999997</v>
      </c>
      <c r="ED24" s="229">
        <v>7.7999999999999996E-3</v>
      </c>
      <c r="EE24" s="230">
        <v>291587</v>
      </c>
      <c r="EF24" s="230">
        <v>1447551</v>
      </c>
      <c r="EG24" s="229">
        <v>-0.79859999999999998</v>
      </c>
      <c r="EH24" s="229">
        <v>0.37330000000000002</v>
      </c>
      <c r="EI24" s="231">
        <v>335373.51</v>
      </c>
      <c r="EJ24" s="231">
        <v>205929.85</v>
      </c>
      <c r="EK24" s="231">
        <v>188602.28</v>
      </c>
      <c r="EL24" s="231">
        <v>26476</v>
      </c>
      <c r="EM24" s="231">
        <v>729905.64</v>
      </c>
      <c r="EN24" s="231">
        <v>2499328.2200000002</v>
      </c>
      <c r="EO24" s="231">
        <v>-1769422.58</v>
      </c>
      <c r="EP24" s="229">
        <v>-0.70799999999999996</v>
      </c>
      <c r="EQ24" s="231">
        <v>68717</v>
      </c>
      <c r="ER24" s="231">
        <v>61749</v>
      </c>
      <c r="ES24" s="231">
        <v>337250</v>
      </c>
      <c r="ET24" s="231">
        <v>33878797</v>
      </c>
      <c r="EU24" s="231">
        <v>467717</v>
      </c>
      <c r="EV24" s="231">
        <v>787001</v>
      </c>
      <c r="EW24" s="231">
        <v>-319284</v>
      </c>
      <c r="EX24" s="229">
        <v>-0.40570000000000001</v>
      </c>
      <c r="EY24" s="229">
        <v>0.30590000000000001</v>
      </c>
    </row>
    <row r="25" spans="1:155" ht="17.25" thickBot="1" x14ac:dyDescent="0.3">
      <c r="A25" s="226">
        <v>46168</v>
      </c>
      <c r="B25" s="227" t="s">
        <v>221</v>
      </c>
      <c r="C25" s="227" t="s">
        <v>240</v>
      </c>
      <c r="D25" s="231">
        <v>1166</v>
      </c>
      <c r="E25" s="231">
        <v>1158.5999999999999</v>
      </c>
      <c r="F25" s="228">
        <v>7.4</v>
      </c>
      <c r="G25" s="229">
        <v>6.4000000000000003E-3</v>
      </c>
      <c r="H25" s="231">
        <v>1167.7</v>
      </c>
      <c r="I25" s="231">
        <v>1168.5</v>
      </c>
      <c r="J25" s="228">
        <v>-0.8</v>
      </c>
      <c r="K25" s="229">
        <v>-6.9999999999999999E-4</v>
      </c>
      <c r="L25" s="231">
        <v>1165.9000000000001</v>
      </c>
      <c r="M25" s="231">
        <v>1169.7</v>
      </c>
      <c r="N25" s="228">
        <v>-3.8</v>
      </c>
      <c r="O25" s="229">
        <v>-3.2000000000000002E-3</v>
      </c>
      <c r="P25" s="231">
        <v>1166</v>
      </c>
      <c r="Q25" s="231">
        <v>1158.5999999999999</v>
      </c>
      <c r="R25" s="228">
        <v>7.4</v>
      </c>
      <c r="S25" s="229">
        <v>6.4000000000000003E-3</v>
      </c>
      <c r="T25" s="231">
        <v>1165.0999999999999</v>
      </c>
      <c r="U25" s="231">
        <v>1153.5</v>
      </c>
      <c r="V25" s="228">
        <v>11.6</v>
      </c>
      <c r="W25" s="229">
        <v>1.01E-2</v>
      </c>
      <c r="X25" s="228">
        <v>-1.7</v>
      </c>
      <c r="Y25" s="228">
        <v>1.2</v>
      </c>
      <c r="Z25" s="228">
        <v>-2.9</v>
      </c>
      <c r="AA25" s="229">
        <v>-1.5E-3</v>
      </c>
      <c r="AB25" s="228">
        <v>-1.8</v>
      </c>
      <c r="AC25" s="228">
        <v>1.2</v>
      </c>
      <c r="AD25" s="228">
        <v>-3</v>
      </c>
      <c r="AE25" s="229">
        <v>-1.5E-3</v>
      </c>
      <c r="AF25" s="228">
        <v>-1.7</v>
      </c>
      <c r="AG25" s="228">
        <v>-9.9</v>
      </c>
      <c r="AH25" s="228">
        <v>8.1999999999999993</v>
      </c>
      <c r="AI25" s="229">
        <v>-1.5E-3</v>
      </c>
      <c r="AJ25" s="228">
        <v>-2.6</v>
      </c>
      <c r="AK25" s="228">
        <v>-15</v>
      </c>
      <c r="AL25" s="228">
        <v>12.4</v>
      </c>
      <c r="AM25" s="229">
        <v>-2.2000000000000001E-3</v>
      </c>
      <c r="AN25" s="231">
        <v>1174.1199999999999</v>
      </c>
      <c r="AO25" s="231">
        <v>1168.3599999999999</v>
      </c>
      <c r="AP25" s="228">
        <v>0</v>
      </c>
      <c r="AQ25" s="230">
        <v>57853</v>
      </c>
      <c r="AR25" s="230">
        <v>142106</v>
      </c>
      <c r="AS25" s="230">
        <v>-84253</v>
      </c>
      <c r="AT25" s="229">
        <v>-0.59289999999999998</v>
      </c>
      <c r="AU25" s="230">
        <v>23821</v>
      </c>
      <c r="AV25" s="230">
        <v>66431</v>
      </c>
      <c r="AW25" s="230">
        <v>-42610</v>
      </c>
      <c r="AX25" s="229">
        <v>-0.64139999999999997</v>
      </c>
      <c r="AY25" s="230">
        <v>32567</v>
      </c>
      <c r="AZ25" s="230">
        <v>72792</v>
      </c>
      <c r="BA25" s="230">
        <v>-40225</v>
      </c>
      <c r="BB25" s="229">
        <v>-0.55259999999999998</v>
      </c>
      <c r="BC25" s="230">
        <v>1465</v>
      </c>
      <c r="BD25" s="230">
        <v>2883</v>
      </c>
      <c r="BE25" s="230">
        <v>-1418</v>
      </c>
      <c r="BF25" s="229">
        <v>-0.49180000000000001</v>
      </c>
      <c r="BG25" s="230">
        <v>79775</v>
      </c>
      <c r="BH25" s="230">
        <v>120197</v>
      </c>
      <c r="BI25" s="230">
        <v>-40422</v>
      </c>
      <c r="BJ25" s="229">
        <v>-0.33629999999999999</v>
      </c>
      <c r="BK25" s="230">
        <v>48068</v>
      </c>
      <c r="BL25" s="230">
        <v>73652</v>
      </c>
      <c r="BM25" s="230">
        <v>-25584</v>
      </c>
      <c r="BN25" s="229">
        <v>-0.34739999999999999</v>
      </c>
      <c r="BO25" s="230">
        <v>185696</v>
      </c>
      <c r="BP25" s="230">
        <v>335955</v>
      </c>
      <c r="BQ25" s="230">
        <v>-150259</v>
      </c>
      <c r="BR25" s="229">
        <v>-0.44729999999999998</v>
      </c>
      <c r="BS25" s="230">
        <v>8255095</v>
      </c>
      <c r="BT25" s="230">
        <v>6060522</v>
      </c>
      <c r="BU25" s="230">
        <v>2194573</v>
      </c>
      <c r="BV25" s="229">
        <v>0.36209999999999998</v>
      </c>
      <c r="BW25" s="230">
        <v>93046800</v>
      </c>
      <c r="BX25" s="230">
        <v>99424000</v>
      </c>
      <c r="BY25" s="230">
        <v>-6377200</v>
      </c>
      <c r="BZ25" s="229">
        <v>-6.4100000000000004E-2</v>
      </c>
      <c r="CA25" s="230">
        <v>5922800</v>
      </c>
      <c r="CB25" s="230">
        <v>10686800</v>
      </c>
      <c r="CC25" s="230">
        <v>-4764000</v>
      </c>
      <c r="CD25" s="229">
        <v>-0.44579999999999997</v>
      </c>
      <c r="CE25" s="230">
        <v>90862800</v>
      </c>
      <c r="CF25" s="230">
        <v>86839600</v>
      </c>
      <c r="CG25" s="230">
        <v>4023200</v>
      </c>
      <c r="CH25" s="229">
        <v>4.6300000000000001E-2</v>
      </c>
      <c r="CI25" s="230">
        <v>2184000</v>
      </c>
      <c r="CJ25" s="230">
        <v>1897600</v>
      </c>
      <c r="CK25" s="230">
        <v>286400</v>
      </c>
      <c r="CL25" s="229">
        <v>0.15090000000000001</v>
      </c>
      <c r="CM25" s="230">
        <v>12822000</v>
      </c>
      <c r="CN25" s="230">
        <v>38588000</v>
      </c>
      <c r="CO25" s="230">
        <v>-25766000</v>
      </c>
      <c r="CP25" s="229">
        <v>-0.66769999999999996</v>
      </c>
      <c r="CQ25" s="230">
        <v>11729200</v>
      </c>
      <c r="CR25" s="230">
        <v>25776000</v>
      </c>
      <c r="CS25" s="230">
        <v>-14046800</v>
      </c>
      <c r="CT25" s="229">
        <v>-0.54500000000000004</v>
      </c>
      <c r="CU25" s="230">
        <v>117598000</v>
      </c>
      <c r="CV25" s="230">
        <v>163788000</v>
      </c>
      <c r="CW25" s="230">
        <v>-46190000</v>
      </c>
      <c r="CX25" s="229">
        <v>-0.28199999999999997</v>
      </c>
      <c r="CY25" s="228">
        <v>27.1</v>
      </c>
      <c r="CZ25" s="228">
        <v>27.82</v>
      </c>
      <c r="DA25" s="228">
        <v>-0.72</v>
      </c>
      <c r="DB25" s="228">
        <v>-0.72</v>
      </c>
      <c r="DC25" s="228">
        <v>32.64</v>
      </c>
      <c r="DD25" s="228">
        <v>32.72</v>
      </c>
      <c r="DE25" s="228">
        <v>-5.54</v>
      </c>
      <c r="DF25" s="228">
        <v>-0.08</v>
      </c>
      <c r="DG25" s="228">
        <v>26.71</v>
      </c>
      <c r="DH25" s="228">
        <v>28.16</v>
      </c>
      <c r="DI25" s="228">
        <v>-1.45</v>
      </c>
      <c r="DJ25" s="228">
        <v>-1.45</v>
      </c>
      <c r="DK25" s="228">
        <v>27.67</v>
      </c>
      <c r="DL25" s="228">
        <v>27.34</v>
      </c>
      <c r="DM25" s="228">
        <v>0.33</v>
      </c>
      <c r="DN25" s="228">
        <v>0.33</v>
      </c>
      <c r="DO25" s="228">
        <v>0.91</v>
      </c>
      <c r="DP25" s="228">
        <v>0.67</v>
      </c>
      <c r="DQ25" s="228">
        <v>0.24</v>
      </c>
      <c r="DR25" s="229">
        <v>0.35820000000000002</v>
      </c>
      <c r="DS25" s="231">
        <v>1200</v>
      </c>
      <c r="DT25" s="231">
        <v>1200</v>
      </c>
      <c r="DU25" s="228">
        <v>0.6</v>
      </c>
      <c r="DV25" s="228">
        <v>0.61</v>
      </c>
      <c r="DW25" s="228">
        <v>-0.01</v>
      </c>
      <c r="DX25" s="229">
        <v>-1.6400000000000001E-2</v>
      </c>
      <c r="DY25" s="229">
        <v>0.94020000000000004</v>
      </c>
      <c r="DZ25" s="230">
        <v>88737200</v>
      </c>
      <c r="EA25" s="229">
        <v>1E-4</v>
      </c>
      <c r="EB25" s="229">
        <v>0.94020000000000004</v>
      </c>
      <c r="EC25" s="228">
        <v>-5.76</v>
      </c>
      <c r="ED25" s="229">
        <v>-4.8999999999999998E-3</v>
      </c>
      <c r="EE25" s="230">
        <v>4441680</v>
      </c>
      <c r="EF25" s="230">
        <v>3390102</v>
      </c>
      <c r="EG25" s="229">
        <v>0.31019999999999998</v>
      </c>
      <c r="EH25" s="229">
        <v>0.53810000000000002</v>
      </c>
      <c r="EI25" s="231">
        <v>392068.08</v>
      </c>
      <c r="EJ25" s="231">
        <v>229703.3</v>
      </c>
      <c r="EK25" s="231">
        <v>270913.53999999998</v>
      </c>
      <c r="EL25" s="231">
        <v>121152</v>
      </c>
      <c r="EM25" s="231">
        <v>892684.92</v>
      </c>
      <c r="EN25" s="231">
        <v>1595120.6</v>
      </c>
      <c r="EO25" s="231">
        <v>-702435.68</v>
      </c>
      <c r="EP25" s="229">
        <v>-0.44040000000000001</v>
      </c>
      <c r="EQ25" s="231">
        <v>157408</v>
      </c>
      <c r="ER25" s="231">
        <v>137386</v>
      </c>
      <c r="ES25" s="231">
        <v>1084906</v>
      </c>
      <c r="ET25" s="231">
        <v>475237614</v>
      </c>
      <c r="EU25" s="231">
        <v>1379701</v>
      </c>
      <c r="EV25" s="231">
        <v>1929309</v>
      </c>
      <c r="EW25" s="231">
        <v>-549608</v>
      </c>
      <c r="EX25" s="229">
        <v>-0.28489999999999999</v>
      </c>
      <c r="EY25" s="229">
        <v>0.2475</v>
      </c>
    </row>
    <row r="26" spans="1:155" ht="17.25" thickBot="1" x14ac:dyDescent="0.3">
      <c r="A26" s="226">
        <v>46168</v>
      </c>
      <c r="B26" s="227" t="s">
        <v>168</v>
      </c>
      <c r="C26" s="227" t="s">
        <v>242</v>
      </c>
      <c r="D26" s="228">
        <v>303.14999999999998</v>
      </c>
      <c r="E26" s="228">
        <v>305.8</v>
      </c>
      <c r="F26" s="228">
        <v>-2.65</v>
      </c>
      <c r="G26" s="229">
        <v>-8.6999999999999994E-3</v>
      </c>
      <c r="H26" s="228">
        <v>301.64999999999998</v>
      </c>
      <c r="I26" s="228">
        <v>303.95</v>
      </c>
      <c r="J26" s="228">
        <v>-2.2999999999999998</v>
      </c>
      <c r="K26" s="229">
        <v>-7.6E-3</v>
      </c>
      <c r="L26" s="228">
        <v>300.85000000000002</v>
      </c>
      <c r="M26" s="228">
        <v>303.95</v>
      </c>
      <c r="N26" s="228">
        <v>-3.1</v>
      </c>
      <c r="O26" s="229">
        <v>-1.0200000000000001E-2</v>
      </c>
      <c r="P26" s="228">
        <v>303.14999999999998</v>
      </c>
      <c r="Q26" s="228">
        <v>305.8</v>
      </c>
      <c r="R26" s="228">
        <v>-2.65</v>
      </c>
      <c r="S26" s="229">
        <v>-8.6999999999999994E-3</v>
      </c>
      <c r="T26" s="228">
        <v>305.25</v>
      </c>
      <c r="U26" s="228">
        <v>307.45</v>
      </c>
      <c r="V26" s="228">
        <v>-2.2000000000000002</v>
      </c>
      <c r="W26" s="229">
        <v>-7.1999999999999998E-3</v>
      </c>
      <c r="X26" s="228">
        <v>1.5</v>
      </c>
      <c r="Y26" s="228">
        <v>0</v>
      </c>
      <c r="Z26" s="228">
        <v>1.5</v>
      </c>
      <c r="AA26" s="229">
        <v>5.0000000000000001E-3</v>
      </c>
      <c r="AB26" s="228">
        <v>-0.8</v>
      </c>
      <c r="AC26" s="228">
        <v>0</v>
      </c>
      <c r="AD26" s="228">
        <v>-0.8</v>
      </c>
      <c r="AE26" s="229">
        <v>-2.7000000000000001E-3</v>
      </c>
      <c r="AF26" s="228">
        <v>1.5</v>
      </c>
      <c r="AG26" s="228">
        <v>1.85</v>
      </c>
      <c r="AH26" s="228">
        <v>-0.35</v>
      </c>
      <c r="AI26" s="229">
        <v>5.0000000000000001E-3</v>
      </c>
      <c r="AJ26" s="228">
        <v>3.6</v>
      </c>
      <c r="AK26" s="228">
        <v>3.5</v>
      </c>
      <c r="AL26" s="228">
        <v>0.1</v>
      </c>
      <c r="AM26" s="229">
        <v>1.1900000000000001E-2</v>
      </c>
      <c r="AN26" s="228">
        <v>301.75</v>
      </c>
      <c r="AO26" s="228">
        <v>303.64999999999998</v>
      </c>
      <c r="AP26" s="228">
        <v>0</v>
      </c>
      <c r="AQ26" s="230">
        <v>46590</v>
      </c>
      <c r="AR26" s="230">
        <v>55493</v>
      </c>
      <c r="AS26" s="230">
        <v>-8903</v>
      </c>
      <c r="AT26" s="229">
        <v>-0.16039999999999999</v>
      </c>
      <c r="AU26" s="230">
        <v>19900</v>
      </c>
      <c r="AV26" s="230">
        <v>26960</v>
      </c>
      <c r="AW26" s="230">
        <v>-7060</v>
      </c>
      <c r="AX26" s="229">
        <v>-0.26190000000000002</v>
      </c>
      <c r="AY26" s="230">
        <v>25531</v>
      </c>
      <c r="AZ26" s="230">
        <v>27439</v>
      </c>
      <c r="BA26" s="230">
        <v>-1908</v>
      </c>
      <c r="BB26" s="229">
        <v>-6.9500000000000006E-2</v>
      </c>
      <c r="BC26" s="230">
        <v>1159</v>
      </c>
      <c r="BD26" s="230">
        <v>1094</v>
      </c>
      <c r="BE26" s="228">
        <v>65</v>
      </c>
      <c r="BF26" s="229">
        <v>5.9400000000000001E-2</v>
      </c>
      <c r="BG26" s="230">
        <v>38921</v>
      </c>
      <c r="BH26" s="230">
        <v>47463</v>
      </c>
      <c r="BI26" s="230">
        <v>-8542</v>
      </c>
      <c r="BJ26" s="229">
        <v>-0.18</v>
      </c>
      <c r="BK26" s="230">
        <v>24869</v>
      </c>
      <c r="BL26" s="230">
        <v>28313</v>
      </c>
      <c r="BM26" s="230">
        <v>-3444</v>
      </c>
      <c r="BN26" s="229">
        <v>-0.1216</v>
      </c>
      <c r="BO26" s="230">
        <v>110380</v>
      </c>
      <c r="BP26" s="230">
        <v>131269</v>
      </c>
      <c r="BQ26" s="230">
        <v>-20889</v>
      </c>
      <c r="BR26" s="229">
        <v>-0.15909999999999999</v>
      </c>
      <c r="BS26" s="230">
        <v>38980069</v>
      </c>
      <c r="BT26" s="230">
        <v>16859235</v>
      </c>
      <c r="BU26" s="230">
        <v>22120834</v>
      </c>
      <c r="BV26" s="229">
        <v>1.3121</v>
      </c>
      <c r="BW26" s="230">
        <v>167395950</v>
      </c>
      <c r="BX26" s="230">
        <v>179253575</v>
      </c>
      <c r="BY26" s="230">
        <v>-11857625</v>
      </c>
      <c r="BZ26" s="229">
        <v>-6.6199999999999995E-2</v>
      </c>
      <c r="CA26" s="230">
        <v>10553600</v>
      </c>
      <c r="CB26" s="230">
        <v>33665600</v>
      </c>
      <c r="CC26" s="230">
        <v>-23112000</v>
      </c>
      <c r="CD26" s="229">
        <v>-0.6865</v>
      </c>
      <c r="CE26" s="230">
        <v>159216000</v>
      </c>
      <c r="CF26" s="230">
        <v>138931200</v>
      </c>
      <c r="CG26" s="230">
        <v>20284800</v>
      </c>
      <c r="CH26" s="229">
        <v>0.14599999999999999</v>
      </c>
      <c r="CI26" s="230">
        <v>8179950</v>
      </c>
      <c r="CJ26" s="230">
        <v>6656775</v>
      </c>
      <c r="CK26" s="230">
        <v>1523175</v>
      </c>
      <c r="CL26" s="229">
        <v>0.2288</v>
      </c>
      <c r="CM26" s="230">
        <v>46915475</v>
      </c>
      <c r="CN26" s="230">
        <v>141641200</v>
      </c>
      <c r="CO26" s="230">
        <v>-94725725</v>
      </c>
      <c r="CP26" s="229">
        <v>-0.66879999999999995</v>
      </c>
      <c r="CQ26" s="230">
        <v>31744575</v>
      </c>
      <c r="CR26" s="230">
        <v>49811375</v>
      </c>
      <c r="CS26" s="230">
        <v>-18066800</v>
      </c>
      <c r="CT26" s="229">
        <v>-0.36270000000000002</v>
      </c>
      <c r="CU26" s="230">
        <v>246056000</v>
      </c>
      <c r="CV26" s="230">
        <v>370706150</v>
      </c>
      <c r="CW26" s="230">
        <v>-124650150</v>
      </c>
      <c r="CX26" s="229">
        <v>-0.33629999999999999</v>
      </c>
      <c r="CY26" s="228">
        <v>18.93</v>
      </c>
      <c r="CZ26" s="228">
        <v>19.010000000000002</v>
      </c>
      <c r="DA26" s="228">
        <v>-0.08</v>
      </c>
      <c r="DB26" s="228">
        <v>-0.08</v>
      </c>
      <c r="DC26" s="228">
        <v>24.23</v>
      </c>
      <c r="DD26" s="228">
        <v>24.27</v>
      </c>
      <c r="DE26" s="228">
        <v>-5.3</v>
      </c>
      <c r="DF26" s="228">
        <v>-0.04</v>
      </c>
      <c r="DG26" s="228">
        <v>19.13</v>
      </c>
      <c r="DH26" s="228">
        <v>19.190000000000001</v>
      </c>
      <c r="DI26" s="228">
        <v>-0.06</v>
      </c>
      <c r="DJ26" s="228">
        <v>-0.06</v>
      </c>
      <c r="DK26" s="228">
        <v>18.63</v>
      </c>
      <c r="DL26" s="228">
        <v>18.739999999999998</v>
      </c>
      <c r="DM26" s="228">
        <v>-0.11</v>
      </c>
      <c r="DN26" s="228">
        <v>-0.11</v>
      </c>
      <c r="DO26" s="228">
        <v>0.68</v>
      </c>
      <c r="DP26" s="228">
        <v>0.35</v>
      </c>
      <c r="DQ26" s="228">
        <v>0.33</v>
      </c>
      <c r="DR26" s="229">
        <v>0.94289999999999996</v>
      </c>
      <c r="DS26" s="228">
        <v>310</v>
      </c>
      <c r="DT26" s="228">
        <v>300</v>
      </c>
      <c r="DU26" s="228">
        <v>0.64</v>
      </c>
      <c r="DV26" s="228">
        <v>0.6</v>
      </c>
      <c r="DW26" s="228">
        <v>0.04</v>
      </c>
      <c r="DX26" s="229">
        <v>6.6699999999999995E-2</v>
      </c>
      <c r="DY26" s="229">
        <v>0.94069999999999998</v>
      </c>
      <c r="DZ26" s="230">
        <v>145587975</v>
      </c>
      <c r="EA26" s="229">
        <v>7.6E-3</v>
      </c>
      <c r="EB26" s="229">
        <v>0.94069999999999998</v>
      </c>
      <c r="EC26" s="228">
        <v>1.9</v>
      </c>
      <c r="ED26" s="229">
        <v>6.3E-3</v>
      </c>
      <c r="EE26" s="230">
        <v>31119494</v>
      </c>
      <c r="EF26" s="230">
        <v>11300362</v>
      </c>
      <c r="EG26" s="229">
        <v>1.7538</v>
      </c>
      <c r="EH26" s="229">
        <v>0.79830000000000001</v>
      </c>
      <c r="EI26" s="231">
        <v>196337.04</v>
      </c>
      <c r="EJ26" s="231">
        <v>124177.65</v>
      </c>
      <c r="EK26" s="231">
        <v>226228.11</v>
      </c>
      <c r="EL26" s="231">
        <v>39774</v>
      </c>
      <c r="EM26" s="231">
        <v>546742.80000000005</v>
      </c>
      <c r="EN26" s="231">
        <v>649743.38</v>
      </c>
      <c r="EO26" s="231">
        <v>-103000.58</v>
      </c>
      <c r="EP26" s="229">
        <v>-0.1585</v>
      </c>
      <c r="EQ26" s="231">
        <v>148482</v>
      </c>
      <c r="ER26" s="231">
        <v>98049</v>
      </c>
      <c r="ES26" s="231">
        <v>507633</v>
      </c>
      <c r="ET26" s="231">
        <v>1317896781</v>
      </c>
      <c r="EU26" s="231">
        <v>754164</v>
      </c>
      <c r="EV26" s="231">
        <v>1154256</v>
      </c>
      <c r="EW26" s="231">
        <v>-400092</v>
      </c>
      <c r="EX26" s="229">
        <v>-0.34660000000000002</v>
      </c>
      <c r="EY26" s="229">
        <v>0.1867</v>
      </c>
    </row>
    <row r="27" spans="1:155" ht="17.25" thickBot="1" x14ac:dyDescent="0.3">
      <c r="A27" s="226">
        <v>46168</v>
      </c>
      <c r="B27" s="227" t="s">
        <v>175</v>
      </c>
      <c r="C27" s="227" t="s">
        <v>569</v>
      </c>
      <c r="D27" s="228">
        <v>242.09</v>
      </c>
      <c r="E27" s="228">
        <v>243.37</v>
      </c>
      <c r="F27" s="228">
        <v>-1.28</v>
      </c>
      <c r="G27" s="229">
        <v>-5.3E-3</v>
      </c>
      <c r="H27" s="228">
        <v>240.67</v>
      </c>
      <c r="I27" s="228">
        <v>241.74</v>
      </c>
      <c r="J27" s="228">
        <v>-1.07</v>
      </c>
      <c r="K27" s="229">
        <v>-4.4000000000000003E-3</v>
      </c>
      <c r="L27" s="228">
        <v>240.26</v>
      </c>
      <c r="M27" s="228">
        <v>241.89</v>
      </c>
      <c r="N27" s="228">
        <v>-1.63</v>
      </c>
      <c r="O27" s="229">
        <v>-6.7000000000000002E-3</v>
      </c>
      <c r="P27" s="228">
        <v>242.09</v>
      </c>
      <c r="Q27" s="228">
        <v>243.37</v>
      </c>
      <c r="R27" s="228">
        <v>-1.28</v>
      </c>
      <c r="S27" s="229">
        <v>-5.3E-3</v>
      </c>
      <c r="T27" s="228">
        <v>243.76</v>
      </c>
      <c r="U27" s="228">
        <v>244.8</v>
      </c>
      <c r="V27" s="228">
        <v>-1.04</v>
      </c>
      <c r="W27" s="229">
        <v>-4.1999999999999997E-3</v>
      </c>
      <c r="X27" s="228">
        <v>1.42</v>
      </c>
      <c r="Y27" s="228">
        <v>0.15</v>
      </c>
      <c r="Z27" s="228">
        <v>1.27</v>
      </c>
      <c r="AA27" s="229">
        <v>5.8999999999999999E-3</v>
      </c>
      <c r="AB27" s="228">
        <v>-0.41</v>
      </c>
      <c r="AC27" s="228">
        <v>0.15</v>
      </c>
      <c r="AD27" s="228">
        <v>-0.56000000000000005</v>
      </c>
      <c r="AE27" s="229">
        <v>-1.6999999999999999E-3</v>
      </c>
      <c r="AF27" s="228">
        <v>1.42</v>
      </c>
      <c r="AG27" s="228">
        <v>1.63</v>
      </c>
      <c r="AH27" s="228">
        <v>-0.21</v>
      </c>
      <c r="AI27" s="229">
        <v>5.8999999999999999E-3</v>
      </c>
      <c r="AJ27" s="228">
        <v>3.09</v>
      </c>
      <c r="AK27" s="228">
        <v>3.06</v>
      </c>
      <c r="AL27" s="228">
        <v>0.03</v>
      </c>
      <c r="AM27" s="229">
        <v>1.2800000000000001E-2</v>
      </c>
      <c r="AN27" s="228">
        <v>241.38</v>
      </c>
      <c r="AO27" s="228">
        <v>242.95</v>
      </c>
      <c r="AP27" s="228">
        <v>0</v>
      </c>
      <c r="AQ27" s="230">
        <v>34195</v>
      </c>
      <c r="AR27" s="230">
        <v>46805</v>
      </c>
      <c r="AS27" s="230">
        <v>-12610</v>
      </c>
      <c r="AT27" s="229">
        <v>-0.26939999999999997</v>
      </c>
      <c r="AU27" s="230">
        <v>15652</v>
      </c>
      <c r="AV27" s="230">
        <v>22777</v>
      </c>
      <c r="AW27" s="230">
        <v>-7125</v>
      </c>
      <c r="AX27" s="229">
        <v>-0.31280000000000002</v>
      </c>
      <c r="AY27" s="230">
        <v>17808</v>
      </c>
      <c r="AZ27" s="230">
        <v>23541</v>
      </c>
      <c r="BA27" s="230">
        <v>-5733</v>
      </c>
      <c r="BB27" s="229">
        <v>-0.24349999999999999</v>
      </c>
      <c r="BC27" s="228">
        <v>735</v>
      </c>
      <c r="BD27" s="228">
        <v>487</v>
      </c>
      <c r="BE27" s="228">
        <v>248</v>
      </c>
      <c r="BF27" s="229">
        <v>0.50919999999999999</v>
      </c>
      <c r="BG27" s="230">
        <v>18858</v>
      </c>
      <c r="BH27" s="230">
        <v>34173</v>
      </c>
      <c r="BI27" s="230">
        <v>-15315</v>
      </c>
      <c r="BJ27" s="229">
        <v>-0.44819999999999999</v>
      </c>
      <c r="BK27" s="230">
        <v>10950</v>
      </c>
      <c r="BL27" s="230">
        <v>14033</v>
      </c>
      <c r="BM27" s="230">
        <v>-3083</v>
      </c>
      <c r="BN27" s="229">
        <v>-0.21970000000000001</v>
      </c>
      <c r="BO27" s="230">
        <v>64003</v>
      </c>
      <c r="BP27" s="230">
        <v>95011</v>
      </c>
      <c r="BQ27" s="230">
        <v>-31008</v>
      </c>
      <c r="BR27" s="229">
        <v>-0.32640000000000002</v>
      </c>
      <c r="BS27" s="230">
        <v>11449476</v>
      </c>
      <c r="BT27" s="230">
        <v>10460819</v>
      </c>
      <c r="BU27" s="230">
        <v>988657</v>
      </c>
      <c r="BV27" s="229">
        <v>9.4500000000000001E-2</v>
      </c>
      <c r="BW27" s="230">
        <v>172856600</v>
      </c>
      <c r="BX27" s="230">
        <v>184063750</v>
      </c>
      <c r="BY27" s="230">
        <v>-11207150</v>
      </c>
      <c r="BZ27" s="229">
        <v>-6.0900000000000003E-2</v>
      </c>
      <c r="CA27" s="230">
        <v>10610250</v>
      </c>
      <c r="CB27" s="230">
        <v>35865700</v>
      </c>
      <c r="CC27" s="230">
        <v>-25255450</v>
      </c>
      <c r="CD27" s="229">
        <v>-0.70420000000000005</v>
      </c>
      <c r="CE27" s="230">
        <v>167035650</v>
      </c>
      <c r="CF27" s="230">
        <v>143472200</v>
      </c>
      <c r="CG27" s="230">
        <v>23563450</v>
      </c>
      <c r="CH27" s="229">
        <v>0.16420000000000001</v>
      </c>
      <c r="CI27" s="230">
        <v>5820950</v>
      </c>
      <c r="CJ27" s="230">
        <v>4725850</v>
      </c>
      <c r="CK27" s="230">
        <v>1095100</v>
      </c>
      <c r="CL27" s="229">
        <v>0.23169999999999999</v>
      </c>
      <c r="CM27" s="230">
        <v>26578500</v>
      </c>
      <c r="CN27" s="230">
        <v>60129450</v>
      </c>
      <c r="CO27" s="230">
        <v>-33550950</v>
      </c>
      <c r="CP27" s="229">
        <v>-0.55800000000000005</v>
      </c>
      <c r="CQ27" s="230">
        <v>25147350</v>
      </c>
      <c r="CR27" s="230">
        <v>44041350</v>
      </c>
      <c r="CS27" s="230">
        <v>-18894000</v>
      </c>
      <c r="CT27" s="229">
        <v>-0.42899999999999999</v>
      </c>
      <c r="CU27" s="230">
        <v>224582450</v>
      </c>
      <c r="CV27" s="230">
        <v>288234550</v>
      </c>
      <c r="CW27" s="230">
        <v>-63652100</v>
      </c>
      <c r="CX27" s="229">
        <v>-0.2208</v>
      </c>
      <c r="CY27" s="228">
        <v>28.73</v>
      </c>
      <c r="CZ27" s="228">
        <v>30.22</v>
      </c>
      <c r="DA27" s="228">
        <v>-1.49</v>
      </c>
      <c r="DB27" s="228">
        <v>-1.49</v>
      </c>
      <c r="DC27" s="228">
        <v>37.49</v>
      </c>
      <c r="DD27" s="228">
        <v>37.57</v>
      </c>
      <c r="DE27" s="228">
        <v>-8.76</v>
      </c>
      <c r="DF27" s="228">
        <v>-0.08</v>
      </c>
      <c r="DG27" s="228">
        <v>28.64</v>
      </c>
      <c r="DH27" s="228">
        <v>30.35</v>
      </c>
      <c r="DI27" s="228">
        <v>-1.71</v>
      </c>
      <c r="DJ27" s="228">
        <v>-1.71</v>
      </c>
      <c r="DK27" s="228">
        <v>28.87</v>
      </c>
      <c r="DL27" s="228">
        <v>30.04</v>
      </c>
      <c r="DM27" s="228">
        <v>-1.17</v>
      </c>
      <c r="DN27" s="228">
        <v>-1.17</v>
      </c>
      <c r="DO27" s="228">
        <v>0.95</v>
      </c>
      <c r="DP27" s="228">
        <v>0.73</v>
      </c>
      <c r="DQ27" s="228">
        <v>0.22</v>
      </c>
      <c r="DR27" s="229">
        <v>0.3014</v>
      </c>
      <c r="DS27" s="228">
        <v>250</v>
      </c>
      <c r="DT27" s="228">
        <v>290</v>
      </c>
      <c r="DU27" s="228">
        <v>0.57999999999999996</v>
      </c>
      <c r="DV27" s="228">
        <v>0.41</v>
      </c>
      <c r="DW27" s="228">
        <v>0.17</v>
      </c>
      <c r="DX27" s="229">
        <v>0.41460000000000002</v>
      </c>
      <c r="DY27" s="229">
        <v>0.94220000000000004</v>
      </c>
      <c r="DZ27" s="230">
        <v>148198050</v>
      </c>
      <c r="EA27" s="229">
        <v>7.6E-3</v>
      </c>
      <c r="EB27" s="229">
        <v>0.94220000000000004</v>
      </c>
      <c r="EC27" s="228">
        <v>1.57</v>
      </c>
      <c r="ED27" s="229">
        <v>6.4999999999999997E-3</v>
      </c>
      <c r="EE27" s="230">
        <v>5288811</v>
      </c>
      <c r="EF27" s="230">
        <v>4512350</v>
      </c>
      <c r="EG27" s="229">
        <v>0.1721</v>
      </c>
      <c r="EH27" s="229">
        <v>0.46189999999999998</v>
      </c>
      <c r="EI27" s="231">
        <v>114378.14</v>
      </c>
      <c r="EJ27" s="231">
        <v>67994.97</v>
      </c>
      <c r="EK27" s="231">
        <v>194679.4</v>
      </c>
      <c r="EL27" s="231">
        <v>24923</v>
      </c>
      <c r="EM27" s="231">
        <v>377052.51</v>
      </c>
      <c r="EN27" s="231">
        <v>553554.75</v>
      </c>
      <c r="EO27" s="231">
        <v>-176502.24</v>
      </c>
      <c r="EP27" s="229">
        <v>-0.31890000000000002</v>
      </c>
      <c r="EQ27" s="231">
        <v>67213</v>
      </c>
      <c r="ER27" s="231">
        <v>62118</v>
      </c>
      <c r="ES27" s="231">
        <v>418566</v>
      </c>
      <c r="ET27" s="231">
        <v>490240515</v>
      </c>
      <c r="EU27" s="231">
        <v>547897</v>
      </c>
      <c r="EV27" s="231">
        <v>709172</v>
      </c>
      <c r="EW27" s="231">
        <v>-161275</v>
      </c>
      <c r="EX27" s="229">
        <v>-0.22739999999999999</v>
      </c>
      <c r="EY27" s="229">
        <v>0.45810000000000001</v>
      </c>
    </row>
    <row r="28" spans="1:155" ht="17.25" thickBot="1" x14ac:dyDescent="0.3">
      <c r="A28" s="226">
        <v>46168</v>
      </c>
      <c r="B28" s="227" t="s">
        <v>227</v>
      </c>
      <c r="C28" s="227" t="s">
        <v>244</v>
      </c>
      <c r="D28" s="231">
        <v>1301.2</v>
      </c>
      <c r="E28" s="231">
        <v>1297.5999999999999</v>
      </c>
      <c r="F28" s="228">
        <v>3.6</v>
      </c>
      <c r="G28" s="229">
        <v>2.8E-3</v>
      </c>
      <c r="H28" s="231">
        <v>1293.5999999999999</v>
      </c>
      <c r="I28" s="231">
        <v>1289.4000000000001</v>
      </c>
      <c r="J28" s="228">
        <v>4.2</v>
      </c>
      <c r="K28" s="229">
        <v>3.3E-3</v>
      </c>
      <c r="L28" s="231">
        <v>1293.0999999999999</v>
      </c>
      <c r="M28" s="231">
        <v>1289.4000000000001</v>
      </c>
      <c r="N28" s="228">
        <v>3.7</v>
      </c>
      <c r="O28" s="229">
        <v>2.8999999999999998E-3</v>
      </c>
      <c r="P28" s="231">
        <v>1301.2</v>
      </c>
      <c r="Q28" s="231">
        <v>1297.5999999999999</v>
      </c>
      <c r="R28" s="228">
        <v>3.6</v>
      </c>
      <c r="S28" s="229">
        <v>2.8E-3</v>
      </c>
      <c r="T28" s="231">
        <v>1306</v>
      </c>
      <c r="U28" s="231">
        <v>1300.5999999999999</v>
      </c>
      <c r="V28" s="228">
        <v>5.4</v>
      </c>
      <c r="W28" s="229">
        <v>4.1999999999999997E-3</v>
      </c>
      <c r="X28" s="228">
        <v>7.6</v>
      </c>
      <c r="Y28" s="228">
        <v>0</v>
      </c>
      <c r="Z28" s="228">
        <v>7.6</v>
      </c>
      <c r="AA28" s="229">
        <v>5.8999999999999999E-3</v>
      </c>
      <c r="AB28" s="228">
        <v>-0.5</v>
      </c>
      <c r="AC28" s="228">
        <v>0</v>
      </c>
      <c r="AD28" s="228">
        <v>-0.5</v>
      </c>
      <c r="AE28" s="229">
        <v>-4.0000000000000002E-4</v>
      </c>
      <c r="AF28" s="228">
        <v>7.6</v>
      </c>
      <c r="AG28" s="228">
        <v>8.1999999999999993</v>
      </c>
      <c r="AH28" s="228">
        <v>-0.6</v>
      </c>
      <c r="AI28" s="229">
        <v>5.8999999999999999E-3</v>
      </c>
      <c r="AJ28" s="228">
        <v>12.4</v>
      </c>
      <c r="AK28" s="228">
        <v>11.2</v>
      </c>
      <c r="AL28" s="228">
        <v>1.2</v>
      </c>
      <c r="AM28" s="229">
        <v>9.5999999999999992E-3</v>
      </c>
      <c r="AN28" s="231">
        <v>1293.3</v>
      </c>
      <c r="AO28" s="231">
        <v>1301.95</v>
      </c>
      <c r="AP28" s="228">
        <v>0</v>
      </c>
      <c r="AQ28" s="230">
        <v>10836</v>
      </c>
      <c r="AR28" s="230">
        <v>19498</v>
      </c>
      <c r="AS28" s="230">
        <v>-8662</v>
      </c>
      <c r="AT28" s="229">
        <v>-0.44429999999999997</v>
      </c>
      <c r="AU28" s="230">
        <v>4118</v>
      </c>
      <c r="AV28" s="230">
        <v>9696</v>
      </c>
      <c r="AW28" s="230">
        <v>-5578</v>
      </c>
      <c r="AX28" s="229">
        <v>-0.57530000000000003</v>
      </c>
      <c r="AY28" s="230">
        <v>6680</v>
      </c>
      <c r="AZ28" s="230">
        <v>9747</v>
      </c>
      <c r="BA28" s="230">
        <v>-3067</v>
      </c>
      <c r="BB28" s="229">
        <v>-0.31469999999999998</v>
      </c>
      <c r="BC28" s="228">
        <v>38</v>
      </c>
      <c r="BD28" s="228">
        <v>55</v>
      </c>
      <c r="BE28" s="228">
        <v>-17</v>
      </c>
      <c r="BF28" s="229">
        <v>-0.30909999999999999</v>
      </c>
      <c r="BG28" s="230">
        <v>8514</v>
      </c>
      <c r="BH28" s="230">
        <v>9942</v>
      </c>
      <c r="BI28" s="230">
        <v>-1428</v>
      </c>
      <c r="BJ28" s="229">
        <v>-0.14360000000000001</v>
      </c>
      <c r="BK28" s="230">
        <v>4022</v>
      </c>
      <c r="BL28" s="230">
        <v>3787</v>
      </c>
      <c r="BM28" s="228">
        <v>235</v>
      </c>
      <c r="BN28" s="229">
        <v>6.2100000000000002E-2</v>
      </c>
      <c r="BO28" s="230">
        <v>23372</v>
      </c>
      <c r="BP28" s="230">
        <v>33227</v>
      </c>
      <c r="BQ28" s="230">
        <v>-9855</v>
      </c>
      <c r="BR28" s="229">
        <v>-0.29659999999999997</v>
      </c>
      <c r="BS28" s="230">
        <v>1736621</v>
      </c>
      <c r="BT28" s="230">
        <v>962408</v>
      </c>
      <c r="BU28" s="230">
        <v>774213</v>
      </c>
      <c r="BV28" s="229">
        <v>0.80449999999999999</v>
      </c>
      <c r="BW28" s="230">
        <v>44155800</v>
      </c>
      <c r="BX28" s="230">
        <v>48633075</v>
      </c>
      <c r="BY28" s="230">
        <v>-4477275</v>
      </c>
      <c r="BZ28" s="229">
        <v>-9.2100000000000001E-2</v>
      </c>
      <c r="CA28" s="230">
        <v>4427325</v>
      </c>
      <c r="CB28" s="230">
        <v>6179625</v>
      </c>
      <c r="CC28" s="230">
        <v>-1752300</v>
      </c>
      <c r="CD28" s="229">
        <v>-0.28360000000000002</v>
      </c>
      <c r="CE28" s="230">
        <v>42201675</v>
      </c>
      <c r="CF28" s="230">
        <v>40514175</v>
      </c>
      <c r="CG28" s="230">
        <v>1687500</v>
      </c>
      <c r="CH28" s="229">
        <v>4.1700000000000001E-2</v>
      </c>
      <c r="CI28" s="230">
        <v>1954125</v>
      </c>
      <c r="CJ28" s="230">
        <v>1939275</v>
      </c>
      <c r="CK28" s="230">
        <v>14850</v>
      </c>
      <c r="CL28" s="229">
        <v>7.7000000000000002E-3</v>
      </c>
      <c r="CM28" s="230">
        <v>1933875</v>
      </c>
      <c r="CN28" s="230">
        <v>6053400</v>
      </c>
      <c r="CO28" s="230">
        <v>-4119525</v>
      </c>
      <c r="CP28" s="229">
        <v>-0.68049999999999999</v>
      </c>
      <c r="CQ28" s="230">
        <v>1327725</v>
      </c>
      <c r="CR28" s="230">
        <v>3811725</v>
      </c>
      <c r="CS28" s="230">
        <v>-2484000</v>
      </c>
      <c r="CT28" s="229">
        <v>-0.65169999999999995</v>
      </c>
      <c r="CU28" s="230">
        <v>47417400</v>
      </c>
      <c r="CV28" s="230">
        <v>58498200</v>
      </c>
      <c r="CW28" s="230">
        <v>-11080800</v>
      </c>
      <c r="CX28" s="229">
        <v>-0.18940000000000001</v>
      </c>
      <c r="CY28" s="228">
        <v>24.29</v>
      </c>
      <c r="CZ28" s="228">
        <v>25.17</v>
      </c>
      <c r="DA28" s="228">
        <v>-0.88</v>
      </c>
      <c r="DB28" s="228">
        <v>-0.88</v>
      </c>
      <c r="DC28" s="228">
        <v>30.9</v>
      </c>
      <c r="DD28" s="228">
        <v>30.98</v>
      </c>
      <c r="DE28" s="228">
        <v>-6.61</v>
      </c>
      <c r="DF28" s="228">
        <v>-0.08</v>
      </c>
      <c r="DG28" s="228">
        <v>24.42</v>
      </c>
      <c r="DH28" s="228">
        <v>25.09</v>
      </c>
      <c r="DI28" s="228">
        <v>-0.67</v>
      </c>
      <c r="DJ28" s="228">
        <v>-0.67</v>
      </c>
      <c r="DK28" s="228">
        <v>24</v>
      </c>
      <c r="DL28" s="228">
        <v>25.34</v>
      </c>
      <c r="DM28" s="228">
        <v>-1.34</v>
      </c>
      <c r="DN28" s="228">
        <v>-1.34</v>
      </c>
      <c r="DO28" s="228">
        <v>0.69</v>
      </c>
      <c r="DP28" s="228">
        <v>0.63</v>
      </c>
      <c r="DQ28" s="228">
        <v>0.06</v>
      </c>
      <c r="DR28" s="229">
        <v>9.5200000000000007E-2</v>
      </c>
      <c r="DS28" s="231">
        <v>1300</v>
      </c>
      <c r="DT28" s="231">
        <v>1240</v>
      </c>
      <c r="DU28" s="228">
        <v>0.47</v>
      </c>
      <c r="DV28" s="228">
        <v>0.38</v>
      </c>
      <c r="DW28" s="228">
        <v>0.09</v>
      </c>
      <c r="DX28" s="229">
        <v>0.23680000000000001</v>
      </c>
      <c r="DY28" s="229">
        <v>0.90890000000000004</v>
      </c>
      <c r="DZ28" s="230">
        <v>42453450</v>
      </c>
      <c r="EA28" s="229">
        <v>6.3E-3</v>
      </c>
      <c r="EB28" s="229">
        <v>0.90890000000000004</v>
      </c>
      <c r="EC28" s="228">
        <v>8.65</v>
      </c>
      <c r="ED28" s="229">
        <v>6.7000000000000002E-3</v>
      </c>
      <c r="EE28" s="230">
        <v>893205</v>
      </c>
      <c r="EF28" s="230">
        <v>541187</v>
      </c>
      <c r="EG28" s="229">
        <v>0.65049999999999997</v>
      </c>
      <c r="EH28" s="229">
        <v>0.51429999999999998</v>
      </c>
      <c r="EI28" s="231">
        <v>76352.12</v>
      </c>
      <c r="EJ28" s="231">
        <v>34746.839999999997</v>
      </c>
      <c r="EK28" s="231">
        <v>94988.67</v>
      </c>
      <c r="EL28" s="231">
        <v>26876</v>
      </c>
      <c r="EM28" s="231">
        <v>206087.63</v>
      </c>
      <c r="EN28" s="231">
        <v>291594.45</v>
      </c>
      <c r="EO28" s="231">
        <v>-85506.82</v>
      </c>
      <c r="EP28" s="229">
        <v>-0.29320000000000002</v>
      </c>
      <c r="EQ28" s="231">
        <v>25410</v>
      </c>
      <c r="ER28" s="231">
        <v>16615</v>
      </c>
      <c r="ES28" s="231">
        <v>574649</v>
      </c>
      <c r="ET28" s="231">
        <v>133242960</v>
      </c>
      <c r="EU28" s="231">
        <v>616674</v>
      </c>
      <c r="EV28" s="231">
        <v>757936</v>
      </c>
      <c r="EW28" s="231">
        <v>-141262</v>
      </c>
      <c r="EX28" s="229">
        <v>-0.18640000000000001</v>
      </c>
      <c r="EY28" s="229">
        <v>0.35589999999999999</v>
      </c>
    </row>
    <row r="29" spans="1:155" ht="17.25" thickBot="1" x14ac:dyDescent="0.3">
      <c r="A29" s="226">
        <v>46168</v>
      </c>
      <c r="B29" s="227" t="s">
        <v>172</v>
      </c>
      <c r="C29" s="227" t="s">
        <v>246</v>
      </c>
      <c r="D29" s="228">
        <v>390.9</v>
      </c>
      <c r="E29" s="228">
        <v>396.2</v>
      </c>
      <c r="F29" s="228">
        <v>-5.3</v>
      </c>
      <c r="G29" s="229">
        <v>-1.34E-2</v>
      </c>
      <c r="H29" s="228">
        <v>388.65</v>
      </c>
      <c r="I29" s="228">
        <v>392.85</v>
      </c>
      <c r="J29" s="228">
        <v>-4.2</v>
      </c>
      <c r="K29" s="229">
        <v>-1.0699999999999999E-2</v>
      </c>
      <c r="L29" s="228">
        <v>388.45</v>
      </c>
      <c r="M29" s="228">
        <v>393.7</v>
      </c>
      <c r="N29" s="228">
        <v>-5.25</v>
      </c>
      <c r="O29" s="229">
        <v>-1.3299999999999999E-2</v>
      </c>
      <c r="P29" s="228">
        <v>390.9</v>
      </c>
      <c r="Q29" s="228">
        <v>396.2</v>
      </c>
      <c r="R29" s="228">
        <v>-5.3</v>
      </c>
      <c r="S29" s="229">
        <v>-1.34E-2</v>
      </c>
      <c r="T29" s="228">
        <v>392.25</v>
      </c>
      <c r="U29" s="228">
        <v>397.9</v>
      </c>
      <c r="V29" s="228">
        <v>-5.65</v>
      </c>
      <c r="W29" s="229">
        <v>-1.4200000000000001E-2</v>
      </c>
      <c r="X29" s="228">
        <v>2.25</v>
      </c>
      <c r="Y29" s="228">
        <v>0.85</v>
      </c>
      <c r="Z29" s="228">
        <v>1.4</v>
      </c>
      <c r="AA29" s="229">
        <v>5.7999999999999996E-3</v>
      </c>
      <c r="AB29" s="228">
        <v>-0.2</v>
      </c>
      <c r="AC29" s="228">
        <v>0.85</v>
      </c>
      <c r="AD29" s="228">
        <v>-1.05</v>
      </c>
      <c r="AE29" s="229">
        <v>-5.0000000000000001E-4</v>
      </c>
      <c r="AF29" s="228">
        <v>2.25</v>
      </c>
      <c r="AG29" s="228">
        <v>3.35</v>
      </c>
      <c r="AH29" s="228">
        <v>-1.1000000000000001</v>
      </c>
      <c r="AI29" s="229">
        <v>5.7999999999999996E-3</v>
      </c>
      <c r="AJ29" s="228">
        <v>3.6</v>
      </c>
      <c r="AK29" s="228">
        <v>5.05</v>
      </c>
      <c r="AL29" s="228">
        <v>-1.45</v>
      </c>
      <c r="AM29" s="229">
        <v>9.2999999999999992E-3</v>
      </c>
      <c r="AN29" s="228">
        <v>389.36</v>
      </c>
      <c r="AO29" s="228">
        <v>391.71</v>
      </c>
      <c r="AP29" s="228">
        <v>0</v>
      </c>
      <c r="AQ29" s="230">
        <v>19842</v>
      </c>
      <c r="AR29" s="230">
        <v>42578</v>
      </c>
      <c r="AS29" s="230">
        <v>-22736</v>
      </c>
      <c r="AT29" s="229">
        <v>-0.53400000000000003</v>
      </c>
      <c r="AU29" s="230">
        <v>7412</v>
      </c>
      <c r="AV29" s="230">
        <v>21238</v>
      </c>
      <c r="AW29" s="230">
        <v>-13826</v>
      </c>
      <c r="AX29" s="229">
        <v>-0.65100000000000002</v>
      </c>
      <c r="AY29" s="230">
        <v>12204</v>
      </c>
      <c r="AZ29" s="230">
        <v>21130</v>
      </c>
      <c r="BA29" s="230">
        <v>-8926</v>
      </c>
      <c r="BB29" s="229">
        <v>-0.4224</v>
      </c>
      <c r="BC29" s="228">
        <v>226</v>
      </c>
      <c r="BD29" s="228">
        <v>210</v>
      </c>
      <c r="BE29" s="228">
        <v>16</v>
      </c>
      <c r="BF29" s="229">
        <v>7.6200000000000004E-2</v>
      </c>
      <c r="BG29" s="230">
        <v>16507</v>
      </c>
      <c r="BH29" s="230">
        <v>44122</v>
      </c>
      <c r="BI29" s="230">
        <v>-27615</v>
      </c>
      <c r="BJ29" s="229">
        <v>-0.62590000000000001</v>
      </c>
      <c r="BK29" s="230">
        <v>11033</v>
      </c>
      <c r="BL29" s="230">
        <v>19853</v>
      </c>
      <c r="BM29" s="230">
        <v>-8820</v>
      </c>
      <c r="BN29" s="229">
        <v>-0.44429999999999997</v>
      </c>
      <c r="BO29" s="230">
        <v>47382</v>
      </c>
      <c r="BP29" s="230">
        <v>106553</v>
      </c>
      <c r="BQ29" s="230">
        <v>-59171</v>
      </c>
      <c r="BR29" s="229">
        <v>-0.55530000000000002</v>
      </c>
      <c r="BS29" s="230">
        <v>15830485</v>
      </c>
      <c r="BT29" s="230">
        <v>17790308</v>
      </c>
      <c r="BU29" s="230">
        <v>-1959823</v>
      </c>
      <c r="BV29" s="229">
        <v>-0.11020000000000001</v>
      </c>
      <c r="BW29" s="230">
        <v>185406000</v>
      </c>
      <c r="BX29" s="230">
        <v>193952000</v>
      </c>
      <c r="BY29" s="230">
        <v>-8546000</v>
      </c>
      <c r="BZ29" s="229">
        <v>-4.41E-2</v>
      </c>
      <c r="CA29" s="230">
        <v>11930000</v>
      </c>
      <c r="CB29" s="230">
        <v>22114000</v>
      </c>
      <c r="CC29" s="230">
        <v>-10184000</v>
      </c>
      <c r="CD29" s="229">
        <v>-0.46050000000000002</v>
      </c>
      <c r="CE29" s="230">
        <v>174550000</v>
      </c>
      <c r="CF29" s="230">
        <v>161170000</v>
      </c>
      <c r="CG29" s="230">
        <v>13380000</v>
      </c>
      <c r="CH29" s="229">
        <v>8.3000000000000004E-2</v>
      </c>
      <c r="CI29" s="230">
        <v>10856000</v>
      </c>
      <c r="CJ29" s="230">
        <v>10668000</v>
      </c>
      <c r="CK29" s="230">
        <v>188000</v>
      </c>
      <c r="CL29" s="229">
        <v>1.7600000000000001E-2</v>
      </c>
      <c r="CM29" s="230">
        <v>16866000</v>
      </c>
      <c r="CN29" s="230">
        <v>42192000</v>
      </c>
      <c r="CO29" s="230">
        <v>-25326000</v>
      </c>
      <c r="CP29" s="229">
        <v>-0.60029999999999994</v>
      </c>
      <c r="CQ29" s="230">
        <v>14318000</v>
      </c>
      <c r="CR29" s="230">
        <v>34596000</v>
      </c>
      <c r="CS29" s="230">
        <v>-20278000</v>
      </c>
      <c r="CT29" s="229">
        <v>-0.58609999999999995</v>
      </c>
      <c r="CU29" s="230">
        <v>216590000</v>
      </c>
      <c r="CV29" s="230">
        <v>270740000</v>
      </c>
      <c r="CW29" s="230">
        <v>-54150000</v>
      </c>
      <c r="CX29" s="229">
        <v>-0.2</v>
      </c>
      <c r="CY29" s="228">
        <v>21.84</v>
      </c>
      <c r="CZ29" s="228">
        <v>22.07</v>
      </c>
      <c r="DA29" s="228">
        <v>-0.23</v>
      </c>
      <c r="DB29" s="228">
        <v>-0.23</v>
      </c>
      <c r="DC29" s="228">
        <v>27.04</v>
      </c>
      <c r="DD29" s="228">
        <v>27.06</v>
      </c>
      <c r="DE29" s="228">
        <v>-5.2</v>
      </c>
      <c r="DF29" s="228">
        <v>-0.02</v>
      </c>
      <c r="DG29" s="228">
        <v>21.51</v>
      </c>
      <c r="DH29" s="228">
        <v>22.09</v>
      </c>
      <c r="DI29" s="228">
        <v>-0.57999999999999996</v>
      </c>
      <c r="DJ29" s="228">
        <v>-0.57999999999999996</v>
      </c>
      <c r="DK29" s="228">
        <v>22.38</v>
      </c>
      <c r="DL29" s="228">
        <v>22.04</v>
      </c>
      <c r="DM29" s="228">
        <v>0.34</v>
      </c>
      <c r="DN29" s="228">
        <v>0.34</v>
      </c>
      <c r="DO29" s="228">
        <v>0.85</v>
      </c>
      <c r="DP29" s="228">
        <v>0.82</v>
      </c>
      <c r="DQ29" s="228">
        <v>0.03</v>
      </c>
      <c r="DR29" s="229">
        <v>3.6600000000000001E-2</v>
      </c>
      <c r="DS29" s="228">
        <v>405</v>
      </c>
      <c r="DT29" s="228">
        <v>370</v>
      </c>
      <c r="DU29" s="228">
        <v>0.67</v>
      </c>
      <c r="DV29" s="228">
        <v>0.45</v>
      </c>
      <c r="DW29" s="228">
        <v>0.22</v>
      </c>
      <c r="DX29" s="229">
        <v>0.4889</v>
      </c>
      <c r="DY29" s="229">
        <v>0.9395</v>
      </c>
      <c r="DZ29" s="230">
        <v>171838000</v>
      </c>
      <c r="EA29" s="229">
        <v>6.3E-3</v>
      </c>
      <c r="EB29" s="229">
        <v>0.9395</v>
      </c>
      <c r="EC29" s="228">
        <v>2.35</v>
      </c>
      <c r="ED29" s="229">
        <v>6.0000000000000001E-3</v>
      </c>
      <c r="EE29" s="230">
        <v>8997121</v>
      </c>
      <c r="EF29" s="230">
        <v>12589496</v>
      </c>
      <c r="EG29" s="229">
        <v>-0.2853</v>
      </c>
      <c r="EH29" s="229">
        <v>0.56830000000000003</v>
      </c>
      <c r="EI29" s="231">
        <v>133150.16</v>
      </c>
      <c r="EJ29" s="231">
        <v>85443.520000000004</v>
      </c>
      <c r="EK29" s="231">
        <v>155103.12</v>
      </c>
      <c r="EL29" s="231">
        <v>29549</v>
      </c>
      <c r="EM29" s="231">
        <v>373696.8</v>
      </c>
      <c r="EN29" s="231">
        <v>842793.11</v>
      </c>
      <c r="EO29" s="231">
        <v>-469096.31</v>
      </c>
      <c r="EP29" s="229">
        <v>-0.55659999999999998</v>
      </c>
      <c r="EQ29" s="231">
        <v>68396</v>
      </c>
      <c r="ER29" s="231">
        <v>54671</v>
      </c>
      <c r="ES29" s="231">
        <v>724899</v>
      </c>
      <c r="ET29" s="231">
        <v>882793124</v>
      </c>
      <c r="EU29" s="231">
        <v>847965</v>
      </c>
      <c r="EV29" s="231">
        <v>1065728</v>
      </c>
      <c r="EW29" s="231">
        <v>-217763</v>
      </c>
      <c r="EX29" s="229">
        <v>-0.20430000000000001</v>
      </c>
      <c r="EY29" s="229">
        <v>0.24529999999999999</v>
      </c>
    </row>
    <row r="30" spans="1:155" ht="17.25" thickBot="1" x14ac:dyDescent="0.3">
      <c r="A30" s="226">
        <v>46168</v>
      </c>
      <c r="B30" s="227" t="s">
        <v>184</v>
      </c>
      <c r="C30" s="227" t="s">
        <v>249</v>
      </c>
      <c r="D30" s="231">
        <v>4057.7</v>
      </c>
      <c r="E30" s="231">
        <v>4057.4</v>
      </c>
      <c r="F30" s="228">
        <v>0.3</v>
      </c>
      <c r="G30" s="229">
        <v>1E-4</v>
      </c>
      <c r="H30" s="231">
        <v>4037.8</v>
      </c>
      <c r="I30" s="231">
        <v>4033.4</v>
      </c>
      <c r="J30" s="228">
        <v>4.4000000000000004</v>
      </c>
      <c r="K30" s="229">
        <v>1.1000000000000001E-3</v>
      </c>
      <c r="L30" s="231">
        <v>4027.2</v>
      </c>
      <c r="M30" s="231">
        <v>4034.2</v>
      </c>
      <c r="N30" s="228">
        <v>-7</v>
      </c>
      <c r="O30" s="229">
        <v>-1.6999999999999999E-3</v>
      </c>
      <c r="P30" s="231">
        <v>4057.7</v>
      </c>
      <c r="Q30" s="231">
        <v>4057.4</v>
      </c>
      <c r="R30" s="228">
        <v>0.3</v>
      </c>
      <c r="S30" s="229">
        <v>1E-4</v>
      </c>
      <c r="T30" s="231">
        <v>4080.1</v>
      </c>
      <c r="U30" s="231">
        <v>4078.2</v>
      </c>
      <c r="V30" s="228">
        <v>1.9</v>
      </c>
      <c r="W30" s="229">
        <v>5.0000000000000001E-4</v>
      </c>
      <c r="X30" s="228">
        <v>19.899999999999999</v>
      </c>
      <c r="Y30" s="228">
        <v>0.8</v>
      </c>
      <c r="Z30" s="228">
        <v>19.100000000000001</v>
      </c>
      <c r="AA30" s="229">
        <v>4.8999999999999998E-3</v>
      </c>
      <c r="AB30" s="228">
        <v>-10.6</v>
      </c>
      <c r="AC30" s="228">
        <v>0.8</v>
      </c>
      <c r="AD30" s="228">
        <v>-11.4</v>
      </c>
      <c r="AE30" s="229">
        <v>-2.5999999999999999E-3</v>
      </c>
      <c r="AF30" s="228">
        <v>19.899999999999999</v>
      </c>
      <c r="AG30" s="228">
        <v>24</v>
      </c>
      <c r="AH30" s="228">
        <v>-4.0999999999999996</v>
      </c>
      <c r="AI30" s="229">
        <v>4.8999999999999998E-3</v>
      </c>
      <c r="AJ30" s="228">
        <v>42.3</v>
      </c>
      <c r="AK30" s="228">
        <v>44.8</v>
      </c>
      <c r="AL30" s="228">
        <v>-2.5</v>
      </c>
      <c r="AM30" s="229">
        <v>1.0500000000000001E-2</v>
      </c>
      <c r="AN30" s="231">
        <v>4031.16</v>
      </c>
      <c r="AO30" s="231">
        <v>4056.37</v>
      </c>
      <c r="AP30" s="228">
        <v>0</v>
      </c>
      <c r="AQ30" s="230">
        <v>31807</v>
      </c>
      <c r="AR30" s="230">
        <v>58948</v>
      </c>
      <c r="AS30" s="230">
        <v>-27141</v>
      </c>
      <c r="AT30" s="229">
        <v>-0.46039999999999998</v>
      </c>
      <c r="AU30" s="230">
        <v>12843</v>
      </c>
      <c r="AV30" s="230">
        <v>27830</v>
      </c>
      <c r="AW30" s="230">
        <v>-14987</v>
      </c>
      <c r="AX30" s="229">
        <v>-0.53849999999999998</v>
      </c>
      <c r="AY30" s="230">
        <v>18601</v>
      </c>
      <c r="AZ30" s="230">
        <v>30513</v>
      </c>
      <c r="BA30" s="230">
        <v>-11912</v>
      </c>
      <c r="BB30" s="229">
        <v>-0.39040000000000002</v>
      </c>
      <c r="BC30" s="228">
        <v>363</v>
      </c>
      <c r="BD30" s="228">
        <v>605</v>
      </c>
      <c r="BE30" s="228">
        <v>-242</v>
      </c>
      <c r="BF30" s="229">
        <v>-0.4</v>
      </c>
      <c r="BG30" s="230">
        <v>50480</v>
      </c>
      <c r="BH30" s="230">
        <v>109703</v>
      </c>
      <c r="BI30" s="230">
        <v>-59223</v>
      </c>
      <c r="BJ30" s="229">
        <v>-0.53979999999999995</v>
      </c>
      <c r="BK30" s="230">
        <v>26760</v>
      </c>
      <c r="BL30" s="230">
        <v>56814</v>
      </c>
      <c r="BM30" s="230">
        <v>-30054</v>
      </c>
      <c r="BN30" s="229">
        <v>-0.52900000000000003</v>
      </c>
      <c r="BO30" s="230">
        <v>109047</v>
      </c>
      <c r="BP30" s="230">
        <v>225465</v>
      </c>
      <c r="BQ30" s="230">
        <v>-116418</v>
      </c>
      <c r="BR30" s="229">
        <v>-0.51629999999999998</v>
      </c>
      <c r="BS30" s="230">
        <v>1601961</v>
      </c>
      <c r="BT30" s="230">
        <v>2272973</v>
      </c>
      <c r="BU30" s="230">
        <v>-671012</v>
      </c>
      <c r="BV30" s="229">
        <v>-0.29520000000000002</v>
      </c>
      <c r="BW30" s="230">
        <v>14581000</v>
      </c>
      <c r="BX30" s="230">
        <v>16130800</v>
      </c>
      <c r="BY30" s="230">
        <v>-1549800</v>
      </c>
      <c r="BZ30" s="229">
        <v>-9.6100000000000005E-2</v>
      </c>
      <c r="CA30" s="230">
        <v>882000</v>
      </c>
      <c r="CB30" s="230">
        <v>2343425</v>
      </c>
      <c r="CC30" s="230">
        <v>-1461425</v>
      </c>
      <c r="CD30" s="229">
        <v>-0.62360000000000004</v>
      </c>
      <c r="CE30" s="230">
        <v>13706175</v>
      </c>
      <c r="CF30" s="230">
        <v>12920425</v>
      </c>
      <c r="CG30" s="230">
        <v>785750</v>
      </c>
      <c r="CH30" s="229">
        <v>6.08E-2</v>
      </c>
      <c r="CI30" s="230">
        <v>874825</v>
      </c>
      <c r="CJ30" s="230">
        <v>866950</v>
      </c>
      <c r="CK30" s="230">
        <v>7875</v>
      </c>
      <c r="CL30" s="229">
        <v>9.1000000000000004E-3</v>
      </c>
      <c r="CM30" s="230">
        <v>2550625</v>
      </c>
      <c r="CN30" s="230">
        <v>7519400</v>
      </c>
      <c r="CO30" s="230">
        <v>-4968775</v>
      </c>
      <c r="CP30" s="229">
        <v>-0.66080000000000005</v>
      </c>
      <c r="CQ30" s="230">
        <v>3384325</v>
      </c>
      <c r="CR30" s="230">
        <v>5893825</v>
      </c>
      <c r="CS30" s="230">
        <v>-2509500</v>
      </c>
      <c r="CT30" s="229">
        <v>-0.42580000000000001</v>
      </c>
      <c r="CU30" s="230">
        <v>20515950</v>
      </c>
      <c r="CV30" s="230">
        <v>29544025</v>
      </c>
      <c r="CW30" s="230">
        <v>-9028075</v>
      </c>
      <c r="CX30" s="229">
        <v>-0.30559999999999998</v>
      </c>
      <c r="CY30" s="228">
        <v>21.47</v>
      </c>
      <c r="CZ30" s="228">
        <v>22.84</v>
      </c>
      <c r="DA30" s="228">
        <v>-1.37</v>
      </c>
      <c r="DB30" s="228">
        <v>-1.37</v>
      </c>
      <c r="DC30" s="228">
        <v>32.880000000000003</v>
      </c>
      <c r="DD30" s="228">
        <v>32.97</v>
      </c>
      <c r="DE30" s="228">
        <v>-11.41</v>
      </c>
      <c r="DF30" s="228">
        <v>-0.09</v>
      </c>
      <c r="DG30" s="228">
        <v>21.31</v>
      </c>
      <c r="DH30" s="228">
        <v>22.7</v>
      </c>
      <c r="DI30" s="228">
        <v>-1.39</v>
      </c>
      <c r="DJ30" s="228">
        <v>-1.39</v>
      </c>
      <c r="DK30" s="228">
        <v>21.74</v>
      </c>
      <c r="DL30" s="228">
        <v>23.09</v>
      </c>
      <c r="DM30" s="228">
        <v>-1.35</v>
      </c>
      <c r="DN30" s="228">
        <v>-1.35</v>
      </c>
      <c r="DO30" s="228">
        <v>1.33</v>
      </c>
      <c r="DP30" s="228">
        <v>0.78</v>
      </c>
      <c r="DQ30" s="228">
        <v>0.55000000000000004</v>
      </c>
      <c r="DR30" s="229">
        <v>0.70509999999999995</v>
      </c>
      <c r="DS30" s="231">
        <v>4000</v>
      </c>
      <c r="DT30" s="231">
        <v>4000</v>
      </c>
      <c r="DU30" s="228">
        <v>0.53</v>
      </c>
      <c r="DV30" s="228">
        <v>0.52</v>
      </c>
      <c r="DW30" s="228">
        <v>0.01</v>
      </c>
      <c r="DX30" s="229">
        <v>1.9199999999999998E-2</v>
      </c>
      <c r="DY30" s="229">
        <v>0.94299999999999995</v>
      </c>
      <c r="DZ30" s="230">
        <v>13787375</v>
      </c>
      <c r="EA30" s="229">
        <v>7.6E-3</v>
      </c>
      <c r="EB30" s="229">
        <v>0.94299999999999995</v>
      </c>
      <c r="EC30" s="228">
        <v>25.21</v>
      </c>
      <c r="ED30" s="229">
        <v>6.3E-3</v>
      </c>
      <c r="EE30" s="230">
        <v>871465</v>
      </c>
      <c r="EF30" s="230">
        <v>1366500</v>
      </c>
      <c r="EG30" s="229">
        <v>-0.36230000000000001</v>
      </c>
      <c r="EH30" s="229">
        <v>0.54400000000000004</v>
      </c>
      <c r="EI30" s="231">
        <v>364893.43</v>
      </c>
      <c r="EJ30" s="231">
        <v>187294.81</v>
      </c>
      <c r="EK30" s="231">
        <v>225233.51</v>
      </c>
      <c r="EL30" s="231">
        <v>35906</v>
      </c>
      <c r="EM30" s="231">
        <v>777421.75</v>
      </c>
      <c r="EN30" s="231">
        <v>1598754.73</v>
      </c>
      <c r="EO30" s="231">
        <v>-821332.98</v>
      </c>
      <c r="EP30" s="229">
        <v>-0.51370000000000005</v>
      </c>
      <c r="EQ30" s="231">
        <v>104966</v>
      </c>
      <c r="ER30" s="231">
        <v>132253</v>
      </c>
      <c r="ES30" s="231">
        <v>591849</v>
      </c>
      <c r="ET30" s="231">
        <v>136099497</v>
      </c>
      <c r="EU30" s="231">
        <v>829069</v>
      </c>
      <c r="EV30" s="231">
        <v>1194700</v>
      </c>
      <c r="EW30" s="231">
        <v>-365631</v>
      </c>
      <c r="EX30" s="229">
        <v>-0.30599999999999999</v>
      </c>
      <c r="EY30" s="229">
        <v>0.1507</v>
      </c>
    </row>
    <row r="31" spans="1:155" ht="17.25" thickBot="1" x14ac:dyDescent="0.3">
      <c r="A31" s="226">
        <v>46168</v>
      </c>
      <c r="B31" s="227" t="s">
        <v>162</v>
      </c>
      <c r="C31" s="227" t="s">
        <v>251</v>
      </c>
      <c r="D31" s="231">
        <v>3127.8</v>
      </c>
      <c r="E31" s="231">
        <v>3163.9</v>
      </c>
      <c r="F31" s="228">
        <v>-36.1</v>
      </c>
      <c r="G31" s="229">
        <v>-1.14E-2</v>
      </c>
      <c r="H31" s="231">
        <v>3107.3</v>
      </c>
      <c r="I31" s="231">
        <v>3139</v>
      </c>
      <c r="J31" s="228">
        <v>-31.7</v>
      </c>
      <c r="K31" s="229">
        <v>-1.01E-2</v>
      </c>
      <c r="L31" s="231">
        <v>3102.4</v>
      </c>
      <c r="M31" s="231">
        <v>3145.6</v>
      </c>
      <c r="N31" s="228">
        <v>-43.2</v>
      </c>
      <c r="O31" s="229">
        <v>-1.37E-2</v>
      </c>
      <c r="P31" s="231">
        <v>3127.8</v>
      </c>
      <c r="Q31" s="231">
        <v>3163.9</v>
      </c>
      <c r="R31" s="228">
        <v>-36.1</v>
      </c>
      <c r="S31" s="229">
        <v>-1.14E-2</v>
      </c>
      <c r="T31" s="231">
        <v>3114.2</v>
      </c>
      <c r="U31" s="231">
        <v>3149.6</v>
      </c>
      <c r="V31" s="228">
        <v>-35.4</v>
      </c>
      <c r="W31" s="229">
        <v>-1.12E-2</v>
      </c>
      <c r="X31" s="228">
        <v>20.5</v>
      </c>
      <c r="Y31" s="228">
        <v>6.6</v>
      </c>
      <c r="Z31" s="228">
        <v>13.9</v>
      </c>
      <c r="AA31" s="229">
        <v>6.6E-3</v>
      </c>
      <c r="AB31" s="228">
        <v>-4.9000000000000004</v>
      </c>
      <c r="AC31" s="228">
        <v>6.6</v>
      </c>
      <c r="AD31" s="228">
        <v>-11.5</v>
      </c>
      <c r="AE31" s="229">
        <v>-1.6000000000000001E-3</v>
      </c>
      <c r="AF31" s="228">
        <v>20.5</v>
      </c>
      <c r="AG31" s="228">
        <v>24.9</v>
      </c>
      <c r="AH31" s="228">
        <v>-4.4000000000000004</v>
      </c>
      <c r="AI31" s="229">
        <v>6.6E-3</v>
      </c>
      <c r="AJ31" s="228">
        <v>6.9</v>
      </c>
      <c r="AK31" s="228">
        <v>10.6</v>
      </c>
      <c r="AL31" s="228">
        <v>-3.7</v>
      </c>
      <c r="AM31" s="229">
        <v>2.2000000000000001E-3</v>
      </c>
      <c r="AN31" s="231">
        <v>3124.23</v>
      </c>
      <c r="AO31" s="231">
        <v>3144.29</v>
      </c>
      <c r="AP31" s="228">
        <v>0</v>
      </c>
      <c r="AQ31" s="230">
        <v>19391</v>
      </c>
      <c r="AR31" s="230">
        <v>45748</v>
      </c>
      <c r="AS31" s="230">
        <v>-26357</v>
      </c>
      <c r="AT31" s="229">
        <v>-0.57609999999999995</v>
      </c>
      <c r="AU31" s="230">
        <v>7646</v>
      </c>
      <c r="AV31" s="230">
        <v>21124</v>
      </c>
      <c r="AW31" s="230">
        <v>-13478</v>
      </c>
      <c r="AX31" s="229">
        <v>-0.63800000000000001</v>
      </c>
      <c r="AY31" s="230">
        <v>10950</v>
      </c>
      <c r="AZ31" s="230">
        <v>23613</v>
      </c>
      <c r="BA31" s="230">
        <v>-12663</v>
      </c>
      <c r="BB31" s="229">
        <v>-0.5363</v>
      </c>
      <c r="BC31" s="228">
        <v>795</v>
      </c>
      <c r="BD31" s="230">
        <v>1011</v>
      </c>
      <c r="BE31" s="228">
        <v>-216</v>
      </c>
      <c r="BF31" s="229">
        <v>-0.21360000000000001</v>
      </c>
      <c r="BG31" s="230">
        <v>32907</v>
      </c>
      <c r="BH31" s="230">
        <v>62755</v>
      </c>
      <c r="BI31" s="230">
        <v>-29848</v>
      </c>
      <c r="BJ31" s="229">
        <v>-0.47560000000000002</v>
      </c>
      <c r="BK31" s="230">
        <v>17874</v>
      </c>
      <c r="BL31" s="230">
        <v>30776</v>
      </c>
      <c r="BM31" s="230">
        <v>-12902</v>
      </c>
      <c r="BN31" s="229">
        <v>-0.41920000000000002</v>
      </c>
      <c r="BO31" s="230">
        <v>70172</v>
      </c>
      <c r="BP31" s="230">
        <v>139279</v>
      </c>
      <c r="BQ31" s="230">
        <v>-69107</v>
      </c>
      <c r="BR31" s="229">
        <v>-0.49619999999999997</v>
      </c>
      <c r="BS31" s="230">
        <v>1894297</v>
      </c>
      <c r="BT31" s="230">
        <v>2792449</v>
      </c>
      <c r="BU31" s="230">
        <v>-898152</v>
      </c>
      <c r="BV31" s="229">
        <v>-0.3216</v>
      </c>
      <c r="BW31" s="230">
        <v>18404800</v>
      </c>
      <c r="BX31" s="230">
        <v>18867400</v>
      </c>
      <c r="BY31" s="230">
        <v>-462600</v>
      </c>
      <c r="BZ31" s="229">
        <v>-2.4500000000000001E-2</v>
      </c>
      <c r="CA31" s="230">
        <v>615600</v>
      </c>
      <c r="CB31" s="230">
        <v>1510400</v>
      </c>
      <c r="CC31" s="230">
        <v>-894800</v>
      </c>
      <c r="CD31" s="229">
        <v>-0.59240000000000004</v>
      </c>
      <c r="CE31" s="230">
        <v>15988400</v>
      </c>
      <c r="CF31" s="230">
        <v>15050400</v>
      </c>
      <c r="CG31" s="230">
        <v>938000</v>
      </c>
      <c r="CH31" s="229">
        <v>6.2300000000000001E-2</v>
      </c>
      <c r="CI31" s="230">
        <v>2416400</v>
      </c>
      <c r="CJ31" s="230">
        <v>2306600</v>
      </c>
      <c r="CK31" s="230">
        <v>109800</v>
      </c>
      <c r="CL31" s="229">
        <v>4.7600000000000003E-2</v>
      </c>
      <c r="CM31" s="230">
        <v>2809200</v>
      </c>
      <c r="CN31" s="230">
        <v>5832600</v>
      </c>
      <c r="CO31" s="230">
        <v>-3023400</v>
      </c>
      <c r="CP31" s="229">
        <v>-0.51839999999999997</v>
      </c>
      <c r="CQ31" s="230">
        <v>2369600</v>
      </c>
      <c r="CR31" s="230">
        <v>5147000</v>
      </c>
      <c r="CS31" s="230">
        <v>-2777400</v>
      </c>
      <c r="CT31" s="229">
        <v>-0.53959999999999997</v>
      </c>
      <c r="CU31" s="230">
        <v>23583600</v>
      </c>
      <c r="CV31" s="230">
        <v>29847000</v>
      </c>
      <c r="CW31" s="230">
        <v>-6263400</v>
      </c>
      <c r="CX31" s="229">
        <v>-0.2099</v>
      </c>
      <c r="CY31" s="228">
        <v>26.62</v>
      </c>
      <c r="CZ31" s="228">
        <v>27.54</v>
      </c>
      <c r="DA31" s="228">
        <v>-0.92</v>
      </c>
      <c r="DB31" s="228">
        <v>-0.92</v>
      </c>
      <c r="DC31" s="228">
        <v>35.54</v>
      </c>
      <c r="DD31" s="228">
        <v>35.61</v>
      </c>
      <c r="DE31" s="228">
        <v>-8.92</v>
      </c>
      <c r="DF31" s="228">
        <v>-7.0000000000000007E-2</v>
      </c>
      <c r="DG31" s="228">
        <v>26.54</v>
      </c>
      <c r="DH31" s="228">
        <v>27.5</v>
      </c>
      <c r="DI31" s="228">
        <v>-0.96</v>
      </c>
      <c r="DJ31" s="228">
        <v>-0.96</v>
      </c>
      <c r="DK31" s="228">
        <v>26.8</v>
      </c>
      <c r="DL31" s="228">
        <v>27.61</v>
      </c>
      <c r="DM31" s="228">
        <v>-0.81</v>
      </c>
      <c r="DN31" s="228">
        <v>-0.81</v>
      </c>
      <c r="DO31" s="228">
        <v>0.84</v>
      </c>
      <c r="DP31" s="228">
        <v>0.88</v>
      </c>
      <c r="DQ31" s="228">
        <v>-0.04</v>
      </c>
      <c r="DR31" s="229">
        <v>-4.5499999999999999E-2</v>
      </c>
      <c r="DS31" s="231">
        <v>3200</v>
      </c>
      <c r="DT31" s="231">
        <v>3100</v>
      </c>
      <c r="DU31" s="228">
        <v>0.54</v>
      </c>
      <c r="DV31" s="228">
        <v>0.49</v>
      </c>
      <c r="DW31" s="228">
        <v>0.05</v>
      </c>
      <c r="DX31" s="229">
        <v>0.10199999999999999</v>
      </c>
      <c r="DY31" s="229">
        <v>0.96760000000000002</v>
      </c>
      <c r="DZ31" s="230">
        <v>17357000</v>
      </c>
      <c r="EA31" s="229">
        <v>8.2000000000000007E-3</v>
      </c>
      <c r="EB31" s="229">
        <v>0.96760000000000002</v>
      </c>
      <c r="EC31" s="228">
        <v>20.059999999999999</v>
      </c>
      <c r="ED31" s="229">
        <v>6.4000000000000003E-3</v>
      </c>
      <c r="EE31" s="230">
        <v>1015098</v>
      </c>
      <c r="EF31" s="230">
        <v>1525819</v>
      </c>
      <c r="EG31" s="229">
        <v>-0.3347</v>
      </c>
      <c r="EH31" s="229">
        <v>0.53590000000000004</v>
      </c>
      <c r="EI31" s="231">
        <v>215137.84</v>
      </c>
      <c r="EJ31" s="231">
        <v>112259.76</v>
      </c>
      <c r="EK31" s="231">
        <v>121613.38</v>
      </c>
      <c r="EL31" s="231">
        <v>34337</v>
      </c>
      <c r="EM31" s="231">
        <v>449010.98</v>
      </c>
      <c r="EN31" s="231">
        <v>893783.68</v>
      </c>
      <c r="EO31" s="231">
        <v>-444772.7</v>
      </c>
      <c r="EP31" s="229">
        <v>-0.49759999999999999</v>
      </c>
      <c r="EQ31" s="231">
        <v>91322</v>
      </c>
      <c r="ER31" s="231">
        <v>74936</v>
      </c>
      <c r="ES31" s="231">
        <v>575337</v>
      </c>
      <c r="ET31" s="231">
        <v>120808308</v>
      </c>
      <c r="EU31" s="231">
        <v>741595</v>
      </c>
      <c r="EV31" s="231">
        <v>949222</v>
      </c>
      <c r="EW31" s="231">
        <v>-207627</v>
      </c>
      <c r="EX31" s="229">
        <v>-0.21870000000000001</v>
      </c>
      <c r="EY31" s="229">
        <v>0.19520000000000001</v>
      </c>
    </row>
    <row r="32" spans="1:155" ht="17.25" thickBot="1" x14ac:dyDescent="0.3">
      <c r="A32" s="226">
        <v>46168</v>
      </c>
      <c r="B32" s="227" t="s">
        <v>162</v>
      </c>
      <c r="C32" s="227" t="s">
        <v>255</v>
      </c>
      <c r="D32" s="231">
        <v>13279</v>
      </c>
      <c r="E32" s="231">
        <v>13270</v>
      </c>
      <c r="F32" s="228">
        <v>9</v>
      </c>
      <c r="G32" s="229">
        <v>6.9999999999999999E-4</v>
      </c>
      <c r="H32" s="231">
        <v>13208</v>
      </c>
      <c r="I32" s="231">
        <v>13170</v>
      </c>
      <c r="J32" s="228">
        <v>38</v>
      </c>
      <c r="K32" s="229">
        <v>2.8999999999999998E-3</v>
      </c>
      <c r="L32" s="231">
        <v>13176</v>
      </c>
      <c r="M32" s="231">
        <v>13181</v>
      </c>
      <c r="N32" s="228">
        <v>-5</v>
      </c>
      <c r="O32" s="229">
        <v>-4.0000000000000002E-4</v>
      </c>
      <c r="P32" s="231">
        <v>13279</v>
      </c>
      <c r="Q32" s="231">
        <v>13270</v>
      </c>
      <c r="R32" s="228">
        <v>9</v>
      </c>
      <c r="S32" s="229">
        <v>6.9999999999999999E-4</v>
      </c>
      <c r="T32" s="231">
        <v>13366</v>
      </c>
      <c r="U32" s="231">
        <v>13348</v>
      </c>
      <c r="V32" s="228">
        <v>18</v>
      </c>
      <c r="W32" s="229">
        <v>1.2999999999999999E-3</v>
      </c>
      <c r="X32" s="228">
        <v>71</v>
      </c>
      <c r="Y32" s="228">
        <v>11</v>
      </c>
      <c r="Z32" s="228">
        <v>60</v>
      </c>
      <c r="AA32" s="229">
        <v>5.4000000000000003E-3</v>
      </c>
      <c r="AB32" s="228">
        <v>-32</v>
      </c>
      <c r="AC32" s="228">
        <v>11</v>
      </c>
      <c r="AD32" s="228">
        <v>-43</v>
      </c>
      <c r="AE32" s="229">
        <v>-2.3999999999999998E-3</v>
      </c>
      <c r="AF32" s="228">
        <v>71</v>
      </c>
      <c r="AG32" s="228">
        <v>100</v>
      </c>
      <c r="AH32" s="228">
        <v>-29</v>
      </c>
      <c r="AI32" s="229">
        <v>5.4000000000000003E-3</v>
      </c>
      <c r="AJ32" s="228">
        <v>158</v>
      </c>
      <c r="AK32" s="228">
        <v>178</v>
      </c>
      <c r="AL32" s="228">
        <v>-20</v>
      </c>
      <c r="AM32" s="229">
        <v>1.2E-2</v>
      </c>
      <c r="AN32" s="231">
        <v>13223.23</v>
      </c>
      <c r="AO32" s="231">
        <v>13331.49</v>
      </c>
      <c r="AP32" s="228">
        <v>0</v>
      </c>
      <c r="AQ32" s="230">
        <v>13367</v>
      </c>
      <c r="AR32" s="230">
        <v>34446</v>
      </c>
      <c r="AS32" s="230">
        <v>-21079</v>
      </c>
      <c r="AT32" s="229">
        <v>-0.6119</v>
      </c>
      <c r="AU32" s="230">
        <v>5507</v>
      </c>
      <c r="AV32" s="230">
        <v>16164</v>
      </c>
      <c r="AW32" s="230">
        <v>-10657</v>
      </c>
      <c r="AX32" s="229">
        <v>-0.6593</v>
      </c>
      <c r="AY32" s="230">
        <v>7724</v>
      </c>
      <c r="AZ32" s="230">
        <v>18094</v>
      </c>
      <c r="BA32" s="230">
        <v>-10370</v>
      </c>
      <c r="BB32" s="229">
        <v>-0.57310000000000005</v>
      </c>
      <c r="BC32" s="228">
        <v>136</v>
      </c>
      <c r="BD32" s="228">
        <v>188</v>
      </c>
      <c r="BE32" s="228">
        <v>-52</v>
      </c>
      <c r="BF32" s="229">
        <v>-0.27660000000000001</v>
      </c>
      <c r="BG32" s="230">
        <v>58806</v>
      </c>
      <c r="BH32" s="230">
        <v>90043</v>
      </c>
      <c r="BI32" s="230">
        <v>-31237</v>
      </c>
      <c r="BJ32" s="229">
        <v>-0.34689999999999999</v>
      </c>
      <c r="BK32" s="230">
        <v>26448</v>
      </c>
      <c r="BL32" s="230">
        <v>42826</v>
      </c>
      <c r="BM32" s="230">
        <v>-16378</v>
      </c>
      <c r="BN32" s="229">
        <v>-0.38240000000000002</v>
      </c>
      <c r="BO32" s="230">
        <v>98621</v>
      </c>
      <c r="BP32" s="230">
        <v>167315</v>
      </c>
      <c r="BQ32" s="230">
        <v>-68694</v>
      </c>
      <c r="BR32" s="229">
        <v>-0.41060000000000002</v>
      </c>
      <c r="BS32" s="230">
        <v>272017</v>
      </c>
      <c r="BT32" s="230">
        <v>305602</v>
      </c>
      <c r="BU32" s="230">
        <v>-33585</v>
      </c>
      <c r="BV32" s="229">
        <v>-0.1099</v>
      </c>
      <c r="BW32" s="230">
        <v>3112850</v>
      </c>
      <c r="BX32" s="230">
        <v>3237100</v>
      </c>
      <c r="BY32" s="230">
        <v>-124250</v>
      </c>
      <c r="BZ32" s="229">
        <v>-3.8399999999999997E-2</v>
      </c>
      <c r="CA32" s="230">
        <v>182600</v>
      </c>
      <c r="CB32" s="230">
        <v>272250</v>
      </c>
      <c r="CC32" s="230">
        <v>-89650</v>
      </c>
      <c r="CD32" s="229">
        <v>-0.32929999999999998</v>
      </c>
      <c r="CE32" s="230">
        <v>2848450</v>
      </c>
      <c r="CF32" s="230">
        <v>2701900</v>
      </c>
      <c r="CG32" s="230">
        <v>146550</v>
      </c>
      <c r="CH32" s="229">
        <v>5.4199999999999998E-2</v>
      </c>
      <c r="CI32" s="230">
        <v>264400</v>
      </c>
      <c r="CJ32" s="230">
        <v>262950</v>
      </c>
      <c r="CK32" s="230">
        <v>1450</v>
      </c>
      <c r="CL32" s="229">
        <v>5.4999999999999997E-3</v>
      </c>
      <c r="CM32" s="230">
        <v>539500</v>
      </c>
      <c r="CN32" s="230">
        <v>2499800</v>
      </c>
      <c r="CO32" s="230">
        <v>-1960300</v>
      </c>
      <c r="CP32" s="229">
        <v>-0.78420000000000001</v>
      </c>
      <c r="CQ32" s="230">
        <v>387400</v>
      </c>
      <c r="CR32" s="230">
        <v>1064100</v>
      </c>
      <c r="CS32" s="230">
        <v>-676700</v>
      </c>
      <c r="CT32" s="229">
        <v>-0.63590000000000002</v>
      </c>
      <c r="CU32" s="230">
        <v>4039750</v>
      </c>
      <c r="CV32" s="230">
        <v>6801000</v>
      </c>
      <c r="CW32" s="230">
        <v>-2761250</v>
      </c>
      <c r="CX32" s="229">
        <v>-0.40600000000000003</v>
      </c>
      <c r="CY32" s="228">
        <v>22.99</v>
      </c>
      <c r="CZ32" s="228">
        <v>23.75</v>
      </c>
      <c r="DA32" s="228">
        <v>-0.76</v>
      </c>
      <c r="DB32" s="228">
        <v>-0.76</v>
      </c>
      <c r="DC32" s="228">
        <v>28.52</v>
      </c>
      <c r="DD32" s="228">
        <v>28.59</v>
      </c>
      <c r="DE32" s="228">
        <v>-5.53</v>
      </c>
      <c r="DF32" s="228">
        <v>-7.0000000000000007E-2</v>
      </c>
      <c r="DG32" s="228">
        <v>22.54</v>
      </c>
      <c r="DH32" s="228">
        <v>23.68</v>
      </c>
      <c r="DI32" s="228">
        <v>-1.1399999999999999</v>
      </c>
      <c r="DJ32" s="228">
        <v>-1.1399999999999999</v>
      </c>
      <c r="DK32" s="228">
        <v>23.96</v>
      </c>
      <c r="DL32" s="228">
        <v>23.89</v>
      </c>
      <c r="DM32" s="228">
        <v>7.0000000000000007E-2</v>
      </c>
      <c r="DN32" s="228">
        <v>7.0000000000000007E-2</v>
      </c>
      <c r="DO32" s="228">
        <v>0.72</v>
      </c>
      <c r="DP32" s="228">
        <v>0.43</v>
      </c>
      <c r="DQ32" s="228">
        <v>0.28999999999999998</v>
      </c>
      <c r="DR32" s="229">
        <v>0.6744</v>
      </c>
      <c r="DS32" s="231">
        <v>13500</v>
      </c>
      <c r="DT32" s="231">
        <v>12500</v>
      </c>
      <c r="DU32" s="228">
        <v>0.45</v>
      </c>
      <c r="DV32" s="228">
        <v>0.48</v>
      </c>
      <c r="DW32" s="228">
        <v>-0.03</v>
      </c>
      <c r="DX32" s="229">
        <v>-6.25E-2</v>
      </c>
      <c r="DY32" s="229">
        <v>0.9446</v>
      </c>
      <c r="DZ32" s="230">
        <v>2964850</v>
      </c>
      <c r="EA32" s="229">
        <v>7.7999999999999996E-3</v>
      </c>
      <c r="EB32" s="229">
        <v>0.9446</v>
      </c>
      <c r="EC32" s="228">
        <v>108.26</v>
      </c>
      <c r="ED32" s="229">
        <v>8.2000000000000007E-3</v>
      </c>
      <c r="EE32" s="230">
        <v>136287</v>
      </c>
      <c r="EF32" s="230">
        <v>161508</v>
      </c>
      <c r="EG32" s="229">
        <v>-0.15620000000000001</v>
      </c>
      <c r="EH32" s="229">
        <v>0.501</v>
      </c>
      <c r="EI32" s="231">
        <v>401709.38</v>
      </c>
      <c r="EJ32" s="231">
        <v>172506.76</v>
      </c>
      <c r="EK32" s="231">
        <v>88808.61</v>
      </c>
      <c r="EL32" s="231">
        <v>22372</v>
      </c>
      <c r="EM32" s="231">
        <v>663024.75</v>
      </c>
      <c r="EN32" s="231">
        <v>1117779.94</v>
      </c>
      <c r="EO32" s="231">
        <v>-454755.19</v>
      </c>
      <c r="EP32" s="229">
        <v>-0.40679999999999999</v>
      </c>
      <c r="EQ32" s="231">
        <v>74535</v>
      </c>
      <c r="ER32" s="231">
        <v>50150</v>
      </c>
      <c r="ES32" s="231">
        <v>413585</v>
      </c>
      <c r="ET32" s="231">
        <v>19673414</v>
      </c>
      <c r="EU32" s="231">
        <v>538271</v>
      </c>
      <c r="EV32" s="231">
        <v>914107</v>
      </c>
      <c r="EW32" s="231">
        <v>-375836</v>
      </c>
      <c r="EX32" s="229">
        <v>-0.41120000000000001</v>
      </c>
      <c r="EY32" s="229">
        <v>0.20530000000000001</v>
      </c>
    </row>
    <row r="33" spans="1:155" ht="17.25" thickBot="1" x14ac:dyDescent="0.3">
      <c r="A33" s="226">
        <v>46168</v>
      </c>
      <c r="B33" s="227" t="s">
        <v>170</v>
      </c>
      <c r="C33" s="227" t="s">
        <v>602</v>
      </c>
      <c r="D33" s="231">
        <v>1000</v>
      </c>
      <c r="E33" s="231">
        <v>1008.25</v>
      </c>
      <c r="F33" s="228">
        <v>-8.25</v>
      </c>
      <c r="G33" s="229">
        <v>-8.2000000000000007E-3</v>
      </c>
      <c r="H33" s="228">
        <v>993.95</v>
      </c>
      <c r="I33" s="231">
        <v>1000.85</v>
      </c>
      <c r="J33" s="228">
        <v>-6.9</v>
      </c>
      <c r="K33" s="229">
        <v>-6.8999999999999999E-3</v>
      </c>
      <c r="L33" s="228">
        <v>996.9</v>
      </c>
      <c r="M33" s="231">
        <v>1004.35</v>
      </c>
      <c r="N33" s="228">
        <v>-7.45</v>
      </c>
      <c r="O33" s="229">
        <v>-7.4000000000000003E-3</v>
      </c>
      <c r="P33" s="231">
        <v>1000</v>
      </c>
      <c r="Q33" s="231">
        <v>1008.25</v>
      </c>
      <c r="R33" s="228">
        <v>-8.25</v>
      </c>
      <c r="S33" s="229">
        <v>-8.2000000000000007E-3</v>
      </c>
      <c r="T33" s="231">
        <v>1004.15</v>
      </c>
      <c r="U33" s="231">
        <v>1012.35</v>
      </c>
      <c r="V33" s="228">
        <v>-8.1999999999999993</v>
      </c>
      <c r="W33" s="229">
        <v>-8.0999999999999996E-3</v>
      </c>
      <c r="X33" s="228">
        <v>6.05</v>
      </c>
      <c r="Y33" s="228">
        <v>3.5</v>
      </c>
      <c r="Z33" s="228">
        <v>2.5499999999999998</v>
      </c>
      <c r="AA33" s="229">
        <v>6.1000000000000004E-3</v>
      </c>
      <c r="AB33" s="228">
        <v>2.95</v>
      </c>
      <c r="AC33" s="228">
        <v>3.5</v>
      </c>
      <c r="AD33" s="228">
        <v>-0.55000000000000004</v>
      </c>
      <c r="AE33" s="229">
        <v>3.0000000000000001E-3</v>
      </c>
      <c r="AF33" s="228">
        <v>6.05</v>
      </c>
      <c r="AG33" s="228">
        <v>7.4</v>
      </c>
      <c r="AH33" s="228">
        <v>-1.35</v>
      </c>
      <c r="AI33" s="229">
        <v>6.1000000000000004E-3</v>
      </c>
      <c r="AJ33" s="228">
        <v>10.199999999999999</v>
      </c>
      <c r="AK33" s="228">
        <v>11.5</v>
      </c>
      <c r="AL33" s="228">
        <v>-1.3</v>
      </c>
      <c r="AM33" s="229">
        <v>1.03E-2</v>
      </c>
      <c r="AN33" s="228">
        <v>995.85</v>
      </c>
      <c r="AO33" s="231">
        <v>1001.54</v>
      </c>
      <c r="AP33" s="228">
        <v>0</v>
      </c>
      <c r="AQ33" s="230">
        <v>7602</v>
      </c>
      <c r="AR33" s="230">
        <v>15135</v>
      </c>
      <c r="AS33" s="230">
        <v>-7533</v>
      </c>
      <c r="AT33" s="229">
        <v>-0.49769999999999998</v>
      </c>
      <c r="AU33" s="230">
        <v>2530</v>
      </c>
      <c r="AV33" s="230">
        <v>6506</v>
      </c>
      <c r="AW33" s="230">
        <v>-3976</v>
      </c>
      <c r="AX33" s="229">
        <v>-0.61109999999999998</v>
      </c>
      <c r="AY33" s="230">
        <v>4984</v>
      </c>
      <c r="AZ33" s="230">
        <v>8480</v>
      </c>
      <c r="BA33" s="230">
        <v>-3496</v>
      </c>
      <c r="BB33" s="229">
        <v>-0.4123</v>
      </c>
      <c r="BC33" s="228">
        <v>88</v>
      </c>
      <c r="BD33" s="228">
        <v>149</v>
      </c>
      <c r="BE33" s="228">
        <v>-61</v>
      </c>
      <c r="BF33" s="229">
        <v>-0.40939999999999999</v>
      </c>
      <c r="BG33" s="230">
        <v>13268</v>
      </c>
      <c r="BH33" s="230">
        <v>37297</v>
      </c>
      <c r="BI33" s="230">
        <v>-24029</v>
      </c>
      <c r="BJ33" s="229">
        <v>-0.64429999999999998</v>
      </c>
      <c r="BK33" s="230">
        <v>7312</v>
      </c>
      <c r="BL33" s="230">
        <v>23112</v>
      </c>
      <c r="BM33" s="230">
        <v>-15800</v>
      </c>
      <c r="BN33" s="229">
        <v>-0.68359999999999999</v>
      </c>
      <c r="BO33" s="230">
        <v>28182</v>
      </c>
      <c r="BP33" s="230">
        <v>75544</v>
      </c>
      <c r="BQ33" s="230">
        <v>-47362</v>
      </c>
      <c r="BR33" s="229">
        <v>-0.62690000000000001</v>
      </c>
      <c r="BS33" s="230">
        <v>2672933</v>
      </c>
      <c r="BT33" s="230">
        <v>4327985</v>
      </c>
      <c r="BU33" s="230">
        <v>-1655052</v>
      </c>
      <c r="BV33" s="229">
        <v>-0.38240000000000002</v>
      </c>
      <c r="BW33" s="230">
        <v>13741350</v>
      </c>
      <c r="BX33" s="230">
        <v>14692650</v>
      </c>
      <c r="BY33" s="230">
        <v>-951300</v>
      </c>
      <c r="BZ33" s="229">
        <v>-6.4699999999999994E-2</v>
      </c>
      <c r="CA33" s="230">
        <v>1240575</v>
      </c>
      <c r="CB33" s="230">
        <v>1895775</v>
      </c>
      <c r="CC33" s="230">
        <v>-655200</v>
      </c>
      <c r="CD33" s="229">
        <v>-0.34560000000000002</v>
      </c>
      <c r="CE33" s="230">
        <v>13585950</v>
      </c>
      <c r="CF33" s="230">
        <v>12661950</v>
      </c>
      <c r="CG33" s="230">
        <v>924000</v>
      </c>
      <c r="CH33" s="229">
        <v>7.2999999999999995E-2</v>
      </c>
      <c r="CI33" s="230">
        <v>155400</v>
      </c>
      <c r="CJ33" s="230">
        <v>134925</v>
      </c>
      <c r="CK33" s="230">
        <v>20475</v>
      </c>
      <c r="CL33" s="229">
        <v>0.15179999999999999</v>
      </c>
      <c r="CM33" s="230">
        <v>4542300</v>
      </c>
      <c r="CN33" s="230">
        <v>7932750</v>
      </c>
      <c r="CO33" s="230">
        <v>-3390450</v>
      </c>
      <c r="CP33" s="229">
        <v>-0.4274</v>
      </c>
      <c r="CQ33" s="230">
        <v>1927800</v>
      </c>
      <c r="CR33" s="230">
        <v>3675525</v>
      </c>
      <c r="CS33" s="230">
        <v>-1747725</v>
      </c>
      <c r="CT33" s="229">
        <v>-0.47549999999999998</v>
      </c>
      <c r="CU33" s="230">
        <v>20211450</v>
      </c>
      <c r="CV33" s="230">
        <v>26300925</v>
      </c>
      <c r="CW33" s="230">
        <v>-6089475</v>
      </c>
      <c r="CX33" s="229">
        <v>-0.23150000000000001</v>
      </c>
      <c r="CY33" s="228">
        <v>27.78</v>
      </c>
      <c r="CZ33" s="228">
        <v>29.08</v>
      </c>
      <c r="DA33" s="228">
        <v>-1.3</v>
      </c>
      <c r="DB33" s="228">
        <v>-1.3</v>
      </c>
      <c r="DC33" s="228">
        <v>36.04</v>
      </c>
      <c r="DD33" s="228">
        <v>36.119999999999997</v>
      </c>
      <c r="DE33" s="228">
        <v>-8.26</v>
      </c>
      <c r="DF33" s="228">
        <v>-0.08</v>
      </c>
      <c r="DG33" s="228">
        <v>27.61</v>
      </c>
      <c r="DH33" s="228">
        <v>28.98</v>
      </c>
      <c r="DI33" s="228">
        <v>-1.37</v>
      </c>
      <c r="DJ33" s="228">
        <v>-1.37</v>
      </c>
      <c r="DK33" s="228">
        <v>28.16</v>
      </c>
      <c r="DL33" s="228">
        <v>29.29</v>
      </c>
      <c r="DM33" s="228">
        <v>-1.1299999999999999</v>
      </c>
      <c r="DN33" s="228">
        <v>-1.1299999999999999</v>
      </c>
      <c r="DO33" s="228">
        <v>0.42</v>
      </c>
      <c r="DP33" s="228">
        <v>0.46</v>
      </c>
      <c r="DQ33" s="228">
        <v>-0.04</v>
      </c>
      <c r="DR33" s="229">
        <v>-8.6999999999999994E-2</v>
      </c>
      <c r="DS33" s="231">
        <v>1100</v>
      </c>
      <c r="DT33" s="231">
        <v>1000</v>
      </c>
      <c r="DU33" s="228">
        <v>0.55000000000000004</v>
      </c>
      <c r="DV33" s="228">
        <v>0.62</v>
      </c>
      <c r="DW33" s="228">
        <v>-7.0000000000000007E-2</v>
      </c>
      <c r="DX33" s="229">
        <v>-0.1129</v>
      </c>
      <c r="DY33" s="229">
        <v>0.91720000000000002</v>
      </c>
      <c r="DZ33" s="230">
        <v>12796875</v>
      </c>
      <c r="EA33" s="229">
        <v>3.0999999999999999E-3</v>
      </c>
      <c r="EB33" s="229">
        <v>0.91720000000000002</v>
      </c>
      <c r="EC33" s="228">
        <v>5.69</v>
      </c>
      <c r="ED33" s="229">
        <v>5.7000000000000002E-3</v>
      </c>
      <c r="EE33" s="230">
        <v>1336197</v>
      </c>
      <c r="EF33" s="230">
        <v>2093691</v>
      </c>
      <c r="EG33" s="229">
        <v>-0.36180000000000001</v>
      </c>
      <c r="EH33" s="229">
        <v>0.49990000000000001</v>
      </c>
      <c r="EI33" s="231">
        <v>73681.91</v>
      </c>
      <c r="EJ33" s="231">
        <v>38573.660000000003</v>
      </c>
      <c r="EK33" s="231">
        <v>39898.15</v>
      </c>
      <c r="EL33" s="231">
        <v>14875</v>
      </c>
      <c r="EM33" s="231">
        <v>152153.72</v>
      </c>
      <c r="EN33" s="231">
        <v>407832.71</v>
      </c>
      <c r="EO33" s="231">
        <v>-255678.99</v>
      </c>
      <c r="EP33" s="229">
        <v>-0.62690000000000001</v>
      </c>
      <c r="EQ33" s="231">
        <v>48556</v>
      </c>
      <c r="ER33" s="231">
        <v>19339</v>
      </c>
      <c r="ES33" s="231">
        <v>137420</v>
      </c>
      <c r="ET33" s="231">
        <v>111298748</v>
      </c>
      <c r="EU33" s="231">
        <v>205315</v>
      </c>
      <c r="EV33" s="231">
        <v>271004</v>
      </c>
      <c r="EW33" s="231">
        <v>-65689</v>
      </c>
      <c r="EX33" s="229">
        <v>-0.2424</v>
      </c>
      <c r="EY33" s="229">
        <v>0.18160000000000001</v>
      </c>
    </row>
    <row r="34" spans="1:155" ht="17.25" thickBot="1" x14ac:dyDescent="0.3">
      <c r="A34" s="226">
        <v>46168</v>
      </c>
      <c r="B34" s="227" t="s">
        <v>168</v>
      </c>
      <c r="C34" s="227" t="s">
        <v>265</v>
      </c>
      <c r="D34" s="231">
        <v>1437</v>
      </c>
      <c r="E34" s="231">
        <v>1424.3</v>
      </c>
      <c r="F34" s="228">
        <v>12.7</v>
      </c>
      <c r="G34" s="229">
        <v>8.8999999999999999E-3</v>
      </c>
      <c r="H34" s="231">
        <v>1428.6</v>
      </c>
      <c r="I34" s="231">
        <v>1413.6</v>
      </c>
      <c r="J34" s="228">
        <v>15</v>
      </c>
      <c r="K34" s="229">
        <v>1.06E-2</v>
      </c>
      <c r="L34" s="231">
        <v>1428</v>
      </c>
      <c r="M34" s="231">
        <v>1416</v>
      </c>
      <c r="N34" s="228">
        <v>12</v>
      </c>
      <c r="O34" s="229">
        <v>8.5000000000000006E-3</v>
      </c>
      <c r="P34" s="231">
        <v>1437</v>
      </c>
      <c r="Q34" s="231">
        <v>1424.3</v>
      </c>
      <c r="R34" s="228">
        <v>12.7</v>
      </c>
      <c r="S34" s="229">
        <v>8.8999999999999999E-3</v>
      </c>
      <c r="T34" s="231">
        <v>1439</v>
      </c>
      <c r="U34" s="231">
        <v>1430.3</v>
      </c>
      <c r="V34" s="228">
        <v>8.6999999999999993</v>
      </c>
      <c r="W34" s="229">
        <v>6.1000000000000004E-3</v>
      </c>
      <c r="X34" s="228">
        <v>8.4</v>
      </c>
      <c r="Y34" s="228">
        <v>2.4</v>
      </c>
      <c r="Z34" s="228">
        <v>6</v>
      </c>
      <c r="AA34" s="229">
        <v>5.8999999999999999E-3</v>
      </c>
      <c r="AB34" s="228">
        <v>-0.6</v>
      </c>
      <c r="AC34" s="228">
        <v>2.4</v>
      </c>
      <c r="AD34" s="228">
        <v>-3</v>
      </c>
      <c r="AE34" s="229">
        <v>-4.0000000000000002E-4</v>
      </c>
      <c r="AF34" s="228">
        <v>8.4</v>
      </c>
      <c r="AG34" s="228">
        <v>10.7</v>
      </c>
      <c r="AH34" s="228">
        <v>-2.2999999999999998</v>
      </c>
      <c r="AI34" s="229">
        <v>5.8999999999999999E-3</v>
      </c>
      <c r="AJ34" s="228">
        <v>10.4</v>
      </c>
      <c r="AK34" s="228">
        <v>16.7</v>
      </c>
      <c r="AL34" s="228">
        <v>-6.3</v>
      </c>
      <c r="AM34" s="229">
        <v>7.3000000000000001E-3</v>
      </c>
      <c r="AN34" s="231">
        <v>1422.07</v>
      </c>
      <c r="AO34" s="231">
        <v>1431.71</v>
      </c>
      <c r="AP34" s="228">
        <v>0</v>
      </c>
      <c r="AQ34" s="230">
        <v>5182</v>
      </c>
      <c r="AR34" s="230">
        <v>12872</v>
      </c>
      <c r="AS34" s="230">
        <v>-7690</v>
      </c>
      <c r="AT34" s="229">
        <v>-0.59740000000000004</v>
      </c>
      <c r="AU34" s="230">
        <v>1879</v>
      </c>
      <c r="AV34" s="230">
        <v>6021</v>
      </c>
      <c r="AW34" s="230">
        <v>-4142</v>
      </c>
      <c r="AX34" s="229">
        <v>-0.68789999999999996</v>
      </c>
      <c r="AY34" s="230">
        <v>3279</v>
      </c>
      <c r="AZ34" s="230">
        <v>6799</v>
      </c>
      <c r="BA34" s="230">
        <v>-3520</v>
      </c>
      <c r="BB34" s="229">
        <v>-0.51770000000000005</v>
      </c>
      <c r="BC34" s="228">
        <v>24</v>
      </c>
      <c r="BD34" s="228">
        <v>52</v>
      </c>
      <c r="BE34" s="228">
        <v>-28</v>
      </c>
      <c r="BF34" s="229">
        <v>-0.53849999999999998</v>
      </c>
      <c r="BG34" s="230">
        <v>5409</v>
      </c>
      <c r="BH34" s="230">
        <v>6554</v>
      </c>
      <c r="BI34" s="230">
        <v>-1145</v>
      </c>
      <c r="BJ34" s="229">
        <v>-0.17469999999999999</v>
      </c>
      <c r="BK34" s="230">
        <v>3443</v>
      </c>
      <c r="BL34" s="230">
        <v>3544</v>
      </c>
      <c r="BM34" s="228">
        <v>-101</v>
      </c>
      <c r="BN34" s="229">
        <v>-2.8500000000000001E-2</v>
      </c>
      <c r="BO34" s="230">
        <v>14034</v>
      </c>
      <c r="BP34" s="230">
        <v>22970</v>
      </c>
      <c r="BQ34" s="230">
        <v>-8936</v>
      </c>
      <c r="BR34" s="229">
        <v>-0.38900000000000001</v>
      </c>
      <c r="BS34" s="230">
        <v>1569732</v>
      </c>
      <c r="BT34" s="230">
        <v>869086</v>
      </c>
      <c r="BU34" s="230">
        <v>700646</v>
      </c>
      <c r="BV34" s="229">
        <v>0.80620000000000003</v>
      </c>
      <c r="BW34" s="230">
        <v>13448000</v>
      </c>
      <c r="BX34" s="230">
        <v>14367500</v>
      </c>
      <c r="BY34" s="230">
        <v>-919500</v>
      </c>
      <c r="BZ34" s="229">
        <v>-6.4000000000000001E-2</v>
      </c>
      <c r="CA34" s="230">
        <v>863000</v>
      </c>
      <c r="CB34" s="230">
        <v>1367500</v>
      </c>
      <c r="CC34" s="230">
        <v>-504500</v>
      </c>
      <c r="CD34" s="229">
        <v>-0.36890000000000001</v>
      </c>
      <c r="CE34" s="230">
        <v>13225500</v>
      </c>
      <c r="CF34" s="230">
        <v>12778500</v>
      </c>
      <c r="CG34" s="230">
        <v>447000</v>
      </c>
      <c r="CH34" s="229">
        <v>3.5000000000000003E-2</v>
      </c>
      <c r="CI34" s="230">
        <v>222500</v>
      </c>
      <c r="CJ34" s="230">
        <v>221500</v>
      </c>
      <c r="CK34" s="230">
        <v>1000</v>
      </c>
      <c r="CL34" s="229">
        <v>4.4999999999999997E-3</v>
      </c>
      <c r="CM34" s="230">
        <v>839500</v>
      </c>
      <c r="CN34" s="230">
        <v>4599500</v>
      </c>
      <c r="CO34" s="230">
        <v>-3760000</v>
      </c>
      <c r="CP34" s="229">
        <v>-0.8175</v>
      </c>
      <c r="CQ34" s="230">
        <v>754000</v>
      </c>
      <c r="CR34" s="230">
        <v>3332000</v>
      </c>
      <c r="CS34" s="230">
        <v>-2578000</v>
      </c>
      <c r="CT34" s="229">
        <v>-0.77370000000000005</v>
      </c>
      <c r="CU34" s="230">
        <v>15041500</v>
      </c>
      <c r="CV34" s="230">
        <v>22299000</v>
      </c>
      <c r="CW34" s="230">
        <v>-7257500</v>
      </c>
      <c r="CX34" s="229">
        <v>-0.32550000000000001</v>
      </c>
      <c r="CY34" s="228">
        <v>20.46</v>
      </c>
      <c r="CZ34" s="228">
        <v>20.3</v>
      </c>
      <c r="DA34" s="228">
        <v>0.16</v>
      </c>
      <c r="DB34" s="228">
        <v>0.16</v>
      </c>
      <c r="DC34" s="228">
        <v>24.66</v>
      </c>
      <c r="DD34" s="228">
        <v>24.7</v>
      </c>
      <c r="DE34" s="228">
        <v>-4.2</v>
      </c>
      <c r="DF34" s="228">
        <v>-0.04</v>
      </c>
      <c r="DG34" s="228">
        <v>20.18</v>
      </c>
      <c r="DH34" s="228">
        <v>20.190000000000001</v>
      </c>
      <c r="DI34" s="228">
        <v>-0.01</v>
      </c>
      <c r="DJ34" s="228">
        <v>-0.01</v>
      </c>
      <c r="DK34" s="228">
        <v>20.92</v>
      </c>
      <c r="DL34" s="228">
        <v>20.46</v>
      </c>
      <c r="DM34" s="228">
        <v>0.46</v>
      </c>
      <c r="DN34" s="228">
        <v>0.46</v>
      </c>
      <c r="DO34" s="228">
        <v>0.9</v>
      </c>
      <c r="DP34" s="228">
        <v>0.72</v>
      </c>
      <c r="DQ34" s="228">
        <v>0.18</v>
      </c>
      <c r="DR34" s="229">
        <v>0.25</v>
      </c>
      <c r="DS34" s="231">
        <v>1500</v>
      </c>
      <c r="DT34" s="231">
        <v>1460</v>
      </c>
      <c r="DU34" s="228">
        <v>0.64</v>
      </c>
      <c r="DV34" s="228">
        <v>0.54</v>
      </c>
      <c r="DW34" s="228">
        <v>0.1</v>
      </c>
      <c r="DX34" s="229">
        <v>0.1852</v>
      </c>
      <c r="DY34" s="229">
        <v>0.93969999999999998</v>
      </c>
      <c r="DZ34" s="230">
        <v>13000000</v>
      </c>
      <c r="EA34" s="229">
        <v>6.3E-3</v>
      </c>
      <c r="EB34" s="229">
        <v>0.93969999999999998</v>
      </c>
      <c r="EC34" s="228">
        <v>9.64</v>
      </c>
      <c r="ED34" s="229">
        <v>6.7999999999999996E-3</v>
      </c>
      <c r="EE34" s="230">
        <v>962859</v>
      </c>
      <c r="EF34" s="230">
        <v>441807</v>
      </c>
      <c r="EG34" s="229">
        <v>1.1794</v>
      </c>
      <c r="EH34" s="229">
        <v>0.61339999999999995</v>
      </c>
      <c r="EI34" s="231">
        <v>39634.35</v>
      </c>
      <c r="EJ34" s="231">
        <v>24314.42</v>
      </c>
      <c r="EK34" s="231">
        <v>37005.25</v>
      </c>
      <c r="EL34" s="231">
        <v>12181</v>
      </c>
      <c r="EM34" s="231">
        <v>100954.02</v>
      </c>
      <c r="EN34" s="231">
        <v>165149.09</v>
      </c>
      <c r="EO34" s="231">
        <v>-64195.07</v>
      </c>
      <c r="EP34" s="229">
        <v>-0.38869999999999999</v>
      </c>
      <c r="EQ34" s="231">
        <v>12256</v>
      </c>
      <c r="ER34" s="231">
        <v>10435</v>
      </c>
      <c r="ES34" s="231">
        <v>193252</v>
      </c>
      <c r="ET34" s="231">
        <v>71801274</v>
      </c>
      <c r="EU34" s="231">
        <v>215944</v>
      </c>
      <c r="EV34" s="231">
        <v>319308</v>
      </c>
      <c r="EW34" s="231">
        <v>-103364</v>
      </c>
      <c r="EX34" s="229">
        <v>-0.32369999999999999</v>
      </c>
      <c r="EY34" s="229">
        <v>0.20949999999999999</v>
      </c>
    </row>
    <row r="35" spans="1:155" ht="17.25" thickBot="1" x14ac:dyDescent="0.3">
      <c r="A35" s="226">
        <v>46168</v>
      </c>
      <c r="B35" s="227" t="s">
        <v>161</v>
      </c>
      <c r="C35" s="227" t="s">
        <v>268</v>
      </c>
      <c r="D35" s="228">
        <v>392.65</v>
      </c>
      <c r="E35" s="228">
        <v>393.2</v>
      </c>
      <c r="F35" s="228">
        <v>-0.55000000000000004</v>
      </c>
      <c r="G35" s="229">
        <v>-1.4E-3</v>
      </c>
      <c r="H35" s="228">
        <v>389.7</v>
      </c>
      <c r="I35" s="228">
        <v>390.05</v>
      </c>
      <c r="J35" s="228">
        <v>-0.35</v>
      </c>
      <c r="K35" s="229">
        <v>-8.9999999999999998E-4</v>
      </c>
      <c r="L35" s="228">
        <v>389.9</v>
      </c>
      <c r="M35" s="228">
        <v>390.25</v>
      </c>
      <c r="N35" s="228">
        <v>-0.35</v>
      </c>
      <c r="O35" s="229">
        <v>-8.9999999999999998E-4</v>
      </c>
      <c r="P35" s="228">
        <v>392.65</v>
      </c>
      <c r="Q35" s="228">
        <v>393.2</v>
      </c>
      <c r="R35" s="228">
        <v>-0.55000000000000004</v>
      </c>
      <c r="S35" s="229">
        <v>-1.4E-3</v>
      </c>
      <c r="T35" s="228">
        <v>395.1</v>
      </c>
      <c r="U35" s="228">
        <v>395.15</v>
      </c>
      <c r="V35" s="228">
        <v>-0.05</v>
      </c>
      <c r="W35" s="229">
        <v>-1E-4</v>
      </c>
      <c r="X35" s="228">
        <v>2.95</v>
      </c>
      <c r="Y35" s="228">
        <v>0.2</v>
      </c>
      <c r="Z35" s="228">
        <v>2.75</v>
      </c>
      <c r="AA35" s="229">
        <v>7.6E-3</v>
      </c>
      <c r="AB35" s="228">
        <v>0.2</v>
      </c>
      <c r="AC35" s="228">
        <v>0.2</v>
      </c>
      <c r="AD35" s="228">
        <v>0</v>
      </c>
      <c r="AE35" s="229">
        <v>5.0000000000000001E-4</v>
      </c>
      <c r="AF35" s="228">
        <v>2.95</v>
      </c>
      <c r="AG35" s="228">
        <v>3.15</v>
      </c>
      <c r="AH35" s="228">
        <v>-0.2</v>
      </c>
      <c r="AI35" s="229">
        <v>7.6E-3</v>
      </c>
      <c r="AJ35" s="228">
        <v>5.4</v>
      </c>
      <c r="AK35" s="228">
        <v>5.0999999999999996</v>
      </c>
      <c r="AL35" s="228">
        <v>0.3</v>
      </c>
      <c r="AM35" s="229">
        <v>1.3899999999999999E-2</v>
      </c>
      <c r="AN35" s="228">
        <v>390.29</v>
      </c>
      <c r="AO35" s="228">
        <v>393.49</v>
      </c>
      <c r="AP35" s="228">
        <v>0</v>
      </c>
      <c r="AQ35" s="230">
        <v>23450</v>
      </c>
      <c r="AR35" s="230">
        <v>43373</v>
      </c>
      <c r="AS35" s="230">
        <v>-19923</v>
      </c>
      <c r="AT35" s="229">
        <v>-0.45929999999999999</v>
      </c>
      <c r="AU35" s="230">
        <v>11098</v>
      </c>
      <c r="AV35" s="230">
        <v>20644</v>
      </c>
      <c r="AW35" s="230">
        <v>-9546</v>
      </c>
      <c r="AX35" s="229">
        <v>-0.46239999999999998</v>
      </c>
      <c r="AY35" s="230">
        <v>12229</v>
      </c>
      <c r="AZ35" s="230">
        <v>22339</v>
      </c>
      <c r="BA35" s="230">
        <v>-10110</v>
      </c>
      <c r="BB35" s="229">
        <v>-0.4526</v>
      </c>
      <c r="BC35" s="228">
        <v>123</v>
      </c>
      <c r="BD35" s="228">
        <v>390</v>
      </c>
      <c r="BE35" s="228">
        <v>-267</v>
      </c>
      <c r="BF35" s="229">
        <v>-0.68459999999999999</v>
      </c>
      <c r="BG35" s="230">
        <v>19370</v>
      </c>
      <c r="BH35" s="230">
        <v>56360</v>
      </c>
      <c r="BI35" s="230">
        <v>-36990</v>
      </c>
      <c r="BJ35" s="229">
        <v>-0.65629999999999999</v>
      </c>
      <c r="BK35" s="230">
        <v>12299</v>
      </c>
      <c r="BL35" s="230">
        <v>31280</v>
      </c>
      <c r="BM35" s="230">
        <v>-18981</v>
      </c>
      <c r="BN35" s="229">
        <v>-0.60680000000000001</v>
      </c>
      <c r="BO35" s="230">
        <v>55119</v>
      </c>
      <c r="BP35" s="230">
        <v>131013</v>
      </c>
      <c r="BQ35" s="230">
        <v>-75894</v>
      </c>
      <c r="BR35" s="229">
        <v>-0.57930000000000004</v>
      </c>
      <c r="BS35" s="230">
        <v>10551778</v>
      </c>
      <c r="BT35" s="230">
        <v>10814547</v>
      </c>
      <c r="BU35" s="230">
        <v>-262769</v>
      </c>
      <c r="BV35" s="229">
        <v>-2.4299999999999999E-2</v>
      </c>
      <c r="BW35" s="230">
        <v>129490500</v>
      </c>
      <c r="BX35" s="230">
        <v>133621500</v>
      </c>
      <c r="BY35" s="230">
        <v>-4131000</v>
      </c>
      <c r="BZ35" s="229">
        <v>-3.09E-2</v>
      </c>
      <c r="CA35" s="230">
        <v>13204500</v>
      </c>
      <c r="CB35" s="230">
        <v>15648000</v>
      </c>
      <c r="CC35" s="230">
        <v>-2443500</v>
      </c>
      <c r="CD35" s="229">
        <v>-0.15620000000000001</v>
      </c>
      <c r="CE35" s="230">
        <v>120982500</v>
      </c>
      <c r="CF35" s="230">
        <v>109519500</v>
      </c>
      <c r="CG35" s="230">
        <v>11463000</v>
      </c>
      <c r="CH35" s="229">
        <v>0.1047</v>
      </c>
      <c r="CI35" s="230">
        <v>8508000</v>
      </c>
      <c r="CJ35" s="230">
        <v>8454000</v>
      </c>
      <c r="CK35" s="230">
        <v>54000</v>
      </c>
      <c r="CL35" s="229">
        <v>6.4000000000000003E-3</v>
      </c>
      <c r="CM35" s="230">
        <v>10423500</v>
      </c>
      <c r="CN35" s="230">
        <v>85668000</v>
      </c>
      <c r="CO35" s="230">
        <v>-75244500</v>
      </c>
      <c r="CP35" s="229">
        <v>-0.87829999999999997</v>
      </c>
      <c r="CQ35" s="230">
        <v>7791000</v>
      </c>
      <c r="CR35" s="230">
        <v>23011500</v>
      </c>
      <c r="CS35" s="230">
        <v>-15220500</v>
      </c>
      <c r="CT35" s="229">
        <v>-0.66139999999999999</v>
      </c>
      <c r="CU35" s="230">
        <v>147705000</v>
      </c>
      <c r="CV35" s="230">
        <v>242301000</v>
      </c>
      <c r="CW35" s="230">
        <v>-94596000</v>
      </c>
      <c r="CX35" s="229">
        <v>-0.39040000000000002</v>
      </c>
      <c r="CY35" s="228">
        <v>19.02</v>
      </c>
      <c r="CZ35" s="228">
        <v>18.5</v>
      </c>
      <c r="DA35" s="228">
        <v>0.52</v>
      </c>
      <c r="DB35" s="228">
        <v>0.52</v>
      </c>
      <c r="DC35" s="228">
        <v>26.68</v>
      </c>
      <c r="DD35" s="228">
        <v>26.74</v>
      </c>
      <c r="DE35" s="228">
        <v>-7.66</v>
      </c>
      <c r="DF35" s="228">
        <v>-0.06</v>
      </c>
      <c r="DG35" s="228">
        <v>19.05</v>
      </c>
      <c r="DH35" s="228">
        <v>18.559999999999999</v>
      </c>
      <c r="DI35" s="228">
        <v>0.49</v>
      </c>
      <c r="DJ35" s="228">
        <v>0.49</v>
      </c>
      <c r="DK35" s="228">
        <v>18.97</v>
      </c>
      <c r="DL35" s="228">
        <v>18.350000000000001</v>
      </c>
      <c r="DM35" s="228">
        <v>0.62</v>
      </c>
      <c r="DN35" s="228">
        <v>0.62</v>
      </c>
      <c r="DO35" s="228">
        <v>0.75</v>
      </c>
      <c r="DP35" s="228">
        <v>0.27</v>
      </c>
      <c r="DQ35" s="228">
        <v>0.48</v>
      </c>
      <c r="DR35" s="229">
        <v>1.7778</v>
      </c>
      <c r="DS35" s="228">
        <v>400</v>
      </c>
      <c r="DT35" s="228">
        <v>390</v>
      </c>
      <c r="DU35" s="228">
        <v>0.63</v>
      </c>
      <c r="DV35" s="228">
        <v>0.56000000000000005</v>
      </c>
      <c r="DW35" s="228">
        <v>7.0000000000000007E-2</v>
      </c>
      <c r="DX35" s="229">
        <v>0.125</v>
      </c>
      <c r="DY35" s="229">
        <v>0.90749999999999997</v>
      </c>
      <c r="DZ35" s="230">
        <v>117973500</v>
      </c>
      <c r="EA35" s="229">
        <v>7.1000000000000004E-3</v>
      </c>
      <c r="EB35" s="229">
        <v>0.90749999999999997</v>
      </c>
      <c r="EC35" s="228">
        <v>3.2</v>
      </c>
      <c r="ED35" s="229">
        <v>8.2000000000000007E-3</v>
      </c>
      <c r="EE35" s="230">
        <v>6917142</v>
      </c>
      <c r="EF35" s="230">
        <v>6122960</v>
      </c>
      <c r="EG35" s="229">
        <v>0.12970000000000001</v>
      </c>
      <c r="EH35" s="229">
        <v>0.65549999999999997</v>
      </c>
      <c r="EI35" s="231">
        <v>116061.15</v>
      </c>
      <c r="EJ35" s="231">
        <v>72739.289999999994</v>
      </c>
      <c r="EK35" s="231">
        <v>137880</v>
      </c>
      <c r="EL35" s="231">
        <v>30869</v>
      </c>
      <c r="EM35" s="231">
        <v>326680.44</v>
      </c>
      <c r="EN35" s="231">
        <v>772693.85</v>
      </c>
      <c r="EO35" s="231">
        <v>-446013.41</v>
      </c>
      <c r="EP35" s="229">
        <v>-0.57720000000000005</v>
      </c>
      <c r="EQ35" s="231">
        <v>42277</v>
      </c>
      <c r="ER35" s="231">
        <v>30475</v>
      </c>
      <c r="ES35" s="231">
        <v>508653</v>
      </c>
      <c r="ET35" s="231">
        <v>550512361</v>
      </c>
      <c r="EU35" s="231">
        <v>581405</v>
      </c>
      <c r="EV35" s="231">
        <v>962795</v>
      </c>
      <c r="EW35" s="231">
        <v>-381390</v>
      </c>
      <c r="EX35" s="229">
        <v>-0.39610000000000001</v>
      </c>
      <c r="EY35" s="229">
        <v>0.26829999999999998</v>
      </c>
    </row>
    <row r="36" spans="1:155" ht="17.25" thickBot="1" x14ac:dyDescent="0.3">
      <c r="A36" s="226">
        <v>46168</v>
      </c>
      <c r="B36" s="227" t="s">
        <v>193</v>
      </c>
      <c r="C36" s="227" t="s">
        <v>269</v>
      </c>
      <c r="D36" s="228">
        <v>289.85000000000002</v>
      </c>
      <c r="E36" s="228">
        <v>287.2</v>
      </c>
      <c r="F36" s="228">
        <v>2.65</v>
      </c>
      <c r="G36" s="229">
        <v>9.1999999999999998E-3</v>
      </c>
      <c r="H36" s="228">
        <v>287.5</v>
      </c>
      <c r="I36" s="228">
        <v>284.95</v>
      </c>
      <c r="J36" s="228">
        <v>2.5499999999999998</v>
      </c>
      <c r="K36" s="229">
        <v>8.8999999999999999E-3</v>
      </c>
      <c r="L36" s="228">
        <v>288.39999999999998</v>
      </c>
      <c r="M36" s="228">
        <v>285.25</v>
      </c>
      <c r="N36" s="228">
        <v>3.15</v>
      </c>
      <c r="O36" s="229">
        <v>1.0999999999999999E-2</v>
      </c>
      <c r="P36" s="228">
        <v>289.85000000000002</v>
      </c>
      <c r="Q36" s="228">
        <v>287.2</v>
      </c>
      <c r="R36" s="228">
        <v>2.65</v>
      </c>
      <c r="S36" s="229">
        <v>9.1999999999999998E-3</v>
      </c>
      <c r="T36" s="228">
        <v>291.7</v>
      </c>
      <c r="U36" s="228">
        <v>288.85000000000002</v>
      </c>
      <c r="V36" s="228">
        <v>2.85</v>
      </c>
      <c r="W36" s="229">
        <v>9.9000000000000008E-3</v>
      </c>
      <c r="X36" s="228">
        <v>2.35</v>
      </c>
      <c r="Y36" s="228">
        <v>0.3</v>
      </c>
      <c r="Z36" s="228">
        <v>2.0499999999999998</v>
      </c>
      <c r="AA36" s="229">
        <v>8.2000000000000007E-3</v>
      </c>
      <c r="AB36" s="228">
        <v>0.9</v>
      </c>
      <c r="AC36" s="228">
        <v>0.3</v>
      </c>
      <c r="AD36" s="228">
        <v>0.6</v>
      </c>
      <c r="AE36" s="229">
        <v>3.0999999999999999E-3</v>
      </c>
      <c r="AF36" s="228">
        <v>2.35</v>
      </c>
      <c r="AG36" s="228">
        <v>2.25</v>
      </c>
      <c r="AH36" s="228">
        <v>0.1</v>
      </c>
      <c r="AI36" s="229">
        <v>8.2000000000000007E-3</v>
      </c>
      <c r="AJ36" s="228">
        <v>4.2</v>
      </c>
      <c r="AK36" s="228">
        <v>3.9</v>
      </c>
      <c r="AL36" s="228">
        <v>0.3</v>
      </c>
      <c r="AM36" s="229">
        <v>1.46E-2</v>
      </c>
      <c r="AN36" s="228">
        <v>287.7</v>
      </c>
      <c r="AO36" s="228">
        <v>289.58999999999997</v>
      </c>
      <c r="AP36" s="228">
        <v>0</v>
      </c>
      <c r="AQ36" s="230">
        <v>11676</v>
      </c>
      <c r="AR36" s="230">
        <v>22579</v>
      </c>
      <c r="AS36" s="230">
        <v>-10903</v>
      </c>
      <c r="AT36" s="229">
        <v>-0.4829</v>
      </c>
      <c r="AU36" s="230">
        <v>4710</v>
      </c>
      <c r="AV36" s="230">
        <v>10439</v>
      </c>
      <c r="AW36" s="230">
        <v>-5729</v>
      </c>
      <c r="AX36" s="229">
        <v>-0.54879999999999995</v>
      </c>
      <c r="AY36" s="230">
        <v>6899</v>
      </c>
      <c r="AZ36" s="230">
        <v>12003</v>
      </c>
      <c r="BA36" s="230">
        <v>-5104</v>
      </c>
      <c r="BB36" s="229">
        <v>-0.42520000000000002</v>
      </c>
      <c r="BC36" s="228">
        <v>67</v>
      </c>
      <c r="BD36" s="228">
        <v>137</v>
      </c>
      <c r="BE36" s="228">
        <v>-70</v>
      </c>
      <c r="BF36" s="229">
        <v>-0.51090000000000002</v>
      </c>
      <c r="BG36" s="230">
        <v>29158</v>
      </c>
      <c r="BH36" s="230">
        <v>29664</v>
      </c>
      <c r="BI36" s="228">
        <v>-506</v>
      </c>
      <c r="BJ36" s="229">
        <v>-1.7100000000000001E-2</v>
      </c>
      <c r="BK36" s="230">
        <v>15107</v>
      </c>
      <c r="BL36" s="230">
        <v>21326</v>
      </c>
      <c r="BM36" s="230">
        <v>-6219</v>
      </c>
      <c r="BN36" s="229">
        <v>-0.29160000000000003</v>
      </c>
      <c r="BO36" s="230">
        <v>55941</v>
      </c>
      <c r="BP36" s="230">
        <v>73569</v>
      </c>
      <c r="BQ36" s="230">
        <v>-17628</v>
      </c>
      <c r="BR36" s="229">
        <v>-0.23960000000000001</v>
      </c>
      <c r="BS36" s="230">
        <v>11156866</v>
      </c>
      <c r="BT36" s="230">
        <v>13607767</v>
      </c>
      <c r="BU36" s="230">
        <v>-2450901</v>
      </c>
      <c r="BV36" s="229">
        <v>-0.18010000000000001</v>
      </c>
      <c r="BW36" s="230">
        <v>94416750</v>
      </c>
      <c r="BX36" s="230">
        <v>100350000</v>
      </c>
      <c r="BY36" s="230">
        <v>-5933250</v>
      </c>
      <c r="BZ36" s="229">
        <v>-5.91E-2</v>
      </c>
      <c r="CA36" s="230">
        <v>7708500</v>
      </c>
      <c r="CB36" s="230">
        <v>12645000</v>
      </c>
      <c r="CC36" s="230">
        <v>-4936500</v>
      </c>
      <c r="CD36" s="229">
        <v>-0.39040000000000002</v>
      </c>
      <c r="CE36" s="230">
        <v>88758000</v>
      </c>
      <c r="CF36" s="230">
        <v>82113750</v>
      </c>
      <c r="CG36" s="230">
        <v>6644250</v>
      </c>
      <c r="CH36" s="229">
        <v>8.09E-2</v>
      </c>
      <c r="CI36" s="230">
        <v>5658750</v>
      </c>
      <c r="CJ36" s="230">
        <v>5591250</v>
      </c>
      <c r="CK36" s="230">
        <v>67500</v>
      </c>
      <c r="CL36" s="229">
        <v>1.21E-2</v>
      </c>
      <c r="CM36" s="230">
        <v>21033000</v>
      </c>
      <c r="CN36" s="230">
        <v>78738750</v>
      </c>
      <c r="CO36" s="230">
        <v>-57705750</v>
      </c>
      <c r="CP36" s="229">
        <v>-0.7329</v>
      </c>
      <c r="CQ36" s="230">
        <v>13047750</v>
      </c>
      <c r="CR36" s="230">
        <v>25575750</v>
      </c>
      <c r="CS36" s="230">
        <v>-12528000</v>
      </c>
      <c r="CT36" s="229">
        <v>-0.48980000000000001</v>
      </c>
      <c r="CU36" s="230">
        <v>128497500</v>
      </c>
      <c r="CV36" s="230">
        <v>204664500</v>
      </c>
      <c r="CW36" s="230">
        <v>-76167000</v>
      </c>
      <c r="CX36" s="229">
        <v>-0.37219999999999998</v>
      </c>
      <c r="CY36" s="228">
        <v>25.8</v>
      </c>
      <c r="CZ36" s="228">
        <v>26.54</v>
      </c>
      <c r="DA36" s="228">
        <v>-0.74</v>
      </c>
      <c r="DB36" s="228">
        <v>-0.74</v>
      </c>
      <c r="DC36" s="228">
        <v>32.06</v>
      </c>
      <c r="DD36" s="228">
        <v>32.119999999999997</v>
      </c>
      <c r="DE36" s="228">
        <v>-6.26</v>
      </c>
      <c r="DF36" s="228">
        <v>-0.06</v>
      </c>
      <c r="DG36" s="228">
        <v>25.81</v>
      </c>
      <c r="DH36" s="228">
        <v>27.01</v>
      </c>
      <c r="DI36" s="228">
        <v>-1.2</v>
      </c>
      <c r="DJ36" s="228">
        <v>-1.2</v>
      </c>
      <c r="DK36" s="228">
        <v>25.78</v>
      </c>
      <c r="DL36" s="228">
        <v>25.72</v>
      </c>
      <c r="DM36" s="228">
        <v>0.06</v>
      </c>
      <c r="DN36" s="228">
        <v>0.06</v>
      </c>
      <c r="DO36" s="228">
        <v>0.62</v>
      </c>
      <c r="DP36" s="228">
        <v>0.32</v>
      </c>
      <c r="DQ36" s="228">
        <v>0.3</v>
      </c>
      <c r="DR36" s="229">
        <v>0.9375</v>
      </c>
      <c r="DS36" s="228">
        <v>305</v>
      </c>
      <c r="DT36" s="228">
        <v>280</v>
      </c>
      <c r="DU36" s="228">
        <v>0.52</v>
      </c>
      <c r="DV36" s="228">
        <v>0.72</v>
      </c>
      <c r="DW36" s="228">
        <v>-0.2</v>
      </c>
      <c r="DX36" s="229">
        <v>-0.27779999999999999</v>
      </c>
      <c r="DY36" s="229">
        <v>0.92449999999999999</v>
      </c>
      <c r="DZ36" s="230">
        <v>87705000</v>
      </c>
      <c r="EA36" s="229">
        <v>5.0000000000000001E-3</v>
      </c>
      <c r="EB36" s="229">
        <v>0.92449999999999999</v>
      </c>
      <c r="EC36" s="228">
        <v>1.89</v>
      </c>
      <c r="ED36" s="229">
        <v>6.6E-3</v>
      </c>
      <c r="EE36" s="230">
        <v>4915104</v>
      </c>
      <c r="EF36" s="230">
        <v>5685536</v>
      </c>
      <c r="EG36" s="229">
        <v>-0.13550000000000001</v>
      </c>
      <c r="EH36" s="229">
        <v>0.4405</v>
      </c>
      <c r="EI36" s="231">
        <v>198606.02</v>
      </c>
      <c r="EJ36" s="231">
        <v>97149.45</v>
      </c>
      <c r="EK36" s="231">
        <v>75880.92</v>
      </c>
      <c r="EL36" s="231">
        <v>16714</v>
      </c>
      <c r="EM36" s="231">
        <v>371636.39</v>
      </c>
      <c r="EN36" s="231">
        <v>482004.73</v>
      </c>
      <c r="EO36" s="231">
        <v>-110368.34</v>
      </c>
      <c r="EP36" s="229">
        <v>-0.22900000000000001</v>
      </c>
      <c r="EQ36" s="231">
        <v>63906</v>
      </c>
      <c r="ER36" s="231">
        <v>36696</v>
      </c>
      <c r="ES36" s="231">
        <v>273772</v>
      </c>
      <c r="ET36" s="231">
        <v>711370982</v>
      </c>
      <c r="EU36" s="231">
        <v>374374</v>
      </c>
      <c r="EV36" s="231">
        <v>600862</v>
      </c>
      <c r="EW36" s="231">
        <v>-226488</v>
      </c>
      <c r="EX36" s="229">
        <v>-0.37690000000000001</v>
      </c>
      <c r="EY36" s="229">
        <v>0.18060000000000001</v>
      </c>
    </row>
    <row r="37" spans="1:155" ht="17.25" thickBot="1" x14ac:dyDescent="0.3">
      <c r="A37" s="226">
        <v>46168</v>
      </c>
      <c r="B37" s="227" t="s">
        <v>161</v>
      </c>
      <c r="C37" s="227" t="s">
        <v>276</v>
      </c>
      <c r="D37" s="228">
        <v>294.7</v>
      </c>
      <c r="E37" s="228">
        <v>297.2</v>
      </c>
      <c r="F37" s="228">
        <v>-2.5</v>
      </c>
      <c r="G37" s="229">
        <v>-8.3999999999999995E-3</v>
      </c>
      <c r="H37" s="228">
        <v>292.55</v>
      </c>
      <c r="I37" s="228">
        <v>295.35000000000002</v>
      </c>
      <c r="J37" s="228">
        <v>-2.8</v>
      </c>
      <c r="K37" s="229">
        <v>-9.4999999999999998E-3</v>
      </c>
      <c r="L37" s="228">
        <v>292.64999999999998</v>
      </c>
      <c r="M37" s="228">
        <v>295.39999999999998</v>
      </c>
      <c r="N37" s="228">
        <v>-2.75</v>
      </c>
      <c r="O37" s="229">
        <v>-9.2999999999999992E-3</v>
      </c>
      <c r="P37" s="228">
        <v>294.7</v>
      </c>
      <c r="Q37" s="228">
        <v>297.2</v>
      </c>
      <c r="R37" s="228">
        <v>-2.5</v>
      </c>
      <c r="S37" s="229">
        <v>-8.3999999999999995E-3</v>
      </c>
      <c r="T37" s="228">
        <v>296.5</v>
      </c>
      <c r="U37" s="228">
        <v>298.95</v>
      </c>
      <c r="V37" s="228">
        <v>-2.4500000000000002</v>
      </c>
      <c r="W37" s="229">
        <v>-8.2000000000000007E-3</v>
      </c>
      <c r="X37" s="228">
        <v>2.15</v>
      </c>
      <c r="Y37" s="228">
        <v>0.05</v>
      </c>
      <c r="Z37" s="228">
        <v>2.1</v>
      </c>
      <c r="AA37" s="229">
        <v>7.3000000000000001E-3</v>
      </c>
      <c r="AB37" s="228">
        <v>0.1</v>
      </c>
      <c r="AC37" s="228">
        <v>0.05</v>
      </c>
      <c r="AD37" s="228">
        <v>0.05</v>
      </c>
      <c r="AE37" s="229">
        <v>2.9999999999999997E-4</v>
      </c>
      <c r="AF37" s="228">
        <v>2.15</v>
      </c>
      <c r="AG37" s="228">
        <v>1.85</v>
      </c>
      <c r="AH37" s="228">
        <v>0.3</v>
      </c>
      <c r="AI37" s="229">
        <v>7.3000000000000001E-3</v>
      </c>
      <c r="AJ37" s="228">
        <v>3.95</v>
      </c>
      <c r="AK37" s="228">
        <v>3.6</v>
      </c>
      <c r="AL37" s="228">
        <v>0.35</v>
      </c>
      <c r="AM37" s="229">
        <v>1.35E-2</v>
      </c>
      <c r="AN37" s="228">
        <v>294.04000000000002</v>
      </c>
      <c r="AO37" s="228">
        <v>295.88</v>
      </c>
      <c r="AP37" s="228">
        <v>0</v>
      </c>
      <c r="AQ37" s="230">
        <v>9700</v>
      </c>
      <c r="AR37" s="230">
        <v>13744</v>
      </c>
      <c r="AS37" s="230">
        <v>-4044</v>
      </c>
      <c r="AT37" s="229">
        <v>-0.29420000000000002</v>
      </c>
      <c r="AU37" s="230">
        <v>3261</v>
      </c>
      <c r="AV37" s="230">
        <v>6321</v>
      </c>
      <c r="AW37" s="230">
        <v>-3060</v>
      </c>
      <c r="AX37" s="229">
        <v>-0.48409999999999997</v>
      </c>
      <c r="AY37" s="230">
        <v>6263</v>
      </c>
      <c r="AZ37" s="230">
        <v>7341</v>
      </c>
      <c r="BA37" s="230">
        <v>-1078</v>
      </c>
      <c r="BB37" s="229">
        <v>-0.14680000000000001</v>
      </c>
      <c r="BC37" s="228">
        <v>176</v>
      </c>
      <c r="BD37" s="228">
        <v>82</v>
      </c>
      <c r="BE37" s="228">
        <v>94</v>
      </c>
      <c r="BF37" s="229">
        <v>1.1463000000000001</v>
      </c>
      <c r="BG37" s="230">
        <v>8022</v>
      </c>
      <c r="BH37" s="230">
        <v>11702</v>
      </c>
      <c r="BI37" s="230">
        <v>-3680</v>
      </c>
      <c r="BJ37" s="229">
        <v>-0.3145</v>
      </c>
      <c r="BK37" s="230">
        <v>5027</v>
      </c>
      <c r="BL37" s="230">
        <v>7900</v>
      </c>
      <c r="BM37" s="230">
        <v>-2873</v>
      </c>
      <c r="BN37" s="229">
        <v>-0.36370000000000002</v>
      </c>
      <c r="BO37" s="230">
        <v>22749</v>
      </c>
      <c r="BP37" s="230">
        <v>33346</v>
      </c>
      <c r="BQ37" s="230">
        <v>-10597</v>
      </c>
      <c r="BR37" s="229">
        <v>-0.31780000000000003</v>
      </c>
      <c r="BS37" s="230">
        <v>5722272</v>
      </c>
      <c r="BT37" s="230">
        <v>6155944</v>
      </c>
      <c r="BU37" s="230">
        <v>-433672</v>
      </c>
      <c r="BV37" s="229">
        <v>-7.0400000000000004E-2</v>
      </c>
      <c r="BW37" s="230">
        <v>85843900</v>
      </c>
      <c r="BX37" s="230">
        <v>86640000</v>
      </c>
      <c r="BY37" s="230">
        <v>-796100</v>
      </c>
      <c r="BZ37" s="229">
        <v>-9.1999999999999998E-3</v>
      </c>
      <c r="CA37" s="230">
        <v>2819600</v>
      </c>
      <c r="CB37" s="230">
        <v>6038200</v>
      </c>
      <c r="CC37" s="230">
        <v>-3218600</v>
      </c>
      <c r="CD37" s="229">
        <v>-0.53300000000000003</v>
      </c>
      <c r="CE37" s="230">
        <v>75490800</v>
      </c>
      <c r="CF37" s="230">
        <v>70503300</v>
      </c>
      <c r="CG37" s="230">
        <v>4987500</v>
      </c>
      <c r="CH37" s="229">
        <v>7.0699999999999999E-2</v>
      </c>
      <c r="CI37" s="230">
        <v>10353100</v>
      </c>
      <c r="CJ37" s="230">
        <v>10098500</v>
      </c>
      <c r="CK37" s="230">
        <v>254600</v>
      </c>
      <c r="CL37" s="229">
        <v>2.52E-2</v>
      </c>
      <c r="CM37" s="230">
        <v>8766600</v>
      </c>
      <c r="CN37" s="230">
        <v>36181700</v>
      </c>
      <c r="CO37" s="230">
        <v>-27415100</v>
      </c>
      <c r="CP37" s="229">
        <v>-0.75770000000000004</v>
      </c>
      <c r="CQ37" s="230">
        <v>10149800</v>
      </c>
      <c r="CR37" s="230">
        <v>18088000</v>
      </c>
      <c r="CS37" s="230">
        <v>-7938200</v>
      </c>
      <c r="CT37" s="229">
        <v>-0.43890000000000001</v>
      </c>
      <c r="CU37" s="230">
        <v>104760300</v>
      </c>
      <c r="CV37" s="230">
        <v>140909700</v>
      </c>
      <c r="CW37" s="230">
        <v>-36149400</v>
      </c>
      <c r="CX37" s="229">
        <v>-0.25650000000000001</v>
      </c>
      <c r="CY37" s="228">
        <v>20.61</v>
      </c>
      <c r="CZ37" s="228">
        <v>20.7</v>
      </c>
      <c r="DA37" s="228">
        <v>-0.09</v>
      </c>
      <c r="DB37" s="228">
        <v>-0.09</v>
      </c>
      <c r="DC37" s="228">
        <v>28.08</v>
      </c>
      <c r="DD37" s="228">
        <v>28.12</v>
      </c>
      <c r="DE37" s="228">
        <v>-7.47</v>
      </c>
      <c r="DF37" s="228">
        <v>-0.04</v>
      </c>
      <c r="DG37" s="228">
        <v>20.91</v>
      </c>
      <c r="DH37" s="228">
        <v>20.92</v>
      </c>
      <c r="DI37" s="228">
        <v>-0.01</v>
      </c>
      <c r="DJ37" s="228">
        <v>-0.01</v>
      </c>
      <c r="DK37" s="228">
        <v>20.2</v>
      </c>
      <c r="DL37" s="228">
        <v>20.51</v>
      </c>
      <c r="DM37" s="228">
        <v>-0.31</v>
      </c>
      <c r="DN37" s="228">
        <v>-0.31</v>
      </c>
      <c r="DO37" s="228">
        <v>1.1599999999999999</v>
      </c>
      <c r="DP37" s="228">
        <v>0.5</v>
      </c>
      <c r="DQ37" s="228">
        <v>0.66</v>
      </c>
      <c r="DR37" s="229">
        <v>1.32</v>
      </c>
      <c r="DS37" s="228">
        <v>320</v>
      </c>
      <c r="DT37" s="228">
        <v>300</v>
      </c>
      <c r="DU37" s="228">
        <v>0.63</v>
      </c>
      <c r="DV37" s="228">
        <v>0.68</v>
      </c>
      <c r="DW37" s="228">
        <v>-0.05</v>
      </c>
      <c r="DX37" s="229">
        <v>-7.3499999999999996E-2</v>
      </c>
      <c r="DY37" s="229">
        <v>0.96819999999999995</v>
      </c>
      <c r="DZ37" s="230">
        <v>80601800</v>
      </c>
      <c r="EA37" s="229">
        <v>7.0000000000000001E-3</v>
      </c>
      <c r="EB37" s="229">
        <v>0.96819999999999995</v>
      </c>
      <c r="EC37" s="228">
        <v>1.84</v>
      </c>
      <c r="ED37" s="229">
        <v>6.3E-3</v>
      </c>
      <c r="EE37" s="230">
        <v>3381030</v>
      </c>
      <c r="EF37" s="230">
        <v>4174210</v>
      </c>
      <c r="EG37" s="229">
        <v>-0.19</v>
      </c>
      <c r="EH37" s="229">
        <v>0.59089999999999998</v>
      </c>
      <c r="EI37" s="231">
        <v>46340.94</v>
      </c>
      <c r="EJ37" s="231">
        <v>28682.63</v>
      </c>
      <c r="EK37" s="231">
        <v>54424</v>
      </c>
      <c r="EL37" s="231">
        <v>16003</v>
      </c>
      <c r="EM37" s="231">
        <v>129447.57</v>
      </c>
      <c r="EN37" s="231">
        <v>189475.07</v>
      </c>
      <c r="EO37" s="231">
        <v>-60027.5</v>
      </c>
      <c r="EP37" s="229">
        <v>-0.31680000000000003</v>
      </c>
      <c r="EQ37" s="231">
        <v>27060</v>
      </c>
      <c r="ER37" s="231">
        <v>29694</v>
      </c>
      <c r="ES37" s="231">
        <v>253168</v>
      </c>
      <c r="ET37" s="231">
        <v>660840864</v>
      </c>
      <c r="EU37" s="231">
        <v>309923</v>
      </c>
      <c r="EV37" s="231">
        <v>426422</v>
      </c>
      <c r="EW37" s="231">
        <v>-116499</v>
      </c>
      <c r="EX37" s="229">
        <v>-0.2732</v>
      </c>
      <c r="EY37" s="229">
        <v>0.1585</v>
      </c>
    </row>
    <row r="38" spans="1:155" ht="17.25" thickBot="1" x14ac:dyDescent="0.3">
      <c r="A38" s="226">
        <v>46168</v>
      </c>
      <c r="B38" s="227" t="s">
        <v>193</v>
      </c>
      <c r="C38" s="227" t="s">
        <v>281</v>
      </c>
      <c r="D38" s="231">
        <v>1363.9</v>
      </c>
      <c r="E38" s="231">
        <v>1374.7</v>
      </c>
      <c r="F38" s="228">
        <v>-10.8</v>
      </c>
      <c r="G38" s="229">
        <v>-7.9000000000000008E-3</v>
      </c>
      <c r="H38" s="231">
        <v>1356.3</v>
      </c>
      <c r="I38" s="231">
        <v>1367</v>
      </c>
      <c r="J38" s="228">
        <v>-10.7</v>
      </c>
      <c r="K38" s="229">
        <v>-7.7999999999999996E-3</v>
      </c>
      <c r="L38" s="231">
        <v>1354.5</v>
      </c>
      <c r="M38" s="231">
        <v>1366.6</v>
      </c>
      <c r="N38" s="228">
        <v>-12.1</v>
      </c>
      <c r="O38" s="229">
        <v>-8.8999999999999999E-3</v>
      </c>
      <c r="P38" s="231">
        <v>1363.9</v>
      </c>
      <c r="Q38" s="231">
        <v>1374.7</v>
      </c>
      <c r="R38" s="228">
        <v>-10.8</v>
      </c>
      <c r="S38" s="229">
        <v>-7.9000000000000008E-3</v>
      </c>
      <c r="T38" s="231">
        <v>1370.8</v>
      </c>
      <c r="U38" s="231">
        <v>1382.6</v>
      </c>
      <c r="V38" s="228">
        <v>-11.8</v>
      </c>
      <c r="W38" s="229">
        <v>-8.5000000000000006E-3</v>
      </c>
      <c r="X38" s="228">
        <v>7.6</v>
      </c>
      <c r="Y38" s="228">
        <v>-0.4</v>
      </c>
      <c r="Z38" s="228">
        <v>8</v>
      </c>
      <c r="AA38" s="229">
        <v>5.5999999999999999E-3</v>
      </c>
      <c r="AB38" s="228">
        <v>-1.8</v>
      </c>
      <c r="AC38" s="228">
        <v>-0.4</v>
      </c>
      <c r="AD38" s="228">
        <v>-1.4</v>
      </c>
      <c r="AE38" s="229">
        <v>-1.2999999999999999E-3</v>
      </c>
      <c r="AF38" s="228">
        <v>7.6</v>
      </c>
      <c r="AG38" s="228">
        <v>7.7</v>
      </c>
      <c r="AH38" s="228">
        <v>-0.1</v>
      </c>
      <c r="AI38" s="229">
        <v>5.5999999999999999E-3</v>
      </c>
      <c r="AJ38" s="228">
        <v>14.5</v>
      </c>
      <c r="AK38" s="228">
        <v>15.6</v>
      </c>
      <c r="AL38" s="228">
        <v>-1.1000000000000001</v>
      </c>
      <c r="AM38" s="229">
        <v>1.0699999999999999E-2</v>
      </c>
      <c r="AN38" s="231">
        <v>1360.63</v>
      </c>
      <c r="AO38" s="231">
        <v>1369.68</v>
      </c>
      <c r="AP38" s="228">
        <v>0</v>
      </c>
      <c r="AQ38" s="230">
        <v>56192</v>
      </c>
      <c r="AR38" s="230">
        <v>94043</v>
      </c>
      <c r="AS38" s="230">
        <v>-37851</v>
      </c>
      <c r="AT38" s="229">
        <v>-0.40250000000000002</v>
      </c>
      <c r="AU38" s="230">
        <v>24671</v>
      </c>
      <c r="AV38" s="230">
        <v>45653</v>
      </c>
      <c r="AW38" s="230">
        <v>-20982</v>
      </c>
      <c r="AX38" s="229">
        <v>-0.45960000000000001</v>
      </c>
      <c r="AY38" s="230">
        <v>29865</v>
      </c>
      <c r="AZ38" s="230">
        <v>47189</v>
      </c>
      <c r="BA38" s="230">
        <v>-17324</v>
      </c>
      <c r="BB38" s="229">
        <v>-0.36709999999999998</v>
      </c>
      <c r="BC38" s="230">
        <v>1656</v>
      </c>
      <c r="BD38" s="230">
        <v>1201</v>
      </c>
      <c r="BE38" s="228">
        <v>455</v>
      </c>
      <c r="BF38" s="229">
        <v>0.37890000000000001</v>
      </c>
      <c r="BG38" s="230">
        <v>121935</v>
      </c>
      <c r="BH38" s="230">
        <v>177618</v>
      </c>
      <c r="BI38" s="230">
        <v>-55683</v>
      </c>
      <c r="BJ38" s="229">
        <v>-0.3135</v>
      </c>
      <c r="BK38" s="230">
        <v>66489</v>
      </c>
      <c r="BL38" s="230">
        <v>109584</v>
      </c>
      <c r="BM38" s="230">
        <v>-43095</v>
      </c>
      <c r="BN38" s="229">
        <v>-0.39329999999999998</v>
      </c>
      <c r="BO38" s="230">
        <v>244616</v>
      </c>
      <c r="BP38" s="230">
        <v>381245</v>
      </c>
      <c r="BQ38" s="230">
        <v>-136629</v>
      </c>
      <c r="BR38" s="229">
        <v>-0.3584</v>
      </c>
      <c r="BS38" s="230">
        <v>15073940</v>
      </c>
      <c r="BT38" s="230">
        <v>7375982</v>
      </c>
      <c r="BU38" s="230">
        <v>7697958</v>
      </c>
      <c r="BV38" s="229">
        <v>1.0437000000000001</v>
      </c>
      <c r="BW38" s="230">
        <v>114260000</v>
      </c>
      <c r="BX38" s="230">
        <v>119427000</v>
      </c>
      <c r="BY38" s="230">
        <v>-5167000</v>
      </c>
      <c r="BZ38" s="229">
        <v>-4.3299999999999998E-2</v>
      </c>
      <c r="CA38" s="230">
        <v>6360500</v>
      </c>
      <c r="CB38" s="230">
        <v>14591000</v>
      </c>
      <c r="CC38" s="230">
        <v>-8230500</v>
      </c>
      <c r="CD38" s="229">
        <v>-0.56410000000000005</v>
      </c>
      <c r="CE38" s="230">
        <v>106842500</v>
      </c>
      <c r="CF38" s="230">
        <v>98016000</v>
      </c>
      <c r="CG38" s="230">
        <v>8826500</v>
      </c>
      <c r="CH38" s="229">
        <v>9.01E-2</v>
      </c>
      <c r="CI38" s="230">
        <v>7417500</v>
      </c>
      <c r="CJ38" s="230">
        <v>6820000</v>
      </c>
      <c r="CK38" s="230">
        <v>597500</v>
      </c>
      <c r="CL38" s="229">
        <v>8.7599999999999997E-2</v>
      </c>
      <c r="CM38" s="230">
        <v>30180000</v>
      </c>
      <c r="CN38" s="230">
        <v>70260000</v>
      </c>
      <c r="CO38" s="230">
        <v>-40080000</v>
      </c>
      <c r="CP38" s="229">
        <v>-0.57050000000000001</v>
      </c>
      <c r="CQ38" s="230">
        <v>26071500</v>
      </c>
      <c r="CR38" s="230">
        <v>42127500</v>
      </c>
      <c r="CS38" s="230">
        <v>-16056000</v>
      </c>
      <c r="CT38" s="229">
        <v>-0.38109999999999999</v>
      </c>
      <c r="CU38" s="230">
        <v>170511500</v>
      </c>
      <c r="CV38" s="230">
        <v>231814500</v>
      </c>
      <c r="CW38" s="230">
        <v>-61303000</v>
      </c>
      <c r="CX38" s="229">
        <v>-0.26440000000000002</v>
      </c>
      <c r="CY38" s="228">
        <v>21.45</v>
      </c>
      <c r="CZ38" s="228">
        <v>22.85</v>
      </c>
      <c r="DA38" s="228">
        <v>-1.4</v>
      </c>
      <c r="DB38" s="228">
        <v>-1.4</v>
      </c>
      <c r="DC38" s="228">
        <v>26.75</v>
      </c>
      <c r="DD38" s="228">
        <v>26.79</v>
      </c>
      <c r="DE38" s="228">
        <v>-5.3</v>
      </c>
      <c r="DF38" s="228">
        <v>-0.04</v>
      </c>
      <c r="DG38" s="228">
        <v>21.37</v>
      </c>
      <c r="DH38" s="228">
        <v>22.71</v>
      </c>
      <c r="DI38" s="228">
        <v>-1.34</v>
      </c>
      <c r="DJ38" s="228">
        <v>-1.34</v>
      </c>
      <c r="DK38" s="228">
        <v>21.58</v>
      </c>
      <c r="DL38" s="228">
        <v>23.07</v>
      </c>
      <c r="DM38" s="228">
        <v>-1.49</v>
      </c>
      <c r="DN38" s="228">
        <v>-1.49</v>
      </c>
      <c r="DO38" s="228">
        <v>0.86</v>
      </c>
      <c r="DP38" s="228">
        <v>0.6</v>
      </c>
      <c r="DQ38" s="228">
        <v>0.26</v>
      </c>
      <c r="DR38" s="229">
        <v>0.43330000000000002</v>
      </c>
      <c r="DS38" s="231">
        <v>1500</v>
      </c>
      <c r="DT38" s="231">
        <v>1360</v>
      </c>
      <c r="DU38" s="228">
        <v>0.55000000000000004</v>
      </c>
      <c r="DV38" s="228">
        <v>0.62</v>
      </c>
      <c r="DW38" s="228">
        <v>-7.0000000000000007E-2</v>
      </c>
      <c r="DX38" s="229">
        <v>-0.1129</v>
      </c>
      <c r="DY38" s="229">
        <v>0.94730000000000003</v>
      </c>
      <c r="DZ38" s="230">
        <v>104836000</v>
      </c>
      <c r="EA38" s="229">
        <v>6.8999999999999999E-3</v>
      </c>
      <c r="EB38" s="229">
        <v>0.94730000000000003</v>
      </c>
      <c r="EC38" s="228">
        <v>9.0500000000000007</v>
      </c>
      <c r="ED38" s="229">
        <v>6.7000000000000002E-3</v>
      </c>
      <c r="EE38" s="230">
        <v>6109350</v>
      </c>
      <c r="EF38" s="230">
        <v>4339932</v>
      </c>
      <c r="EG38" s="229">
        <v>0.40770000000000001</v>
      </c>
      <c r="EH38" s="229">
        <v>0.40529999999999999</v>
      </c>
      <c r="EI38" s="231">
        <v>865505.16</v>
      </c>
      <c r="EJ38" s="231">
        <v>458826.18</v>
      </c>
      <c r="EK38" s="231">
        <v>383764.3</v>
      </c>
      <c r="EL38" s="231">
        <v>75244</v>
      </c>
      <c r="EM38" s="231">
        <v>1708095.64</v>
      </c>
      <c r="EN38" s="231">
        <v>2648510.9300000002</v>
      </c>
      <c r="EO38" s="231">
        <v>-940415.29</v>
      </c>
      <c r="EP38" s="229">
        <v>-0.35510000000000003</v>
      </c>
      <c r="EQ38" s="231">
        <v>426312</v>
      </c>
      <c r="ER38" s="231">
        <v>357186</v>
      </c>
      <c r="ES38" s="231">
        <v>1558904</v>
      </c>
      <c r="ET38" s="231">
        <v>664381721</v>
      </c>
      <c r="EU38" s="231">
        <v>2342402</v>
      </c>
      <c r="EV38" s="231">
        <v>3226083</v>
      </c>
      <c r="EW38" s="231">
        <v>-883681</v>
      </c>
      <c r="EX38" s="229">
        <v>-0.27389999999999998</v>
      </c>
      <c r="EY38" s="229">
        <v>0.25659999999999999</v>
      </c>
    </row>
    <row r="39" spans="1:155" ht="17.25" thickBot="1" x14ac:dyDescent="0.3">
      <c r="A39" s="226">
        <v>46168</v>
      </c>
      <c r="B39" s="227" t="s">
        <v>175</v>
      </c>
      <c r="C39" s="227" t="s">
        <v>462</v>
      </c>
      <c r="D39" s="231">
        <v>1892</v>
      </c>
      <c r="E39" s="231">
        <v>1909.6</v>
      </c>
      <c r="F39" s="228">
        <v>-17.600000000000001</v>
      </c>
      <c r="G39" s="229">
        <v>-9.1999999999999998E-3</v>
      </c>
      <c r="H39" s="231">
        <v>1883.2</v>
      </c>
      <c r="I39" s="231">
        <v>1901.9</v>
      </c>
      <c r="J39" s="228">
        <v>-18.7</v>
      </c>
      <c r="K39" s="229">
        <v>-9.7999999999999997E-3</v>
      </c>
      <c r="L39" s="231">
        <v>1876.3</v>
      </c>
      <c r="M39" s="231">
        <v>1894.3</v>
      </c>
      <c r="N39" s="228">
        <v>-18</v>
      </c>
      <c r="O39" s="229">
        <v>-9.4999999999999998E-3</v>
      </c>
      <c r="P39" s="231">
        <v>1892</v>
      </c>
      <c r="Q39" s="231">
        <v>1909.6</v>
      </c>
      <c r="R39" s="228">
        <v>-17.600000000000001</v>
      </c>
      <c r="S39" s="229">
        <v>-9.1999999999999998E-3</v>
      </c>
      <c r="T39" s="231">
        <v>1905.3</v>
      </c>
      <c r="U39" s="231">
        <v>1921.1</v>
      </c>
      <c r="V39" s="228">
        <v>-15.8</v>
      </c>
      <c r="W39" s="229">
        <v>-8.2000000000000007E-3</v>
      </c>
      <c r="X39" s="228">
        <v>8.8000000000000007</v>
      </c>
      <c r="Y39" s="228">
        <v>-7.6</v>
      </c>
      <c r="Z39" s="228">
        <v>16.399999999999999</v>
      </c>
      <c r="AA39" s="229">
        <v>4.7000000000000002E-3</v>
      </c>
      <c r="AB39" s="228">
        <v>-6.9</v>
      </c>
      <c r="AC39" s="228">
        <v>-7.6</v>
      </c>
      <c r="AD39" s="228">
        <v>0.7</v>
      </c>
      <c r="AE39" s="229">
        <v>-3.7000000000000002E-3</v>
      </c>
      <c r="AF39" s="228">
        <v>8.8000000000000007</v>
      </c>
      <c r="AG39" s="228">
        <v>7.7</v>
      </c>
      <c r="AH39" s="228">
        <v>1.1000000000000001</v>
      </c>
      <c r="AI39" s="229">
        <v>4.7000000000000002E-3</v>
      </c>
      <c r="AJ39" s="228">
        <v>22.1</v>
      </c>
      <c r="AK39" s="228">
        <v>19.2</v>
      </c>
      <c r="AL39" s="228">
        <v>2.9</v>
      </c>
      <c r="AM39" s="229">
        <v>1.17E-2</v>
      </c>
      <c r="AN39" s="231">
        <v>1882.34</v>
      </c>
      <c r="AO39" s="231">
        <v>1898.36</v>
      </c>
      <c r="AP39" s="228">
        <v>0</v>
      </c>
      <c r="AQ39" s="230">
        <v>9009</v>
      </c>
      <c r="AR39" s="230">
        <v>11011</v>
      </c>
      <c r="AS39" s="230">
        <v>-2002</v>
      </c>
      <c r="AT39" s="229">
        <v>-0.18179999999999999</v>
      </c>
      <c r="AU39" s="230">
        <v>4841</v>
      </c>
      <c r="AV39" s="230">
        <v>5605</v>
      </c>
      <c r="AW39" s="228">
        <v>-764</v>
      </c>
      <c r="AX39" s="229">
        <v>-0.1363</v>
      </c>
      <c r="AY39" s="230">
        <v>4145</v>
      </c>
      <c r="AZ39" s="230">
        <v>5372</v>
      </c>
      <c r="BA39" s="230">
        <v>-1227</v>
      </c>
      <c r="BB39" s="229">
        <v>-0.22839999999999999</v>
      </c>
      <c r="BC39" s="228">
        <v>23</v>
      </c>
      <c r="BD39" s="228">
        <v>34</v>
      </c>
      <c r="BE39" s="228">
        <v>-11</v>
      </c>
      <c r="BF39" s="229">
        <v>-0.32350000000000001</v>
      </c>
      <c r="BG39" s="230">
        <v>7533</v>
      </c>
      <c r="BH39" s="230">
        <v>11164</v>
      </c>
      <c r="BI39" s="230">
        <v>-3631</v>
      </c>
      <c r="BJ39" s="229">
        <v>-0.32519999999999999</v>
      </c>
      <c r="BK39" s="230">
        <v>3636</v>
      </c>
      <c r="BL39" s="230">
        <v>5306</v>
      </c>
      <c r="BM39" s="230">
        <v>-1670</v>
      </c>
      <c r="BN39" s="229">
        <v>-0.31469999999999998</v>
      </c>
      <c r="BO39" s="230">
        <v>20178</v>
      </c>
      <c r="BP39" s="230">
        <v>27481</v>
      </c>
      <c r="BQ39" s="230">
        <v>-7303</v>
      </c>
      <c r="BR39" s="229">
        <v>-0.26569999999999999</v>
      </c>
      <c r="BS39" s="230">
        <v>838924</v>
      </c>
      <c r="BT39" s="230">
        <v>464867</v>
      </c>
      <c r="BU39" s="230">
        <v>374057</v>
      </c>
      <c r="BV39" s="229">
        <v>0.80469999999999997</v>
      </c>
      <c r="BW39" s="230">
        <v>8166750</v>
      </c>
      <c r="BX39" s="230">
        <v>8986875</v>
      </c>
      <c r="BY39" s="230">
        <v>-820125</v>
      </c>
      <c r="BZ39" s="229">
        <v>-9.1300000000000006E-2</v>
      </c>
      <c r="CA39" s="230">
        <v>1690500</v>
      </c>
      <c r="CB39" s="230">
        <v>1585125</v>
      </c>
      <c r="CC39" s="230">
        <v>105375</v>
      </c>
      <c r="CD39" s="229">
        <v>6.6500000000000004E-2</v>
      </c>
      <c r="CE39" s="230">
        <v>7941750</v>
      </c>
      <c r="CF39" s="230">
        <v>7181625</v>
      </c>
      <c r="CG39" s="230">
        <v>760125</v>
      </c>
      <c r="CH39" s="229">
        <v>0.10580000000000001</v>
      </c>
      <c r="CI39" s="230">
        <v>225000</v>
      </c>
      <c r="CJ39" s="230">
        <v>220125</v>
      </c>
      <c r="CK39" s="230">
        <v>4875</v>
      </c>
      <c r="CL39" s="229">
        <v>2.2100000000000002E-2</v>
      </c>
      <c r="CM39" s="230">
        <v>615000</v>
      </c>
      <c r="CN39" s="230">
        <v>4126875</v>
      </c>
      <c r="CO39" s="230">
        <v>-3511875</v>
      </c>
      <c r="CP39" s="229">
        <v>-0.85099999999999998</v>
      </c>
      <c r="CQ39" s="230">
        <v>435000</v>
      </c>
      <c r="CR39" s="230">
        <v>2279250</v>
      </c>
      <c r="CS39" s="230">
        <v>-1844250</v>
      </c>
      <c r="CT39" s="229">
        <v>-0.80910000000000004</v>
      </c>
      <c r="CU39" s="230">
        <v>9216750</v>
      </c>
      <c r="CV39" s="230">
        <v>15393000</v>
      </c>
      <c r="CW39" s="230">
        <v>-6176250</v>
      </c>
      <c r="CX39" s="229">
        <v>-0.4012</v>
      </c>
      <c r="CY39" s="228">
        <v>21.16</v>
      </c>
      <c r="CZ39" s="228">
        <v>21.39</v>
      </c>
      <c r="DA39" s="228">
        <v>-0.23</v>
      </c>
      <c r="DB39" s="228">
        <v>-0.23</v>
      </c>
      <c r="DC39" s="228">
        <v>26.4</v>
      </c>
      <c r="DD39" s="228">
        <v>26.43</v>
      </c>
      <c r="DE39" s="228">
        <v>-5.24</v>
      </c>
      <c r="DF39" s="228">
        <v>-0.03</v>
      </c>
      <c r="DG39" s="228">
        <v>21.02</v>
      </c>
      <c r="DH39" s="228">
        <v>21.22</v>
      </c>
      <c r="DI39" s="228">
        <v>-0.2</v>
      </c>
      <c r="DJ39" s="228">
        <v>-0.2</v>
      </c>
      <c r="DK39" s="228">
        <v>21.67</v>
      </c>
      <c r="DL39" s="228">
        <v>22.26</v>
      </c>
      <c r="DM39" s="228">
        <v>-0.59</v>
      </c>
      <c r="DN39" s="228">
        <v>-0.59</v>
      </c>
      <c r="DO39" s="228">
        <v>0.71</v>
      </c>
      <c r="DP39" s="228">
        <v>0.55000000000000004</v>
      </c>
      <c r="DQ39" s="228">
        <v>0.16</v>
      </c>
      <c r="DR39" s="229">
        <v>0.29089999999999999</v>
      </c>
      <c r="DS39" s="231">
        <v>1860</v>
      </c>
      <c r="DT39" s="231">
        <v>1860</v>
      </c>
      <c r="DU39" s="228">
        <v>0.48</v>
      </c>
      <c r="DV39" s="228">
        <v>0.48</v>
      </c>
      <c r="DW39" s="228">
        <v>0</v>
      </c>
      <c r="DX39" s="229">
        <v>0</v>
      </c>
      <c r="DY39" s="229">
        <v>0.82850000000000001</v>
      </c>
      <c r="DZ39" s="230">
        <v>7401750</v>
      </c>
      <c r="EA39" s="229">
        <v>8.3999999999999995E-3</v>
      </c>
      <c r="EB39" s="229">
        <v>0.82850000000000001</v>
      </c>
      <c r="EC39" s="228">
        <v>16.02</v>
      </c>
      <c r="ED39" s="229">
        <v>8.5000000000000006E-3</v>
      </c>
      <c r="EE39" s="230">
        <v>516218</v>
      </c>
      <c r="EF39" s="230">
        <v>269949</v>
      </c>
      <c r="EG39" s="229">
        <v>0.9123</v>
      </c>
      <c r="EH39" s="229">
        <v>0.61529999999999996</v>
      </c>
      <c r="EI39" s="231">
        <v>54803.1</v>
      </c>
      <c r="EJ39" s="231">
        <v>25553.31</v>
      </c>
      <c r="EK39" s="231">
        <v>63843.63</v>
      </c>
      <c r="EL39" s="231">
        <v>9459</v>
      </c>
      <c r="EM39" s="231">
        <v>144200.04</v>
      </c>
      <c r="EN39" s="231">
        <v>196464.9</v>
      </c>
      <c r="EO39" s="231">
        <v>-52264.86</v>
      </c>
      <c r="EP39" s="229">
        <v>-0.26600000000000001</v>
      </c>
      <c r="EQ39" s="231">
        <v>11996</v>
      </c>
      <c r="ER39" s="231">
        <v>8116</v>
      </c>
      <c r="ES39" s="231">
        <v>154545</v>
      </c>
      <c r="ET39" s="231">
        <v>45527821</v>
      </c>
      <c r="EU39" s="231">
        <v>174657</v>
      </c>
      <c r="EV39" s="231">
        <v>291814</v>
      </c>
      <c r="EW39" s="231">
        <v>-117157</v>
      </c>
      <c r="EX39" s="229">
        <v>-0.40150000000000002</v>
      </c>
      <c r="EY39" s="229">
        <v>0.2024</v>
      </c>
    </row>
    <row r="40" spans="1:155" ht="17.25" thickBot="1" x14ac:dyDescent="0.3">
      <c r="A40" s="226">
        <v>46168</v>
      </c>
      <c r="B40" s="227" t="s">
        <v>172</v>
      </c>
      <c r="C40" s="227" t="s">
        <v>283</v>
      </c>
      <c r="D40" s="228">
        <v>974.2</v>
      </c>
      <c r="E40" s="228">
        <v>976.7</v>
      </c>
      <c r="F40" s="228">
        <v>-2.5</v>
      </c>
      <c r="G40" s="229">
        <v>-2.5999999999999999E-3</v>
      </c>
      <c r="H40" s="228">
        <v>968.5</v>
      </c>
      <c r="I40" s="228">
        <v>969.6</v>
      </c>
      <c r="J40" s="228">
        <v>-1.1000000000000001</v>
      </c>
      <c r="K40" s="229">
        <v>-1.1000000000000001E-3</v>
      </c>
      <c r="L40" s="228">
        <v>967.7</v>
      </c>
      <c r="M40" s="228">
        <v>970.9</v>
      </c>
      <c r="N40" s="228">
        <v>-3.2</v>
      </c>
      <c r="O40" s="229">
        <v>-3.3E-3</v>
      </c>
      <c r="P40" s="228">
        <v>974.2</v>
      </c>
      <c r="Q40" s="228">
        <v>976.7</v>
      </c>
      <c r="R40" s="228">
        <v>-2.5</v>
      </c>
      <c r="S40" s="229">
        <v>-2.5999999999999999E-3</v>
      </c>
      <c r="T40" s="228">
        <v>980.2</v>
      </c>
      <c r="U40" s="228">
        <v>981.8</v>
      </c>
      <c r="V40" s="228">
        <v>-1.6</v>
      </c>
      <c r="W40" s="229">
        <v>-1.6000000000000001E-3</v>
      </c>
      <c r="X40" s="228">
        <v>5.7</v>
      </c>
      <c r="Y40" s="228">
        <v>1.3</v>
      </c>
      <c r="Z40" s="228">
        <v>4.4000000000000004</v>
      </c>
      <c r="AA40" s="229">
        <v>5.8999999999999999E-3</v>
      </c>
      <c r="AB40" s="228">
        <v>-0.8</v>
      </c>
      <c r="AC40" s="228">
        <v>1.3</v>
      </c>
      <c r="AD40" s="228">
        <v>-2.1</v>
      </c>
      <c r="AE40" s="229">
        <v>-8.0000000000000004E-4</v>
      </c>
      <c r="AF40" s="228">
        <v>5.7</v>
      </c>
      <c r="AG40" s="228">
        <v>7.1</v>
      </c>
      <c r="AH40" s="228">
        <v>-1.4</v>
      </c>
      <c r="AI40" s="229">
        <v>5.8999999999999999E-3</v>
      </c>
      <c r="AJ40" s="228">
        <v>11.7</v>
      </c>
      <c r="AK40" s="228">
        <v>12.2</v>
      </c>
      <c r="AL40" s="228">
        <v>-0.5</v>
      </c>
      <c r="AM40" s="229">
        <v>1.21E-2</v>
      </c>
      <c r="AN40" s="228">
        <v>970.85</v>
      </c>
      <c r="AO40" s="228">
        <v>976.86</v>
      </c>
      <c r="AP40" s="228">
        <v>0</v>
      </c>
      <c r="AQ40" s="230">
        <v>62476</v>
      </c>
      <c r="AR40" s="230">
        <v>75378</v>
      </c>
      <c r="AS40" s="230">
        <v>-12902</v>
      </c>
      <c r="AT40" s="229">
        <v>-0.17119999999999999</v>
      </c>
      <c r="AU40" s="230">
        <v>26896</v>
      </c>
      <c r="AV40" s="230">
        <v>36775</v>
      </c>
      <c r="AW40" s="230">
        <v>-9879</v>
      </c>
      <c r="AX40" s="229">
        <v>-0.26860000000000001</v>
      </c>
      <c r="AY40" s="230">
        <v>34626</v>
      </c>
      <c r="AZ40" s="230">
        <v>37808</v>
      </c>
      <c r="BA40" s="230">
        <v>-3182</v>
      </c>
      <c r="BB40" s="229">
        <v>-8.4199999999999997E-2</v>
      </c>
      <c r="BC40" s="228">
        <v>954</v>
      </c>
      <c r="BD40" s="228">
        <v>795</v>
      </c>
      <c r="BE40" s="228">
        <v>159</v>
      </c>
      <c r="BF40" s="229">
        <v>0.2</v>
      </c>
      <c r="BG40" s="230">
        <v>119792</v>
      </c>
      <c r="BH40" s="230">
        <v>286248</v>
      </c>
      <c r="BI40" s="230">
        <v>-166456</v>
      </c>
      <c r="BJ40" s="229">
        <v>-0.58150000000000002</v>
      </c>
      <c r="BK40" s="230">
        <v>65014</v>
      </c>
      <c r="BL40" s="230">
        <v>115887</v>
      </c>
      <c r="BM40" s="230">
        <v>-50873</v>
      </c>
      <c r="BN40" s="229">
        <v>-0.439</v>
      </c>
      <c r="BO40" s="230">
        <v>247282</v>
      </c>
      <c r="BP40" s="230">
        <v>477513</v>
      </c>
      <c r="BQ40" s="230">
        <v>-230231</v>
      </c>
      <c r="BR40" s="229">
        <v>-0.48209999999999997</v>
      </c>
      <c r="BS40" s="230">
        <v>17149391</v>
      </c>
      <c r="BT40" s="230">
        <v>11574146</v>
      </c>
      <c r="BU40" s="230">
        <v>5575245</v>
      </c>
      <c r="BV40" s="229">
        <v>0.48170000000000002</v>
      </c>
      <c r="BW40" s="230">
        <v>99054750</v>
      </c>
      <c r="BX40" s="230">
        <v>107804250</v>
      </c>
      <c r="BY40" s="230">
        <v>-8749500</v>
      </c>
      <c r="BZ40" s="229">
        <v>-8.1199999999999994E-2</v>
      </c>
      <c r="CA40" s="230">
        <v>11112000</v>
      </c>
      <c r="CB40" s="230">
        <v>24931500</v>
      </c>
      <c r="CC40" s="230">
        <v>-13819500</v>
      </c>
      <c r="CD40" s="229">
        <v>-0.55430000000000001</v>
      </c>
      <c r="CE40" s="230">
        <v>93072750</v>
      </c>
      <c r="CF40" s="230">
        <v>77083500</v>
      </c>
      <c r="CG40" s="230">
        <v>15989250</v>
      </c>
      <c r="CH40" s="229">
        <v>0.2074</v>
      </c>
      <c r="CI40" s="230">
        <v>5982000</v>
      </c>
      <c r="CJ40" s="230">
        <v>5789250</v>
      </c>
      <c r="CK40" s="230">
        <v>192750</v>
      </c>
      <c r="CL40" s="229">
        <v>3.3300000000000003E-2</v>
      </c>
      <c r="CM40" s="230">
        <v>33188250</v>
      </c>
      <c r="CN40" s="230">
        <v>90135000</v>
      </c>
      <c r="CO40" s="230">
        <v>-56946750</v>
      </c>
      <c r="CP40" s="229">
        <v>-0.63180000000000003</v>
      </c>
      <c r="CQ40" s="230">
        <v>27923250</v>
      </c>
      <c r="CR40" s="230">
        <v>52029000</v>
      </c>
      <c r="CS40" s="230">
        <v>-24105750</v>
      </c>
      <c r="CT40" s="229">
        <v>-0.46329999999999999</v>
      </c>
      <c r="CU40" s="230">
        <v>160166250</v>
      </c>
      <c r="CV40" s="230">
        <v>249968250</v>
      </c>
      <c r="CW40" s="230">
        <v>-89802000</v>
      </c>
      <c r="CX40" s="229">
        <v>-0.35930000000000001</v>
      </c>
      <c r="CY40" s="228">
        <v>21.71</v>
      </c>
      <c r="CZ40" s="228">
        <v>23.07</v>
      </c>
      <c r="DA40" s="228">
        <v>-1.36</v>
      </c>
      <c r="DB40" s="228">
        <v>-1.36</v>
      </c>
      <c r="DC40" s="228">
        <v>30.77</v>
      </c>
      <c r="DD40" s="228">
        <v>30.85</v>
      </c>
      <c r="DE40" s="228">
        <v>-9.06</v>
      </c>
      <c r="DF40" s="228">
        <v>-0.08</v>
      </c>
      <c r="DG40" s="228">
        <v>21.72</v>
      </c>
      <c r="DH40" s="228">
        <v>22.81</v>
      </c>
      <c r="DI40" s="228">
        <v>-1.0900000000000001</v>
      </c>
      <c r="DJ40" s="228">
        <v>-1.0900000000000001</v>
      </c>
      <c r="DK40" s="228">
        <v>21.7</v>
      </c>
      <c r="DL40" s="228">
        <v>23.45</v>
      </c>
      <c r="DM40" s="228">
        <v>-1.75</v>
      </c>
      <c r="DN40" s="228">
        <v>-1.75</v>
      </c>
      <c r="DO40" s="228">
        <v>0.84</v>
      </c>
      <c r="DP40" s="228">
        <v>0.57999999999999996</v>
      </c>
      <c r="DQ40" s="228">
        <v>0.26</v>
      </c>
      <c r="DR40" s="229">
        <v>0.44829999999999998</v>
      </c>
      <c r="DS40" s="231">
        <v>1100</v>
      </c>
      <c r="DT40" s="228">
        <v>970</v>
      </c>
      <c r="DU40" s="228">
        <v>0.54</v>
      </c>
      <c r="DV40" s="228">
        <v>0.4</v>
      </c>
      <c r="DW40" s="228">
        <v>0.14000000000000001</v>
      </c>
      <c r="DX40" s="229">
        <v>0.35</v>
      </c>
      <c r="DY40" s="229">
        <v>0.89910000000000001</v>
      </c>
      <c r="DZ40" s="230">
        <v>82872750</v>
      </c>
      <c r="EA40" s="229">
        <v>6.7000000000000002E-3</v>
      </c>
      <c r="EB40" s="229">
        <v>0.89910000000000001</v>
      </c>
      <c r="EC40" s="228">
        <v>6.01</v>
      </c>
      <c r="ED40" s="229">
        <v>6.1999999999999998E-3</v>
      </c>
      <c r="EE40" s="230">
        <v>8984102</v>
      </c>
      <c r="EF40" s="230">
        <v>6548433</v>
      </c>
      <c r="EG40" s="229">
        <v>0.37190000000000001</v>
      </c>
      <c r="EH40" s="229">
        <v>0.52390000000000003</v>
      </c>
      <c r="EI40" s="231">
        <v>913885.35</v>
      </c>
      <c r="EJ40" s="231">
        <v>488065.96</v>
      </c>
      <c r="EK40" s="231">
        <v>456553.09</v>
      </c>
      <c r="EL40" s="231">
        <v>42400</v>
      </c>
      <c r="EM40" s="231">
        <v>1858504.4</v>
      </c>
      <c r="EN40" s="231">
        <v>3563314.16</v>
      </c>
      <c r="EO40" s="231">
        <v>-1704809.76</v>
      </c>
      <c r="EP40" s="229">
        <v>-0.47839999999999999</v>
      </c>
      <c r="EQ40" s="231">
        <v>341734</v>
      </c>
      <c r="ER40" s="231">
        <v>276193</v>
      </c>
      <c r="ES40" s="231">
        <v>965350</v>
      </c>
      <c r="ET40" s="231">
        <v>580324288</v>
      </c>
      <c r="EU40" s="231">
        <v>1583277</v>
      </c>
      <c r="EV40" s="231">
        <v>2520176</v>
      </c>
      <c r="EW40" s="231">
        <v>-936899</v>
      </c>
      <c r="EX40" s="229">
        <v>-0.37180000000000002</v>
      </c>
      <c r="EY40" s="229">
        <v>0.27600000000000002</v>
      </c>
    </row>
    <row r="41" spans="1:155" ht="17.25" thickBot="1" x14ac:dyDescent="0.3">
      <c r="A41" s="226">
        <v>46168</v>
      </c>
      <c r="B41" s="227" t="s">
        <v>175</v>
      </c>
      <c r="C41" s="227" t="s">
        <v>561</v>
      </c>
      <c r="D41" s="228">
        <v>959.25</v>
      </c>
      <c r="E41" s="228">
        <v>967.45</v>
      </c>
      <c r="F41" s="228">
        <v>-8.1999999999999993</v>
      </c>
      <c r="G41" s="229">
        <v>-8.5000000000000006E-3</v>
      </c>
      <c r="H41" s="228">
        <v>952.15</v>
      </c>
      <c r="I41" s="228">
        <v>961.95</v>
      </c>
      <c r="J41" s="228">
        <v>-9.8000000000000007</v>
      </c>
      <c r="K41" s="229">
        <v>-1.0200000000000001E-2</v>
      </c>
      <c r="L41" s="228">
        <v>952.05</v>
      </c>
      <c r="M41" s="228">
        <v>961.6</v>
      </c>
      <c r="N41" s="228">
        <v>-9.5500000000000007</v>
      </c>
      <c r="O41" s="229">
        <v>-9.9000000000000008E-3</v>
      </c>
      <c r="P41" s="228">
        <v>959.25</v>
      </c>
      <c r="Q41" s="228">
        <v>967.45</v>
      </c>
      <c r="R41" s="228">
        <v>-8.1999999999999993</v>
      </c>
      <c r="S41" s="229">
        <v>-8.5000000000000006E-3</v>
      </c>
      <c r="T41" s="228">
        <v>960.6</v>
      </c>
      <c r="U41" s="228">
        <v>967.55</v>
      </c>
      <c r="V41" s="228">
        <v>-6.95</v>
      </c>
      <c r="W41" s="229">
        <v>-7.1999999999999998E-3</v>
      </c>
      <c r="X41" s="228">
        <v>7.1</v>
      </c>
      <c r="Y41" s="228">
        <v>-0.35</v>
      </c>
      <c r="Z41" s="228">
        <v>7.45</v>
      </c>
      <c r="AA41" s="229">
        <v>7.4999999999999997E-3</v>
      </c>
      <c r="AB41" s="228">
        <v>-0.1</v>
      </c>
      <c r="AC41" s="228">
        <v>-0.35</v>
      </c>
      <c r="AD41" s="228">
        <v>0.25</v>
      </c>
      <c r="AE41" s="229">
        <v>-1E-4</v>
      </c>
      <c r="AF41" s="228">
        <v>7.1</v>
      </c>
      <c r="AG41" s="228">
        <v>5.5</v>
      </c>
      <c r="AH41" s="228">
        <v>1.6</v>
      </c>
      <c r="AI41" s="229">
        <v>7.4999999999999997E-3</v>
      </c>
      <c r="AJ41" s="228">
        <v>8.4499999999999993</v>
      </c>
      <c r="AK41" s="228">
        <v>5.6</v>
      </c>
      <c r="AL41" s="228">
        <v>2.85</v>
      </c>
      <c r="AM41" s="229">
        <v>8.8999999999999999E-3</v>
      </c>
      <c r="AN41" s="228">
        <v>956.6</v>
      </c>
      <c r="AO41" s="228">
        <v>962.78</v>
      </c>
      <c r="AP41" s="228">
        <v>0</v>
      </c>
      <c r="AQ41" s="230">
        <v>20510</v>
      </c>
      <c r="AR41" s="230">
        <v>28340</v>
      </c>
      <c r="AS41" s="230">
        <v>-7830</v>
      </c>
      <c r="AT41" s="229">
        <v>-0.27629999999999999</v>
      </c>
      <c r="AU41" s="230">
        <v>8786</v>
      </c>
      <c r="AV41" s="230">
        <v>13512</v>
      </c>
      <c r="AW41" s="230">
        <v>-4726</v>
      </c>
      <c r="AX41" s="229">
        <v>-0.3498</v>
      </c>
      <c r="AY41" s="230">
        <v>11507</v>
      </c>
      <c r="AZ41" s="230">
        <v>14560</v>
      </c>
      <c r="BA41" s="230">
        <v>-3053</v>
      </c>
      <c r="BB41" s="229">
        <v>-0.2097</v>
      </c>
      <c r="BC41" s="228">
        <v>217</v>
      </c>
      <c r="BD41" s="228">
        <v>268</v>
      </c>
      <c r="BE41" s="228">
        <v>-51</v>
      </c>
      <c r="BF41" s="229">
        <v>-0.1903</v>
      </c>
      <c r="BG41" s="230">
        <v>11596</v>
      </c>
      <c r="BH41" s="230">
        <v>32987</v>
      </c>
      <c r="BI41" s="230">
        <v>-21391</v>
      </c>
      <c r="BJ41" s="229">
        <v>-0.64849999999999997</v>
      </c>
      <c r="BK41" s="230">
        <v>7178</v>
      </c>
      <c r="BL41" s="230">
        <v>12563</v>
      </c>
      <c r="BM41" s="230">
        <v>-5385</v>
      </c>
      <c r="BN41" s="229">
        <v>-0.42859999999999998</v>
      </c>
      <c r="BO41" s="230">
        <v>39284</v>
      </c>
      <c r="BP41" s="230">
        <v>73890</v>
      </c>
      <c r="BQ41" s="230">
        <v>-34606</v>
      </c>
      <c r="BR41" s="229">
        <v>-0.46829999999999999</v>
      </c>
      <c r="BS41" s="230">
        <v>4505592</v>
      </c>
      <c r="BT41" s="230">
        <v>6887354</v>
      </c>
      <c r="BU41" s="230">
        <v>-2381762</v>
      </c>
      <c r="BV41" s="229">
        <v>-0.3458</v>
      </c>
      <c r="BW41" s="230">
        <v>41004975</v>
      </c>
      <c r="BX41" s="230">
        <v>43891650</v>
      </c>
      <c r="BY41" s="230">
        <v>-2886675</v>
      </c>
      <c r="BZ41" s="229">
        <v>-6.5799999999999997E-2</v>
      </c>
      <c r="CA41" s="230">
        <v>2588025</v>
      </c>
      <c r="CB41" s="230">
        <v>7731900</v>
      </c>
      <c r="CC41" s="230">
        <v>-5143875</v>
      </c>
      <c r="CD41" s="229">
        <v>-0.6653</v>
      </c>
      <c r="CE41" s="230">
        <v>38607525</v>
      </c>
      <c r="CF41" s="230">
        <v>33866250</v>
      </c>
      <c r="CG41" s="230">
        <v>4741275</v>
      </c>
      <c r="CH41" s="229">
        <v>0.14000000000000001</v>
      </c>
      <c r="CI41" s="230">
        <v>2397450</v>
      </c>
      <c r="CJ41" s="230">
        <v>2293500</v>
      </c>
      <c r="CK41" s="230">
        <v>103950</v>
      </c>
      <c r="CL41" s="229">
        <v>4.53E-2</v>
      </c>
      <c r="CM41" s="230">
        <v>5006925</v>
      </c>
      <c r="CN41" s="230">
        <v>14630550</v>
      </c>
      <c r="CO41" s="230">
        <v>-9623625</v>
      </c>
      <c r="CP41" s="229">
        <v>-0.65780000000000005</v>
      </c>
      <c r="CQ41" s="230">
        <v>3865125</v>
      </c>
      <c r="CR41" s="230">
        <v>9487500</v>
      </c>
      <c r="CS41" s="230">
        <v>-5622375</v>
      </c>
      <c r="CT41" s="229">
        <v>-0.59260000000000002</v>
      </c>
      <c r="CU41" s="230">
        <v>49877025</v>
      </c>
      <c r="CV41" s="230">
        <v>68009700</v>
      </c>
      <c r="CW41" s="230">
        <v>-18132675</v>
      </c>
      <c r="CX41" s="229">
        <v>-0.2666</v>
      </c>
      <c r="CY41" s="228">
        <v>30.88</v>
      </c>
      <c r="CZ41" s="228">
        <v>31.99</v>
      </c>
      <c r="DA41" s="228">
        <v>-1.1100000000000001</v>
      </c>
      <c r="DB41" s="228">
        <v>-1.1100000000000001</v>
      </c>
      <c r="DC41" s="228">
        <v>44.48</v>
      </c>
      <c r="DD41" s="228">
        <v>44.57</v>
      </c>
      <c r="DE41" s="228">
        <v>-13.6</v>
      </c>
      <c r="DF41" s="228">
        <v>-0.09</v>
      </c>
      <c r="DG41" s="228">
        <v>30.73</v>
      </c>
      <c r="DH41" s="228">
        <v>31.91</v>
      </c>
      <c r="DI41" s="228">
        <v>-1.18</v>
      </c>
      <c r="DJ41" s="228">
        <v>-1.18</v>
      </c>
      <c r="DK41" s="228">
        <v>31.1</v>
      </c>
      <c r="DL41" s="228">
        <v>32.22</v>
      </c>
      <c r="DM41" s="228">
        <v>-1.1200000000000001</v>
      </c>
      <c r="DN41" s="228">
        <v>-1.1200000000000001</v>
      </c>
      <c r="DO41" s="228">
        <v>0.77</v>
      </c>
      <c r="DP41" s="228">
        <v>0.65</v>
      </c>
      <c r="DQ41" s="228">
        <v>0.12</v>
      </c>
      <c r="DR41" s="229">
        <v>0.18459999999999999</v>
      </c>
      <c r="DS41" s="231">
        <v>1000</v>
      </c>
      <c r="DT41" s="228">
        <v>900</v>
      </c>
      <c r="DU41" s="228">
        <v>0.62</v>
      </c>
      <c r="DV41" s="228">
        <v>0.38</v>
      </c>
      <c r="DW41" s="228">
        <v>0.24</v>
      </c>
      <c r="DX41" s="229">
        <v>0.63160000000000005</v>
      </c>
      <c r="DY41" s="229">
        <v>0.94059999999999999</v>
      </c>
      <c r="DZ41" s="230">
        <v>36159750</v>
      </c>
      <c r="EA41" s="229">
        <v>7.6E-3</v>
      </c>
      <c r="EB41" s="229">
        <v>0.94059999999999999</v>
      </c>
      <c r="EC41" s="228">
        <v>6.18</v>
      </c>
      <c r="ED41" s="229">
        <v>6.4999999999999997E-3</v>
      </c>
      <c r="EE41" s="230">
        <v>2708837</v>
      </c>
      <c r="EF41" s="230">
        <v>4374148</v>
      </c>
      <c r="EG41" s="229">
        <v>-0.38069999999999998</v>
      </c>
      <c r="EH41" s="229">
        <v>0.60119999999999996</v>
      </c>
      <c r="EI41" s="231">
        <v>96211.07</v>
      </c>
      <c r="EJ41" s="231">
        <v>56955.51</v>
      </c>
      <c r="EK41" s="231">
        <v>162462.25</v>
      </c>
      <c r="EL41" s="231">
        <v>18940</v>
      </c>
      <c r="EM41" s="231">
        <v>315628.83</v>
      </c>
      <c r="EN41" s="231">
        <v>596060.87</v>
      </c>
      <c r="EO41" s="231">
        <v>-280432.03999999998</v>
      </c>
      <c r="EP41" s="229">
        <v>-0.47049999999999997</v>
      </c>
      <c r="EQ41" s="231">
        <v>49977</v>
      </c>
      <c r="ER41" s="231">
        <v>35954</v>
      </c>
      <c r="ES41" s="231">
        <v>393373</v>
      </c>
      <c r="ET41" s="231">
        <v>210567108</v>
      </c>
      <c r="EU41" s="231">
        <v>479304</v>
      </c>
      <c r="EV41" s="231">
        <v>660619</v>
      </c>
      <c r="EW41" s="231">
        <v>-181315</v>
      </c>
      <c r="EX41" s="229">
        <v>-0.27450000000000002</v>
      </c>
      <c r="EY41" s="229">
        <v>0.2369</v>
      </c>
    </row>
    <row r="42" spans="1:155" ht="17.25" thickBot="1" x14ac:dyDescent="0.3">
      <c r="A42" s="226">
        <v>46168</v>
      </c>
      <c r="B42" s="227" t="s">
        <v>170</v>
      </c>
      <c r="C42" s="227" t="s">
        <v>288</v>
      </c>
      <c r="D42" s="231">
        <v>1855</v>
      </c>
      <c r="E42" s="231">
        <v>1855.3</v>
      </c>
      <c r="F42" s="228">
        <v>-0.3</v>
      </c>
      <c r="G42" s="229">
        <v>-2.0000000000000001E-4</v>
      </c>
      <c r="H42" s="231">
        <v>1840.8</v>
      </c>
      <c r="I42" s="231">
        <v>1840.6</v>
      </c>
      <c r="J42" s="228">
        <v>0.2</v>
      </c>
      <c r="K42" s="229">
        <v>1E-4</v>
      </c>
      <c r="L42" s="231">
        <v>1846.5</v>
      </c>
      <c r="M42" s="231">
        <v>1843.5</v>
      </c>
      <c r="N42" s="228">
        <v>3</v>
      </c>
      <c r="O42" s="229">
        <v>1.6000000000000001E-3</v>
      </c>
      <c r="P42" s="231">
        <v>1855</v>
      </c>
      <c r="Q42" s="231">
        <v>1855.3</v>
      </c>
      <c r="R42" s="228">
        <v>-0.3</v>
      </c>
      <c r="S42" s="229">
        <v>-2.0000000000000001E-4</v>
      </c>
      <c r="T42" s="231">
        <v>1862.7</v>
      </c>
      <c r="U42" s="231">
        <v>1865.1</v>
      </c>
      <c r="V42" s="228">
        <v>-2.4</v>
      </c>
      <c r="W42" s="229">
        <v>-1.2999999999999999E-3</v>
      </c>
      <c r="X42" s="228">
        <v>14.2</v>
      </c>
      <c r="Y42" s="228">
        <v>2.9</v>
      </c>
      <c r="Z42" s="228">
        <v>11.3</v>
      </c>
      <c r="AA42" s="229">
        <v>7.7000000000000002E-3</v>
      </c>
      <c r="AB42" s="228">
        <v>5.7</v>
      </c>
      <c r="AC42" s="228">
        <v>2.9</v>
      </c>
      <c r="AD42" s="228">
        <v>2.8</v>
      </c>
      <c r="AE42" s="229">
        <v>3.0999999999999999E-3</v>
      </c>
      <c r="AF42" s="228">
        <v>14.2</v>
      </c>
      <c r="AG42" s="228">
        <v>14.7</v>
      </c>
      <c r="AH42" s="228">
        <v>-0.5</v>
      </c>
      <c r="AI42" s="229">
        <v>7.7000000000000002E-3</v>
      </c>
      <c r="AJ42" s="228">
        <v>21.9</v>
      </c>
      <c r="AK42" s="228">
        <v>24.5</v>
      </c>
      <c r="AL42" s="228">
        <v>-2.6</v>
      </c>
      <c r="AM42" s="229">
        <v>1.1900000000000001E-2</v>
      </c>
      <c r="AN42" s="231">
        <v>1833.53</v>
      </c>
      <c r="AO42" s="231">
        <v>1845.62</v>
      </c>
      <c r="AP42" s="228">
        <v>0</v>
      </c>
      <c r="AQ42" s="230">
        <v>18126</v>
      </c>
      <c r="AR42" s="230">
        <v>51122</v>
      </c>
      <c r="AS42" s="230">
        <v>-32996</v>
      </c>
      <c r="AT42" s="229">
        <v>-0.64539999999999997</v>
      </c>
      <c r="AU42" s="230">
        <v>7441</v>
      </c>
      <c r="AV42" s="230">
        <v>25093</v>
      </c>
      <c r="AW42" s="230">
        <v>-17652</v>
      </c>
      <c r="AX42" s="229">
        <v>-0.70350000000000001</v>
      </c>
      <c r="AY42" s="230">
        <v>10586</v>
      </c>
      <c r="AZ42" s="230">
        <v>25294</v>
      </c>
      <c r="BA42" s="230">
        <v>-14708</v>
      </c>
      <c r="BB42" s="229">
        <v>-0.58150000000000002</v>
      </c>
      <c r="BC42" s="228">
        <v>99</v>
      </c>
      <c r="BD42" s="228">
        <v>735</v>
      </c>
      <c r="BE42" s="228">
        <v>-636</v>
      </c>
      <c r="BF42" s="229">
        <v>-0.86529999999999996</v>
      </c>
      <c r="BG42" s="230">
        <v>36566</v>
      </c>
      <c r="BH42" s="230">
        <v>120867</v>
      </c>
      <c r="BI42" s="230">
        <v>-84301</v>
      </c>
      <c r="BJ42" s="229">
        <v>-0.69750000000000001</v>
      </c>
      <c r="BK42" s="230">
        <v>34308</v>
      </c>
      <c r="BL42" s="230">
        <v>84764</v>
      </c>
      <c r="BM42" s="230">
        <v>-50456</v>
      </c>
      <c r="BN42" s="229">
        <v>-0.59530000000000005</v>
      </c>
      <c r="BO42" s="230">
        <v>89000</v>
      </c>
      <c r="BP42" s="230">
        <v>256753</v>
      </c>
      <c r="BQ42" s="230">
        <v>-167753</v>
      </c>
      <c r="BR42" s="229">
        <v>-0.65339999999999998</v>
      </c>
      <c r="BS42" s="230">
        <v>2457082</v>
      </c>
      <c r="BT42" s="230">
        <v>3138722</v>
      </c>
      <c r="BU42" s="230">
        <v>-681640</v>
      </c>
      <c r="BV42" s="229">
        <v>-0.2172</v>
      </c>
      <c r="BW42" s="230">
        <v>23211650</v>
      </c>
      <c r="BX42" s="230">
        <v>26847800</v>
      </c>
      <c r="BY42" s="230">
        <v>-3636150</v>
      </c>
      <c r="BZ42" s="229">
        <v>-0.13539999999999999</v>
      </c>
      <c r="CA42" s="230">
        <v>3679550</v>
      </c>
      <c r="CB42" s="230">
        <v>4437650</v>
      </c>
      <c r="CC42" s="230">
        <v>-758100</v>
      </c>
      <c r="CD42" s="229">
        <v>-0.17080000000000001</v>
      </c>
      <c r="CE42" s="230">
        <v>22840650</v>
      </c>
      <c r="CF42" s="230">
        <v>22052100</v>
      </c>
      <c r="CG42" s="230">
        <v>788550</v>
      </c>
      <c r="CH42" s="229">
        <v>3.5799999999999998E-2</v>
      </c>
      <c r="CI42" s="230">
        <v>371000</v>
      </c>
      <c r="CJ42" s="230">
        <v>358050</v>
      </c>
      <c r="CK42" s="230">
        <v>12950</v>
      </c>
      <c r="CL42" s="229">
        <v>3.6200000000000003E-2</v>
      </c>
      <c r="CM42" s="230">
        <v>4523400</v>
      </c>
      <c r="CN42" s="230">
        <v>18827550</v>
      </c>
      <c r="CO42" s="230">
        <v>-14304150</v>
      </c>
      <c r="CP42" s="229">
        <v>-0.75970000000000004</v>
      </c>
      <c r="CQ42" s="230">
        <v>4236400</v>
      </c>
      <c r="CR42" s="230">
        <v>11706800</v>
      </c>
      <c r="CS42" s="230">
        <v>-7470400</v>
      </c>
      <c r="CT42" s="229">
        <v>-0.6381</v>
      </c>
      <c r="CU42" s="230">
        <v>31971450</v>
      </c>
      <c r="CV42" s="230">
        <v>57382150</v>
      </c>
      <c r="CW42" s="230">
        <v>-25410700</v>
      </c>
      <c r="CX42" s="229">
        <v>-0.44280000000000003</v>
      </c>
      <c r="CY42" s="228">
        <v>17.13</v>
      </c>
      <c r="CZ42" s="228">
        <v>18.18</v>
      </c>
      <c r="DA42" s="228">
        <v>-1.05</v>
      </c>
      <c r="DB42" s="228">
        <v>-1.05</v>
      </c>
      <c r="DC42" s="228">
        <v>25.45</v>
      </c>
      <c r="DD42" s="228">
        <v>25.51</v>
      </c>
      <c r="DE42" s="228">
        <v>-8.32</v>
      </c>
      <c r="DF42" s="228">
        <v>-0.06</v>
      </c>
      <c r="DG42" s="228">
        <v>17.32</v>
      </c>
      <c r="DH42" s="228">
        <v>18.22</v>
      </c>
      <c r="DI42" s="228">
        <v>-0.9</v>
      </c>
      <c r="DJ42" s="228">
        <v>-0.9</v>
      </c>
      <c r="DK42" s="228">
        <v>16.89</v>
      </c>
      <c r="DL42" s="228">
        <v>18.14</v>
      </c>
      <c r="DM42" s="228">
        <v>-1.25</v>
      </c>
      <c r="DN42" s="228">
        <v>-1.25</v>
      </c>
      <c r="DO42" s="228">
        <v>0.94</v>
      </c>
      <c r="DP42" s="228">
        <v>0.62</v>
      </c>
      <c r="DQ42" s="228">
        <v>0.32</v>
      </c>
      <c r="DR42" s="229">
        <v>0.5161</v>
      </c>
      <c r="DS42" s="231">
        <v>1900</v>
      </c>
      <c r="DT42" s="231">
        <v>1900</v>
      </c>
      <c r="DU42" s="228">
        <v>0.94</v>
      </c>
      <c r="DV42" s="228">
        <v>0.7</v>
      </c>
      <c r="DW42" s="228">
        <v>0.24</v>
      </c>
      <c r="DX42" s="229">
        <v>0.34289999999999998</v>
      </c>
      <c r="DY42" s="229">
        <v>0.86319999999999997</v>
      </c>
      <c r="DZ42" s="230">
        <v>22410150</v>
      </c>
      <c r="EA42" s="229">
        <v>4.5999999999999999E-3</v>
      </c>
      <c r="EB42" s="229">
        <v>0.86319999999999997</v>
      </c>
      <c r="EC42" s="228">
        <v>12.09</v>
      </c>
      <c r="ED42" s="229">
        <v>6.6E-3</v>
      </c>
      <c r="EE42" s="230">
        <v>1411960</v>
      </c>
      <c r="EF42" s="230">
        <v>1604244</v>
      </c>
      <c r="EG42" s="229">
        <v>-0.11990000000000001</v>
      </c>
      <c r="EH42" s="229">
        <v>0.5746</v>
      </c>
      <c r="EI42" s="231">
        <v>241010.51</v>
      </c>
      <c r="EJ42" s="231">
        <v>220001.51</v>
      </c>
      <c r="EK42" s="231">
        <v>116775.96</v>
      </c>
      <c r="EL42" s="231">
        <v>30615</v>
      </c>
      <c r="EM42" s="231">
        <v>577787.98</v>
      </c>
      <c r="EN42" s="231">
        <v>1671038.92</v>
      </c>
      <c r="EO42" s="231">
        <v>-1093250.94</v>
      </c>
      <c r="EP42" s="229">
        <v>-0.6542</v>
      </c>
      <c r="EQ42" s="231">
        <v>86727</v>
      </c>
      <c r="ER42" s="231">
        <v>76375</v>
      </c>
      <c r="ES42" s="231">
        <v>430605</v>
      </c>
      <c r="ET42" s="231">
        <v>121755902</v>
      </c>
      <c r="EU42" s="231">
        <v>593707</v>
      </c>
      <c r="EV42" s="231">
        <v>1061511</v>
      </c>
      <c r="EW42" s="231">
        <v>-467804</v>
      </c>
      <c r="EX42" s="229">
        <v>-0.44069999999999998</v>
      </c>
      <c r="EY42" s="229">
        <v>0.2626</v>
      </c>
    </row>
    <row r="43" spans="1:155" ht="17.25" thickBot="1" x14ac:dyDescent="0.3">
      <c r="A43" s="226">
        <v>46168</v>
      </c>
      <c r="B43" s="227" t="s">
        <v>168</v>
      </c>
      <c r="C43" s="227" t="s">
        <v>291</v>
      </c>
      <c r="D43" s="231">
        <v>1197.7</v>
      </c>
      <c r="E43" s="231">
        <v>1197.5</v>
      </c>
      <c r="F43" s="228">
        <v>0.2</v>
      </c>
      <c r="G43" s="229">
        <v>2.0000000000000001E-4</v>
      </c>
      <c r="H43" s="231">
        <v>1187.5999999999999</v>
      </c>
      <c r="I43" s="231">
        <v>1187.2</v>
      </c>
      <c r="J43" s="228">
        <v>0.4</v>
      </c>
      <c r="K43" s="229">
        <v>2.9999999999999997E-4</v>
      </c>
      <c r="L43" s="231">
        <v>1188.2</v>
      </c>
      <c r="M43" s="231">
        <v>1189.4000000000001</v>
      </c>
      <c r="N43" s="228">
        <v>-1.2</v>
      </c>
      <c r="O43" s="229">
        <v>-1E-3</v>
      </c>
      <c r="P43" s="231">
        <v>1197.7</v>
      </c>
      <c r="Q43" s="231">
        <v>1197.5</v>
      </c>
      <c r="R43" s="228">
        <v>0.2</v>
      </c>
      <c r="S43" s="229">
        <v>2.0000000000000001E-4</v>
      </c>
      <c r="T43" s="231">
        <v>1204.8</v>
      </c>
      <c r="U43" s="231">
        <v>1204.8</v>
      </c>
      <c r="V43" s="228">
        <v>0</v>
      </c>
      <c r="W43" s="229">
        <v>0</v>
      </c>
      <c r="X43" s="228">
        <v>10.1</v>
      </c>
      <c r="Y43" s="228">
        <v>2.2000000000000002</v>
      </c>
      <c r="Z43" s="228">
        <v>7.9</v>
      </c>
      <c r="AA43" s="229">
        <v>8.5000000000000006E-3</v>
      </c>
      <c r="AB43" s="228">
        <v>0.6</v>
      </c>
      <c r="AC43" s="228">
        <v>2.2000000000000002</v>
      </c>
      <c r="AD43" s="228">
        <v>-1.6</v>
      </c>
      <c r="AE43" s="229">
        <v>5.0000000000000001E-4</v>
      </c>
      <c r="AF43" s="228">
        <v>10.1</v>
      </c>
      <c r="AG43" s="228">
        <v>10.3</v>
      </c>
      <c r="AH43" s="228">
        <v>-0.2</v>
      </c>
      <c r="AI43" s="229">
        <v>8.5000000000000006E-3</v>
      </c>
      <c r="AJ43" s="228">
        <v>17.2</v>
      </c>
      <c r="AK43" s="228">
        <v>17.600000000000001</v>
      </c>
      <c r="AL43" s="228">
        <v>-0.4</v>
      </c>
      <c r="AM43" s="229">
        <v>1.4500000000000001E-2</v>
      </c>
      <c r="AN43" s="231">
        <v>1189.43</v>
      </c>
      <c r="AO43" s="231">
        <v>1199.46</v>
      </c>
      <c r="AP43" s="228">
        <v>0</v>
      </c>
      <c r="AQ43" s="230">
        <v>11419</v>
      </c>
      <c r="AR43" s="230">
        <v>13010</v>
      </c>
      <c r="AS43" s="230">
        <v>-1591</v>
      </c>
      <c r="AT43" s="229">
        <v>-0.12230000000000001</v>
      </c>
      <c r="AU43" s="230">
        <v>4299</v>
      </c>
      <c r="AV43" s="230">
        <v>6372</v>
      </c>
      <c r="AW43" s="230">
        <v>-2073</v>
      </c>
      <c r="AX43" s="229">
        <v>-0.32529999999999998</v>
      </c>
      <c r="AY43" s="230">
        <v>7073</v>
      </c>
      <c r="AZ43" s="230">
        <v>6588</v>
      </c>
      <c r="BA43" s="228">
        <v>485</v>
      </c>
      <c r="BB43" s="229">
        <v>7.3599999999999999E-2</v>
      </c>
      <c r="BC43" s="228">
        <v>47</v>
      </c>
      <c r="BD43" s="228">
        <v>50</v>
      </c>
      <c r="BE43" s="228">
        <v>-3</v>
      </c>
      <c r="BF43" s="229">
        <v>-0.06</v>
      </c>
      <c r="BG43" s="230">
        <v>6024</v>
      </c>
      <c r="BH43" s="230">
        <v>7706</v>
      </c>
      <c r="BI43" s="230">
        <v>-1682</v>
      </c>
      <c r="BJ43" s="229">
        <v>-0.21829999999999999</v>
      </c>
      <c r="BK43" s="230">
        <v>2717</v>
      </c>
      <c r="BL43" s="230">
        <v>3278</v>
      </c>
      <c r="BM43" s="228">
        <v>-561</v>
      </c>
      <c r="BN43" s="229">
        <v>-0.1711</v>
      </c>
      <c r="BO43" s="230">
        <v>20160</v>
      </c>
      <c r="BP43" s="230">
        <v>23994</v>
      </c>
      <c r="BQ43" s="230">
        <v>-3834</v>
      </c>
      <c r="BR43" s="229">
        <v>-0.1598</v>
      </c>
      <c r="BS43" s="230">
        <v>1813605</v>
      </c>
      <c r="BT43" s="230">
        <v>2129809</v>
      </c>
      <c r="BU43" s="230">
        <v>-316204</v>
      </c>
      <c r="BV43" s="229">
        <v>-0.14849999999999999</v>
      </c>
      <c r="BW43" s="230">
        <v>15092000</v>
      </c>
      <c r="BX43" s="230">
        <v>15470950</v>
      </c>
      <c r="BY43" s="230">
        <v>-378950</v>
      </c>
      <c r="BZ43" s="229">
        <v>-2.4500000000000001E-2</v>
      </c>
      <c r="CA43" s="230">
        <v>799150</v>
      </c>
      <c r="CB43" s="230">
        <v>2376550</v>
      </c>
      <c r="CC43" s="230">
        <v>-1577400</v>
      </c>
      <c r="CD43" s="229">
        <v>-0.66369999999999996</v>
      </c>
      <c r="CE43" s="230">
        <v>14580500</v>
      </c>
      <c r="CF43" s="230">
        <v>12593350</v>
      </c>
      <c r="CG43" s="230">
        <v>1987150</v>
      </c>
      <c r="CH43" s="229">
        <v>0.1578</v>
      </c>
      <c r="CI43" s="230">
        <v>511500</v>
      </c>
      <c r="CJ43" s="230">
        <v>501050</v>
      </c>
      <c r="CK43" s="230">
        <v>10450</v>
      </c>
      <c r="CL43" s="229">
        <v>2.0899999999999998E-2</v>
      </c>
      <c r="CM43" s="230">
        <v>1141250</v>
      </c>
      <c r="CN43" s="230">
        <v>4711850</v>
      </c>
      <c r="CO43" s="230">
        <v>-3570600</v>
      </c>
      <c r="CP43" s="229">
        <v>-0.75780000000000003</v>
      </c>
      <c r="CQ43" s="230">
        <v>901450</v>
      </c>
      <c r="CR43" s="230">
        <v>3136100</v>
      </c>
      <c r="CS43" s="230">
        <v>-2234650</v>
      </c>
      <c r="CT43" s="229">
        <v>-0.71260000000000001</v>
      </c>
      <c r="CU43" s="230">
        <v>17134700</v>
      </c>
      <c r="CV43" s="230">
        <v>23318900</v>
      </c>
      <c r="CW43" s="230">
        <v>-6184200</v>
      </c>
      <c r="CX43" s="229">
        <v>-0.26519999999999999</v>
      </c>
      <c r="CY43" s="228">
        <v>22.45</v>
      </c>
      <c r="CZ43" s="228">
        <v>23.19</v>
      </c>
      <c r="DA43" s="228">
        <v>-0.74</v>
      </c>
      <c r="DB43" s="228">
        <v>-0.74</v>
      </c>
      <c r="DC43" s="228">
        <v>28.8</v>
      </c>
      <c r="DD43" s="228">
        <v>28.87</v>
      </c>
      <c r="DE43" s="228">
        <v>-6.35</v>
      </c>
      <c r="DF43" s="228">
        <v>-7.0000000000000007E-2</v>
      </c>
      <c r="DG43" s="228">
        <v>22.83</v>
      </c>
      <c r="DH43" s="228">
        <v>23.06</v>
      </c>
      <c r="DI43" s="228">
        <v>-0.23</v>
      </c>
      <c r="DJ43" s="228">
        <v>-0.23</v>
      </c>
      <c r="DK43" s="228">
        <v>21.64</v>
      </c>
      <c r="DL43" s="228">
        <v>23.46</v>
      </c>
      <c r="DM43" s="228">
        <v>-1.82</v>
      </c>
      <c r="DN43" s="228">
        <v>-1.82</v>
      </c>
      <c r="DO43" s="228">
        <v>0.79</v>
      </c>
      <c r="DP43" s="228">
        <v>0.67</v>
      </c>
      <c r="DQ43" s="228">
        <v>0.12</v>
      </c>
      <c r="DR43" s="229">
        <v>0.17910000000000001</v>
      </c>
      <c r="DS43" s="231">
        <v>1250</v>
      </c>
      <c r="DT43" s="231">
        <v>1100</v>
      </c>
      <c r="DU43" s="228">
        <v>0.45</v>
      </c>
      <c r="DV43" s="228">
        <v>0.43</v>
      </c>
      <c r="DW43" s="228">
        <v>0.02</v>
      </c>
      <c r="DX43" s="229">
        <v>4.65E-2</v>
      </c>
      <c r="DY43" s="229">
        <v>0.94969999999999999</v>
      </c>
      <c r="DZ43" s="230">
        <v>13094400</v>
      </c>
      <c r="EA43" s="229">
        <v>8.0000000000000002E-3</v>
      </c>
      <c r="EB43" s="229">
        <v>0.94969999999999999</v>
      </c>
      <c r="EC43" s="228">
        <v>10.029999999999999</v>
      </c>
      <c r="ED43" s="229">
        <v>8.3999999999999995E-3</v>
      </c>
      <c r="EE43" s="230">
        <v>1002014</v>
      </c>
      <c r="EF43" s="230">
        <v>1376316</v>
      </c>
      <c r="EG43" s="229">
        <v>-0.27200000000000002</v>
      </c>
      <c r="EH43" s="229">
        <v>0.55249999999999999</v>
      </c>
      <c r="EI43" s="231">
        <v>40964.720000000001</v>
      </c>
      <c r="EJ43" s="231">
        <v>17983.7</v>
      </c>
      <c r="EK43" s="231">
        <v>75096.210000000006</v>
      </c>
      <c r="EL43" s="231">
        <v>10466</v>
      </c>
      <c r="EM43" s="231">
        <v>134044.63</v>
      </c>
      <c r="EN43" s="231">
        <v>159021.47</v>
      </c>
      <c r="EO43" s="231">
        <v>-24976.84</v>
      </c>
      <c r="EP43" s="229">
        <v>-0.15709999999999999</v>
      </c>
      <c r="EQ43" s="231">
        <v>14195</v>
      </c>
      <c r="ER43" s="231">
        <v>10600</v>
      </c>
      <c r="ES43" s="231">
        <v>180793</v>
      </c>
      <c r="ET43" s="231">
        <v>65472757</v>
      </c>
      <c r="EU43" s="231">
        <v>205589</v>
      </c>
      <c r="EV43" s="231">
        <v>280992</v>
      </c>
      <c r="EW43" s="231">
        <v>-75403</v>
      </c>
      <c r="EX43" s="229">
        <v>-0.26829999999999998</v>
      </c>
      <c r="EY43" s="229">
        <v>0.26169999999999999</v>
      </c>
    </row>
    <row r="44" spans="1:155" ht="17.25" thickBot="1" x14ac:dyDescent="0.3">
      <c r="A44" s="226">
        <v>46168</v>
      </c>
      <c r="B44" s="227" t="s">
        <v>227</v>
      </c>
      <c r="C44" s="227" t="s">
        <v>294</v>
      </c>
      <c r="D44" s="228">
        <v>208.1</v>
      </c>
      <c r="E44" s="228">
        <v>207.97</v>
      </c>
      <c r="F44" s="228">
        <v>0.13</v>
      </c>
      <c r="G44" s="229">
        <v>5.9999999999999995E-4</v>
      </c>
      <c r="H44" s="228">
        <v>210.47</v>
      </c>
      <c r="I44" s="228">
        <v>210.22</v>
      </c>
      <c r="J44" s="228">
        <v>0.25</v>
      </c>
      <c r="K44" s="229">
        <v>1.1999999999999999E-3</v>
      </c>
      <c r="L44" s="228">
        <v>210.32</v>
      </c>
      <c r="M44" s="228">
        <v>210.65</v>
      </c>
      <c r="N44" s="228">
        <v>-0.33</v>
      </c>
      <c r="O44" s="229">
        <v>-1.6000000000000001E-3</v>
      </c>
      <c r="P44" s="228">
        <v>208.1</v>
      </c>
      <c r="Q44" s="228">
        <v>207.97</v>
      </c>
      <c r="R44" s="228">
        <v>0.13</v>
      </c>
      <c r="S44" s="229">
        <v>5.9999999999999995E-4</v>
      </c>
      <c r="T44" s="228">
        <v>209.39</v>
      </c>
      <c r="U44" s="228">
        <v>209.02</v>
      </c>
      <c r="V44" s="228">
        <v>0.37</v>
      </c>
      <c r="W44" s="229">
        <v>1.8E-3</v>
      </c>
      <c r="X44" s="228">
        <v>-2.37</v>
      </c>
      <c r="Y44" s="228">
        <v>0.43</v>
      </c>
      <c r="Z44" s="228">
        <v>-2.8</v>
      </c>
      <c r="AA44" s="229">
        <v>-1.1299999999999999E-2</v>
      </c>
      <c r="AB44" s="228">
        <v>-0.15</v>
      </c>
      <c r="AC44" s="228">
        <v>0.43</v>
      </c>
      <c r="AD44" s="228">
        <v>-0.57999999999999996</v>
      </c>
      <c r="AE44" s="229">
        <v>-6.9999999999999999E-4</v>
      </c>
      <c r="AF44" s="228">
        <v>-2.37</v>
      </c>
      <c r="AG44" s="228">
        <v>-2.25</v>
      </c>
      <c r="AH44" s="228">
        <v>-0.12</v>
      </c>
      <c r="AI44" s="229">
        <v>-1.1299999999999999E-2</v>
      </c>
      <c r="AJ44" s="228">
        <v>-1.08</v>
      </c>
      <c r="AK44" s="228">
        <v>-1.2</v>
      </c>
      <c r="AL44" s="228">
        <v>0.12</v>
      </c>
      <c r="AM44" s="229">
        <v>-5.1000000000000004E-3</v>
      </c>
      <c r="AN44" s="228">
        <v>210.29</v>
      </c>
      <c r="AO44" s="228">
        <v>207.83</v>
      </c>
      <c r="AP44" s="228">
        <v>0</v>
      </c>
      <c r="AQ44" s="230">
        <v>29886</v>
      </c>
      <c r="AR44" s="230">
        <v>30326</v>
      </c>
      <c r="AS44" s="228">
        <v>-440</v>
      </c>
      <c r="AT44" s="229">
        <v>-1.4500000000000001E-2</v>
      </c>
      <c r="AU44" s="230">
        <v>12848</v>
      </c>
      <c r="AV44" s="230">
        <v>15416</v>
      </c>
      <c r="AW44" s="230">
        <v>-2568</v>
      </c>
      <c r="AX44" s="229">
        <v>-0.1666</v>
      </c>
      <c r="AY44" s="230">
        <v>16736</v>
      </c>
      <c r="AZ44" s="230">
        <v>14689</v>
      </c>
      <c r="BA44" s="230">
        <v>2047</v>
      </c>
      <c r="BB44" s="229">
        <v>0.1394</v>
      </c>
      <c r="BC44" s="228">
        <v>302</v>
      </c>
      <c r="BD44" s="228">
        <v>221</v>
      </c>
      <c r="BE44" s="228">
        <v>81</v>
      </c>
      <c r="BF44" s="229">
        <v>0.36649999999999999</v>
      </c>
      <c r="BG44" s="230">
        <v>37099</v>
      </c>
      <c r="BH44" s="230">
        <v>61978</v>
      </c>
      <c r="BI44" s="230">
        <v>-24879</v>
      </c>
      <c r="BJ44" s="229">
        <v>-0.40139999999999998</v>
      </c>
      <c r="BK44" s="230">
        <v>25322</v>
      </c>
      <c r="BL44" s="230">
        <v>36309</v>
      </c>
      <c r="BM44" s="230">
        <v>-10987</v>
      </c>
      <c r="BN44" s="229">
        <v>-0.30259999999999998</v>
      </c>
      <c r="BO44" s="230">
        <v>92307</v>
      </c>
      <c r="BP44" s="230">
        <v>128613</v>
      </c>
      <c r="BQ44" s="230">
        <v>-36306</v>
      </c>
      <c r="BR44" s="229">
        <v>-0.2823</v>
      </c>
      <c r="BS44" s="230">
        <v>18306305</v>
      </c>
      <c r="BT44" s="230">
        <v>24611794</v>
      </c>
      <c r="BU44" s="230">
        <v>-6305489</v>
      </c>
      <c r="BV44" s="229">
        <v>-0.25619999999999998</v>
      </c>
      <c r="BW44" s="230">
        <v>191721750</v>
      </c>
      <c r="BX44" s="230">
        <v>206508500</v>
      </c>
      <c r="BY44" s="230">
        <v>-14786750</v>
      </c>
      <c r="BZ44" s="229">
        <v>-7.1599999999999997E-2</v>
      </c>
      <c r="CA44" s="230">
        <v>25792250</v>
      </c>
      <c r="CB44" s="230">
        <v>34559250</v>
      </c>
      <c r="CC44" s="230">
        <v>-8767000</v>
      </c>
      <c r="CD44" s="229">
        <v>-0.25369999999999998</v>
      </c>
      <c r="CE44" s="230">
        <v>157602500</v>
      </c>
      <c r="CF44" s="230">
        <v>138107750</v>
      </c>
      <c r="CG44" s="230">
        <v>19494750</v>
      </c>
      <c r="CH44" s="229">
        <v>0.14119999999999999</v>
      </c>
      <c r="CI44" s="230">
        <v>34119250</v>
      </c>
      <c r="CJ44" s="230">
        <v>33841500</v>
      </c>
      <c r="CK44" s="230">
        <v>277750</v>
      </c>
      <c r="CL44" s="229">
        <v>8.2000000000000007E-3</v>
      </c>
      <c r="CM44" s="230">
        <v>45523500</v>
      </c>
      <c r="CN44" s="230">
        <v>119897250</v>
      </c>
      <c r="CO44" s="230">
        <v>-74373750</v>
      </c>
      <c r="CP44" s="229">
        <v>-0.62029999999999996</v>
      </c>
      <c r="CQ44" s="230">
        <v>27203000</v>
      </c>
      <c r="CR44" s="230">
        <v>72283750</v>
      </c>
      <c r="CS44" s="230">
        <v>-45080750</v>
      </c>
      <c r="CT44" s="229">
        <v>-0.62370000000000003</v>
      </c>
      <c r="CU44" s="230">
        <v>264448250</v>
      </c>
      <c r="CV44" s="230">
        <v>398689500</v>
      </c>
      <c r="CW44" s="230">
        <v>-134241250</v>
      </c>
      <c r="CX44" s="229">
        <v>-0.3367</v>
      </c>
      <c r="CY44" s="228">
        <v>25.17</v>
      </c>
      <c r="CZ44" s="228">
        <v>26.36</v>
      </c>
      <c r="DA44" s="228">
        <v>-1.19</v>
      </c>
      <c r="DB44" s="228">
        <v>-1.19</v>
      </c>
      <c r="DC44" s="228">
        <v>35.090000000000003</v>
      </c>
      <c r="DD44" s="228">
        <v>35.18</v>
      </c>
      <c r="DE44" s="228">
        <v>-9.92</v>
      </c>
      <c r="DF44" s="228">
        <v>-0.09</v>
      </c>
      <c r="DG44" s="228">
        <v>25.44</v>
      </c>
      <c r="DH44" s="228">
        <v>26.48</v>
      </c>
      <c r="DI44" s="228">
        <v>-1.04</v>
      </c>
      <c r="DJ44" s="228">
        <v>-1.04</v>
      </c>
      <c r="DK44" s="228">
        <v>24.74</v>
      </c>
      <c r="DL44" s="228">
        <v>26.11</v>
      </c>
      <c r="DM44" s="228">
        <v>-1.37</v>
      </c>
      <c r="DN44" s="228">
        <v>-1.37</v>
      </c>
      <c r="DO44" s="228">
        <v>0.6</v>
      </c>
      <c r="DP44" s="228">
        <v>0.6</v>
      </c>
      <c r="DQ44" s="228">
        <v>0</v>
      </c>
      <c r="DR44" s="229">
        <v>0</v>
      </c>
      <c r="DS44" s="228">
        <v>210</v>
      </c>
      <c r="DT44" s="228">
        <v>210</v>
      </c>
      <c r="DU44" s="228">
        <v>0.68</v>
      </c>
      <c r="DV44" s="228">
        <v>0.59</v>
      </c>
      <c r="DW44" s="228">
        <v>0.09</v>
      </c>
      <c r="DX44" s="229">
        <v>0.1525</v>
      </c>
      <c r="DY44" s="229">
        <v>0.88139999999999996</v>
      </c>
      <c r="DZ44" s="230">
        <v>171949250</v>
      </c>
      <c r="EA44" s="229">
        <v>-1.06E-2</v>
      </c>
      <c r="EB44" s="229">
        <v>0.88139999999999996</v>
      </c>
      <c r="EC44" s="228">
        <v>-2.46</v>
      </c>
      <c r="ED44" s="229">
        <v>-1.17E-2</v>
      </c>
      <c r="EE44" s="230">
        <v>7642496</v>
      </c>
      <c r="EF44" s="230">
        <v>12806927</v>
      </c>
      <c r="EG44" s="229">
        <v>-0.40329999999999999</v>
      </c>
      <c r="EH44" s="229">
        <v>0.41749999999999998</v>
      </c>
      <c r="EI44" s="231">
        <v>220447.01</v>
      </c>
      <c r="EJ44" s="231">
        <v>145634.09</v>
      </c>
      <c r="EK44" s="231">
        <v>171688.92</v>
      </c>
      <c r="EL44" s="231">
        <v>29986</v>
      </c>
      <c r="EM44" s="231">
        <v>537770.02</v>
      </c>
      <c r="EN44" s="231">
        <v>749514.87</v>
      </c>
      <c r="EO44" s="231">
        <v>-211744.85</v>
      </c>
      <c r="EP44" s="229">
        <v>-0.28249999999999997</v>
      </c>
      <c r="EQ44" s="231">
        <v>99099</v>
      </c>
      <c r="ER44" s="231">
        <v>55622</v>
      </c>
      <c r="ES44" s="231">
        <v>399413</v>
      </c>
      <c r="ET44" s="231">
        <v>1049350971</v>
      </c>
      <c r="EU44" s="231">
        <v>554134</v>
      </c>
      <c r="EV44" s="231">
        <v>840282</v>
      </c>
      <c r="EW44" s="231">
        <v>-286148</v>
      </c>
      <c r="EX44" s="229">
        <v>-0.34050000000000002</v>
      </c>
      <c r="EY44" s="229">
        <v>0.252</v>
      </c>
    </row>
    <row r="45" spans="1:155" ht="17.25" thickBot="1" x14ac:dyDescent="0.3">
      <c r="A45" s="226">
        <v>46168</v>
      </c>
      <c r="B45" s="227" t="s">
        <v>221</v>
      </c>
      <c r="C45" s="227" t="s">
        <v>295</v>
      </c>
      <c r="D45" s="231">
        <v>2287.5</v>
      </c>
      <c r="E45" s="231">
        <v>2277.6999999999998</v>
      </c>
      <c r="F45" s="228">
        <v>9.8000000000000007</v>
      </c>
      <c r="G45" s="229">
        <v>4.3E-3</v>
      </c>
      <c r="H45" s="231">
        <v>2276.1999999999998</v>
      </c>
      <c r="I45" s="231">
        <v>2308.1999999999998</v>
      </c>
      <c r="J45" s="228">
        <v>-32</v>
      </c>
      <c r="K45" s="229">
        <v>-1.3899999999999999E-2</v>
      </c>
      <c r="L45" s="231">
        <v>2275.6999999999998</v>
      </c>
      <c r="M45" s="231">
        <v>2316.4</v>
      </c>
      <c r="N45" s="228">
        <v>-40.700000000000003</v>
      </c>
      <c r="O45" s="229">
        <v>-1.7600000000000001E-2</v>
      </c>
      <c r="P45" s="231">
        <v>2287.5</v>
      </c>
      <c r="Q45" s="231">
        <v>2277.6999999999998</v>
      </c>
      <c r="R45" s="228">
        <v>9.8000000000000007</v>
      </c>
      <c r="S45" s="229">
        <v>4.3E-3</v>
      </c>
      <c r="T45" s="231">
        <v>2281.1</v>
      </c>
      <c r="U45" s="231">
        <v>2268.6</v>
      </c>
      <c r="V45" s="228">
        <v>12.5</v>
      </c>
      <c r="W45" s="229">
        <v>5.4999999999999997E-3</v>
      </c>
      <c r="X45" s="228">
        <v>11.3</v>
      </c>
      <c r="Y45" s="228">
        <v>8.1999999999999993</v>
      </c>
      <c r="Z45" s="228">
        <v>3.1</v>
      </c>
      <c r="AA45" s="229">
        <v>5.0000000000000001E-3</v>
      </c>
      <c r="AB45" s="228">
        <v>-0.5</v>
      </c>
      <c r="AC45" s="228">
        <v>8.1999999999999993</v>
      </c>
      <c r="AD45" s="228">
        <v>-8.6999999999999993</v>
      </c>
      <c r="AE45" s="229">
        <v>-2.0000000000000001E-4</v>
      </c>
      <c r="AF45" s="228">
        <v>11.3</v>
      </c>
      <c r="AG45" s="228">
        <v>-30.5</v>
      </c>
      <c r="AH45" s="228">
        <v>41.8</v>
      </c>
      <c r="AI45" s="229">
        <v>5.0000000000000001E-3</v>
      </c>
      <c r="AJ45" s="228">
        <v>4.9000000000000004</v>
      </c>
      <c r="AK45" s="228">
        <v>-39.6</v>
      </c>
      <c r="AL45" s="228">
        <v>44.5</v>
      </c>
      <c r="AM45" s="229">
        <v>2.2000000000000001E-3</v>
      </c>
      <c r="AN45" s="231">
        <v>2292.7800000000002</v>
      </c>
      <c r="AO45" s="231">
        <v>2292.33</v>
      </c>
      <c r="AP45" s="228">
        <v>0</v>
      </c>
      <c r="AQ45" s="230">
        <v>58848</v>
      </c>
      <c r="AR45" s="230">
        <v>139268</v>
      </c>
      <c r="AS45" s="230">
        <v>-80420</v>
      </c>
      <c r="AT45" s="229">
        <v>-0.57740000000000002</v>
      </c>
      <c r="AU45" s="230">
        <v>23694</v>
      </c>
      <c r="AV45" s="230">
        <v>63134</v>
      </c>
      <c r="AW45" s="230">
        <v>-39440</v>
      </c>
      <c r="AX45" s="229">
        <v>-0.62470000000000003</v>
      </c>
      <c r="AY45" s="230">
        <v>32547</v>
      </c>
      <c r="AZ45" s="230">
        <v>73604</v>
      </c>
      <c r="BA45" s="230">
        <v>-41057</v>
      </c>
      <c r="BB45" s="229">
        <v>-0.55779999999999996</v>
      </c>
      <c r="BC45" s="230">
        <v>2607</v>
      </c>
      <c r="BD45" s="230">
        <v>2530</v>
      </c>
      <c r="BE45" s="228">
        <v>77</v>
      </c>
      <c r="BF45" s="229">
        <v>3.04E-2</v>
      </c>
      <c r="BG45" s="230">
        <v>85105</v>
      </c>
      <c r="BH45" s="230">
        <v>128103</v>
      </c>
      <c r="BI45" s="230">
        <v>-42998</v>
      </c>
      <c r="BJ45" s="229">
        <v>-0.3357</v>
      </c>
      <c r="BK45" s="230">
        <v>55123</v>
      </c>
      <c r="BL45" s="230">
        <v>68647</v>
      </c>
      <c r="BM45" s="230">
        <v>-13524</v>
      </c>
      <c r="BN45" s="229">
        <v>-0.19700000000000001</v>
      </c>
      <c r="BO45" s="230">
        <v>199076</v>
      </c>
      <c r="BP45" s="230">
        <v>336018</v>
      </c>
      <c r="BQ45" s="230">
        <v>-136942</v>
      </c>
      <c r="BR45" s="229">
        <v>-0.40749999999999997</v>
      </c>
      <c r="BS45" s="230">
        <v>3691473</v>
      </c>
      <c r="BT45" s="230">
        <v>3361346</v>
      </c>
      <c r="BU45" s="230">
        <v>330127</v>
      </c>
      <c r="BV45" s="229">
        <v>9.8199999999999996E-2</v>
      </c>
      <c r="BW45" s="230">
        <v>40967925</v>
      </c>
      <c r="BX45" s="230">
        <v>45934650</v>
      </c>
      <c r="BY45" s="230">
        <v>-4966725</v>
      </c>
      <c r="BZ45" s="229">
        <v>-0.1081</v>
      </c>
      <c r="CA45" s="230">
        <v>3077900</v>
      </c>
      <c r="CB45" s="230">
        <v>5402075</v>
      </c>
      <c r="CC45" s="230">
        <v>-2324175</v>
      </c>
      <c r="CD45" s="229">
        <v>-0.43020000000000003</v>
      </c>
      <c r="CE45" s="230">
        <v>39171300</v>
      </c>
      <c r="CF45" s="230">
        <v>39020800</v>
      </c>
      <c r="CG45" s="230">
        <v>150500</v>
      </c>
      <c r="CH45" s="229">
        <v>3.8999999999999998E-3</v>
      </c>
      <c r="CI45" s="230">
        <v>1796625</v>
      </c>
      <c r="CJ45" s="230">
        <v>1511775</v>
      </c>
      <c r="CK45" s="230">
        <v>284850</v>
      </c>
      <c r="CL45" s="229">
        <v>0.18840000000000001</v>
      </c>
      <c r="CM45" s="230">
        <v>7363825</v>
      </c>
      <c r="CN45" s="230">
        <v>18410500</v>
      </c>
      <c r="CO45" s="230">
        <v>-11046675</v>
      </c>
      <c r="CP45" s="229">
        <v>-0.6</v>
      </c>
      <c r="CQ45" s="230">
        <v>7004100</v>
      </c>
      <c r="CR45" s="230">
        <v>12781300</v>
      </c>
      <c r="CS45" s="230">
        <v>-5777200</v>
      </c>
      <c r="CT45" s="229">
        <v>-0.45200000000000001</v>
      </c>
      <c r="CU45" s="230">
        <v>55335850</v>
      </c>
      <c r="CV45" s="230">
        <v>77126450</v>
      </c>
      <c r="CW45" s="230">
        <v>-21790600</v>
      </c>
      <c r="CX45" s="229">
        <v>-0.28249999999999997</v>
      </c>
      <c r="CY45" s="228">
        <v>25.36</v>
      </c>
      <c r="CZ45" s="228">
        <v>26.25</v>
      </c>
      <c r="DA45" s="228">
        <v>-0.89</v>
      </c>
      <c r="DB45" s="228">
        <v>-0.89</v>
      </c>
      <c r="DC45" s="228">
        <v>27.9</v>
      </c>
      <c r="DD45" s="228">
        <v>27.9</v>
      </c>
      <c r="DE45" s="228">
        <v>-2.54</v>
      </c>
      <c r="DF45" s="228">
        <v>0</v>
      </c>
      <c r="DG45" s="228">
        <v>25.27</v>
      </c>
      <c r="DH45" s="228">
        <v>26.5</v>
      </c>
      <c r="DI45" s="228">
        <v>-1.23</v>
      </c>
      <c r="DJ45" s="228">
        <v>-1.23</v>
      </c>
      <c r="DK45" s="228">
        <v>25.52</v>
      </c>
      <c r="DL45" s="228">
        <v>25.83</v>
      </c>
      <c r="DM45" s="228">
        <v>-0.31</v>
      </c>
      <c r="DN45" s="228">
        <v>-0.31</v>
      </c>
      <c r="DO45" s="228">
        <v>0.95</v>
      </c>
      <c r="DP45" s="228">
        <v>0.69</v>
      </c>
      <c r="DQ45" s="228">
        <v>0.26</v>
      </c>
      <c r="DR45" s="229">
        <v>0.37680000000000002</v>
      </c>
      <c r="DS45" s="231">
        <v>2300</v>
      </c>
      <c r="DT45" s="231">
        <v>2300</v>
      </c>
      <c r="DU45" s="228">
        <v>0.65</v>
      </c>
      <c r="DV45" s="228">
        <v>0.54</v>
      </c>
      <c r="DW45" s="228">
        <v>0.11</v>
      </c>
      <c r="DX45" s="229">
        <v>0.20369999999999999</v>
      </c>
      <c r="DY45" s="229">
        <v>0.93010000000000004</v>
      </c>
      <c r="DZ45" s="230">
        <v>40532575</v>
      </c>
      <c r="EA45" s="229">
        <v>5.1999999999999998E-3</v>
      </c>
      <c r="EB45" s="229">
        <v>0.93010000000000004</v>
      </c>
      <c r="EC45" s="228">
        <v>-0.45</v>
      </c>
      <c r="ED45" s="229">
        <v>-2.0000000000000001E-4</v>
      </c>
      <c r="EE45" s="230">
        <v>1867036</v>
      </c>
      <c r="EF45" s="230">
        <v>2125993</v>
      </c>
      <c r="EG45" s="229">
        <v>-0.12180000000000001</v>
      </c>
      <c r="EH45" s="229">
        <v>0.50580000000000003</v>
      </c>
      <c r="EI45" s="231">
        <v>361954.24</v>
      </c>
      <c r="EJ45" s="231">
        <v>233534.97</v>
      </c>
      <c r="EK45" s="231">
        <v>239038.45</v>
      </c>
      <c r="EL45" s="231">
        <v>112886</v>
      </c>
      <c r="EM45" s="231">
        <v>834527.66</v>
      </c>
      <c r="EN45" s="231">
        <v>1392464.49</v>
      </c>
      <c r="EO45" s="231">
        <v>-557936.82999999996</v>
      </c>
      <c r="EP45" s="229">
        <v>-0.4007</v>
      </c>
      <c r="EQ45" s="231">
        <v>176012</v>
      </c>
      <c r="ER45" s="231">
        <v>167319</v>
      </c>
      <c r="ES45" s="231">
        <v>937026</v>
      </c>
      <c r="ET45" s="231">
        <v>153229333</v>
      </c>
      <c r="EU45" s="231">
        <v>1280357</v>
      </c>
      <c r="EV45" s="231">
        <v>1802179</v>
      </c>
      <c r="EW45" s="231">
        <v>-521822</v>
      </c>
      <c r="EX45" s="229">
        <v>-0.28960000000000002</v>
      </c>
      <c r="EY45" s="229">
        <v>0.36109999999999998</v>
      </c>
    </row>
    <row r="46" spans="1:155" ht="17.25" thickBot="1" x14ac:dyDescent="0.3">
      <c r="A46" s="226">
        <v>46168</v>
      </c>
      <c r="B46" s="227" t="s">
        <v>221</v>
      </c>
      <c r="C46" s="227" t="s">
        <v>296</v>
      </c>
      <c r="D46" s="231">
        <v>1452.3</v>
      </c>
      <c r="E46" s="231">
        <v>1427</v>
      </c>
      <c r="F46" s="228">
        <v>25.3</v>
      </c>
      <c r="G46" s="229">
        <v>1.77E-2</v>
      </c>
      <c r="H46" s="231">
        <v>1458.7</v>
      </c>
      <c r="I46" s="231">
        <v>1435.5</v>
      </c>
      <c r="J46" s="228">
        <v>23.2</v>
      </c>
      <c r="K46" s="229">
        <v>1.6199999999999999E-2</v>
      </c>
      <c r="L46" s="231">
        <v>1459.3</v>
      </c>
      <c r="M46" s="231">
        <v>1432</v>
      </c>
      <c r="N46" s="228">
        <v>27.3</v>
      </c>
      <c r="O46" s="229">
        <v>1.9099999999999999E-2</v>
      </c>
      <c r="P46" s="231">
        <v>1452.3</v>
      </c>
      <c r="Q46" s="231">
        <v>1427</v>
      </c>
      <c r="R46" s="228">
        <v>25.3</v>
      </c>
      <c r="S46" s="229">
        <v>1.77E-2</v>
      </c>
      <c r="T46" s="231">
        <v>1451.8</v>
      </c>
      <c r="U46" s="231">
        <v>1429.6</v>
      </c>
      <c r="V46" s="228">
        <v>22.2</v>
      </c>
      <c r="W46" s="229">
        <v>1.55E-2</v>
      </c>
      <c r="X46" s="228">
        <v>-6.4</v>
      </c>
      <c r="Y46" s="228">
        <v>-3.5</v>
      </c>
      <c r="Z46" s="228">
        <v>-2.9</v>
      </c>
      <c r="AA46" s="229">
        <v>-4.4000000000000003E-3</v>
      </c>
      <c r="AB46" s="228">
        <v>0.6</v>
      </c>
      <c r="AC46" s="228">
        <v>-3.5</v>
      </c>
      <c r="AD46" s="228">
        <v>4.0999999999999996</v>
      </c>
      <c r="AE46" s="229">
        <v>4.0000000000000002E-4</v>
      </c>
      <c r="AF46" s="228">
        <v>-6.4</v>
      </c>
      <c r="AG46" s="228">
        <v>-8.5</v>
      </c>
      <c r="AH46" s="228">
        <v>2.1</v>
      </c>
      <c r="AI46" s="229">
        <v>-4.4000000000000003E-3</v>
      </c>
      <c r="AJ46" s="228">
        <v>-6.9</v>
      </c>
      <c r="AK46" s="228">
        <v>-5.9</v>
      </c>
      <c r="AL46" s="228">
        <v>-1</v>
      </c>
      <c r="AM46" s="229">
        <v>-4.7000000000000002E-3</v>
      </c>
      <c r="AN46" s="231">
        <v>1446.42</v>
      </c>
      <c r="AO46" s="231">
        <v>1441.64</v>
      </c>
      <c r="AP46" s="228">
        <v>0</v>
      </c>
      <c r="AQ46" s="230">
        <v>12293</v>
      </c>
      <c r="AR46" s="230">
        <v>19252</v>
      </c>
      <c r="AS46" s="230">
        <v>-6959</v>
      </c>
      <c r="AT46" s="229">
        <v>-0.36149999999999999</v>
      </c>
      <c r="AU46" s="230">
        <v>5525</v>
      </c>
      <c r="AV46" s="230">
        <v>9698</v>
      </c>
      <c r="AW46" s="230">
        <v>-4173</v>
      </c>
      <c r="AX46" s="229">
        <v>-0.43030000000000002</v>
      </c>
      <c r="AY46" s="230">
        <v>6644</v>
      </c>
      <c r="AZ46" s="230">
        <v>9481</v>
      </c>
      <c r="BA46" s="230">
        <v>-2837</v>
      </c>
      <c r="BB46" s="229">
        <v>-0.29920000000000002</v>
      </c>
      <c r="BC46" s="228">
        <v>124</v>
      </c>
      <c r="BD46" s="228">
        <v>73</v>
      </c>
      <c r="BE46" s="228">
        <v>51</v>
      </c>
      <c r="BF46" s="229">
        <v>0.6986</v>
      </c>
      <c r="BG46" s="230">
        <v>9535</v>
      </c>
      <c r="BH46" s="230">
        <v>14381</v>
      </c>
      <c r="BI46" s="230">
        <v>-4846</v>
      </c>
      <c r="BJ46" s="229">
        <v>-0.33700000000000002</v>
      </c>
      <c r="BK46" s="230">
        <v>4243</v>
      </c>
      <c r="BL46" s="230">
        <v>6020</v>
      </c>
      <c r="BM46" s="230">
        <v>-1777</v>
      </c>
      <c r="BN46" s="229">
        <v>-0.29520000000000002</v>
      </c>
      <c r="BO46" s="230">
        <v>26071</v>
      </c>
      <c r="BP46" s="230">
        <v>39653</v>
      </c>
      <c r="BQ46" s="230">
        <v>-13582</v>
      </c>
      <c r="BR46" s="229">
        <v>-0.34250000000000003</v>
      </c>
      <c r="BS46" s="230">
        <v>2015415</v>
      </c>
      <c r="BT46" s="230">
        <v>924688</v>
      </c>
      <c r="BU46" s="230">
        <v>1090727</v>
      </c>
      <c r="BV46" s="229">
        <v>1.1796</v>
      </c>
      <c r="BW46" s="230">
        <v>18333600</v>
      </c>
      <c r="BX46" s="230">
        <v>19064400</v>
      </c>
      <c r="BY46" s="230">
        <v>-730800</v>
      </c>
      <c r="BZ46" s="229">
        <v>-3.8300000000000001E-2</v>
      </c>
      <c r="CA46" s="230">
        <v>1281000</v>
      </c>
      <c r="CB46" s="230">
        <v>2856600</v>
      </c>
      <c r="CC46" s="230">
        <v>-1575600</v>
      </c>
      <c r="CD46" s="229">
        <v>-0.55159999999999998</v>
      </c>
      <c r="CE46" s="230">
        <v>18177000</v>
      </c>
      <c r="CF46" s="230">
        <v>16098000</v>
      </c>
      <c r="CG46" s="230">
        <v>2079000</v>
      </c>
      <c r="CH46" s="229">
        <v>0.12909999999999999</v>
      </c>
      <c r="CI46" s="230">
        <v>156600</v>
      </c>
      <c r="CJ46" s="230">
        <v>109800</v>
      </c>
      <c r="CK46" s="230">
        <v>46800</v>
      </c>
      <c r="CL46" s="229">
        <v>0.42620000000000002</v>
      </c>
      <c r="CM46" s="230">
        <v>2473200</v>
      </c>
      <c r="CN46" s="230">
        <v>9961200</v>
      </c>
      <c r="CO46" s="230">
        <v>-7488000</v>
      </c>
      <c r="CP46" s="229">
        <v>-0.75170000000000003</v>
      </c>
      <c r="CQ46" s="230">
        <v>1987800</v>
      </c>
      <c r="CR46" s="230">
        <v>6251400</v>
      </c>
      <c r="CS46" s="230">
        <v>-4263600</v>
      </c>
      <c r="CT46" s="229">
        <v>-0.68200000000000005</v>
      </c>
      <c r="CU46" s="230">
        <v>22794600</v>
      </c>
      <c r="CV46" s="230">
        <v>35277000</v>
      </c>
      <c r="CW46" s="230">
        <v>-12482400</v>
      </c>
      <c r="CX46" s="229">
        <v>-0.3538</v>
      </c>
      <c r="CY46" s="228">
        <v>26.26</v>
      </c>
      <c r="CZ46" s="228">
        <v>27.67</v>
      </c>
      <c r="DA46" s="228">
        <v>-1.41</v>
      </c>
      <c r="DB46" s="228">
        <v>-1.41</v>
      </c>
      <c r="DC46" s="228">
        <v>32.85</v>
      </c>
      <c r="DD46" s="228">
        <v>32.86</v>
      </c>
      <c r="DE46" s="228">
        <v>-6.59</v>
      </c>
      <c r="DF46" s="228">
        <v>-0.01</v>
      </c>
      <c r="DG46" s="228">
        <v>25.92</v>
      </c>
      <c r="DH46" s="228">
        <v>27.41</v>
      </c>
      <c r="DI46" s="228">
        <v>-1.49</v>
      </c>
      <c r="DJ46" s="228">
        <v>-1.49</v>
      </c>
      <c r="DK46" s="228">
        <v>27.18</v>
      </c>
      <c r="DL46" s="228">
        <v>28.18</v>
      </c>
      <c r="DM46" s="228">
        <v>-1</v>
      </c>
      <c r="DN46" s="228">
        <v>-1</v>
      </c>
      <c r="DO46" s="228">
        <v>0.8</v>
      </c>
      <c r="DP46" s="228">
        <v>0.63</v>
      </c>
      <c r="DQ46" s="228">
        <v>0.17</v>
      </c>
      <c r="DR46" s="229">
        <v>0.26979999999999998</v>
      </c>
      <c r="DS46" s="231">
        <v>1460</v>
      </c>
      <c r="DT46" s="231">
        <v>1380</v>
      </c>
      <c r="DU46" s="228">
        <v>0.44</v>
      </c>
      <c r="DV46" s="228">
        <v>0.42</v>
      </c>
      <c r="DW46" s="228">
        <v>0.02</v>
      </c>
      <c r="DX46" s="229">
        <v>4.7600000000000003E-2</v>
      </c>
      <c r="DY46" s="229">
        <v>0.93469999999999998</v>
      </c>
      <c r="DZ46" s="230">
        <v>16207800</v>
      </c>
      <c r="EA46" s="229">
        <v>-4.7999999999999996E-3</v>
      </c>
      <c r="EB46" s="229">
        <v>0.93469999999999998</v>
      </c>
      <c r="EC46" s="228">
        <v>-4.78</v>
      </c>
      <c r="ED46" s="229">
        <v>-3.3E-3</v>
      </c>
      <c r="EE46" s="230">
        <v>1242414</v>
      </c>
      <c r="EF46" s="230">
        <v>293494</v>
      </c>
      <c r="EG46" s="229">
        <v>3.2332000000000001</v>
      </c>
      <c r="EH46" s="229">
        <v>0.61650000000000005</v>
      </c>
      <c r="EI46" s="231">
        <v>85688.23</v>
      </c>
      <c r="EJ46" s="231">
        <v>36451.19</v>
      </c>
      <c r="EK46" s="231">
        <v>106492.36</v>
      </c>
      <c r="EL46" s="231">
        <v>18805</v>
      </c>
      <c r="EM46" s="231">
        <v>228631.78</v>
      </c>
      <c r="EN46" s="231">
        <v>343905.98</v>
      </c>
      <c r="EO46" s="231">
        <v>-115274.2</v>
      </c>
      <c r="EP46" s="229">
        <v>-0.3352</v>
      </c>
      <c r="EQ46" s="231">
        <v>37145</v>
      </c>
      <c r="ER46" s="231">
        <v>27913</v>
      </c>
      <c r="ES46" s="231">
        <v>266258</v>
      </c>
      <c r="ET46" s="231">
        <v>95553300</v>
      </c>
      <c r="EU46" s="231">
        <v>331316</v>
      </c>
      <c r="EV46" s="231">
        <v>507151</v>
      </c>
      <c r="EW46" s="231">
        <v>-175835</v>
      </c>
      <c r="EX46" s="229">
        <v>-0.34670000000000001</v>
      </c>
      <c r="EY46" s="229">
        <v>0.23860000000000001</v>
      </c>
    </row>
    <row r="47" spans="1:155" ht="17.25" thickBot="1" x14ac:dyDescent="0.3">
      <c r="A47" s="226">
        <v>46168</v>
      </c>
      <c r="B47" s="227" t="s">
        <v>168</v>
      </c>
      <c r="C47" s="227" t="s">
        <v>297</v>
      </c>
      <c r="D47" s="231">
        <v>4133.3999999999996</v>
      </c>
      <c r="E47" s="231">
        <v>4176</v>
      </c>
      <c r="F47" s="228">
        <v>-42.6</v>
      </c>
      <c r="G47" s="229">
        <v>-1.0200000000000001E-2</v>
      </c>
      <c r="H47" s="231">
        <v>4105.8999999999996</v>
      </c>
      <c r="I47" s="231">
        <v>4159.2</v>
      </c>
      <c r="J47" s="228">
        <v>-53.3</v>
      </c>
      <c r="K47" s="229">
        <v>-1.2800000000000001E-2</v>
      </c>
      <c r="L47" s="231">
        <v>4100.5</v>
      </c>
      <c r="M47" s="231">
        <v>4157.7</v>
      </c>
      <c r="N47" s="228">
        <v>-57.2</v>
      </c>
      <c r="O47" s="229">
        <v>-1.38E-2</v>
      </c>
      <c r="P47" s="231">
        <v>4133.3999999999996</v>
      </c>
      <c r="Q47" s="231">
        <v>4176</v>
      </c>
      <c r="R47" s="228">
        <v>-42.6</v>
      </c>
      <c r="S47" s="229">
        <v>-1.0200000000000001E-2</v>
      </c>
      <c r="T47" s="231">
        <v>4143.8</v>
      </c>
      <c r="U47" s="231">
        <v>4197.8</v>
      </c>
      <c r="V47" s="228">
        <v>-54</v>
      </c>
      <c r="W47" s="229">
        <v>-1.29E-2</v>
      </c>
      <c r="X47" s="228">
        <v>27.5</v>
      </c>
      <c r="Y47" s="228">
        <v>-1.5</v>
      </c>
      <c r="Z47" s="228">
        <v>29</v>
      </c>
      <c r="AA47" s="229">
        <v>6.7000000000000002E-3</v>
      </c>
      <c r="AB47" s="228">
        <v>-5.4</v>
      </c>
      <c r="AC47" s="228">
        <v>-1.5</v>
      </c>
      <c r="AD47" s="228">
        <v>-3.9</v>
      </c>
      <c r="AE47" s="229">
        <v>-1.2999999999999999E-3</v>
      </c>
      <c r="AF47" s="228">
        <v>27.5</v>
      </c>
      <c r="AG47" s="228">
        <v>16.8</v>
      </c>
      <c r="AH47" s="228">
        <v>10.7</v>
      </c>
      <c r="AI47" s="229">
        <v>6.7000000000000002E-3</v>
      </c>
      <c r="AJ47" s="228">
        <v>37.9</v>
      </c>
      <c r="AK47" s="228">
        <v>38.6</v>
      </c>
      <c r="AL47" s="228">
        <v>-0.7</v>
      </c>
      <c r="AM47" s="229">
        <v>9.1999999999999998E-3</v>
      </c>
      <c r="AN47" s="231">
        <v>4121.49</v>
      </c>
      <c r="AO47" s="231">
        <v>4150.05</v>
      </c>
      <c r="AP47" s="228">
        <v>0</v>
      </c>
      <c r="AQ47" s="230">
        <v>16070</v>
      </c>
      <c r="AR47" s="230">
        <v>27033</v>
      </c>
      <c r="AS47" s="230">
        <v>-10963</v>
      </c>
      <c r="AT47" s="229">
        <v>-0.40550000000000003</v>
      </c>
      <c r="AU47" s="230">
        <v>7204</v>
      </c>
      <c r="AV47" s="230">
        <v>13648</v>
      </c>
      <c r="AW47" s="230">
        <v>-6444</v>
      </c>
      <c r="AX47" s="229">
        <v>-0.47220000000000001</v>
      </c>
      <c r="AY47" s="230">
        <v>8567</v>
      </c>
      <c r="AZ47" s="230">
        <v>12601</v>
      </c>
      <c r="BA47" s="230">
        <v>-4034</v>
      </c>
      <c r="BB47" s="229">
        <v>-0.3201</v>
      </c>
      <c r="BC47" s="228">
        <v>299</v>
      </c>
      <c r="BD47" s="228">
        <v>784</v>
      </c>
      <c r="BE47" s="228">
        <v>-485</v>
      </c>
      <c r="BF47" s="229">
        <v>-0.61860000000000004</v>
      </c>
      <c r="BG47" s="230">
        <v>30341</v>
      </c>
      <c r="BH47" s="230">
        <v>52103</v>
      </c>
      <c r="BI47" s="230">
        <v>-21762</v>
      </c>
      <c r="BJ47" s="229">
        <v>-0.41770000000000002</v>
      </c>
      <c r="BK47" s="230">
        <v>16667</v>
      </c>
      <c r="BL47" s="230">
        <v>25113</v>
      </c>
      <c r="BM47" s="230">
        <v>-8446</v>
      </c>
      <c r="BN47" s="229">
        <v>-0.33629999999999999</v>
      </c>
      <c r="BO47" s="230">
        <v>63078</v>
      </c>
      <c r="BP47" s="230">
        <v>104249</v>
      </c>
      <c r="BQ47" s="230">
        <v>-41171</v>
      </c>
      <c r="BR47" s="229">
        <v>-0.39489999999999997</v>
      </c>
      <c r="BS47" s="230">
        <v>785558</v>
      </c>
      <c r="BT47" s="230">
        <v>642069</v>
      </c>
      <c r="BU47" s="230">
        <v>143489</v>
      </c>
      <c r="BV47" s="229">
        <v>0.2235</v>
      </c>
      <c r="BW47" s="230">
        <v>7994875</v>
      </c>
      <c r="BX47" s="230">
        <v>8635375</v>
      </c>
      <c r="BY47" s="230">
        <v>-640500</v>
      </c>
      <c r="BZ47" s="229">
        <v>-7.4200000000000002E-2</v>
      </c>
      <c r="CA47" s="230">
        <v>730800</v>
      </c>
      <c r="CB47" s="230">
        <v>1455125</v>
      </c>
      <c r="CC47" s="230">
        <v>-724325</v>
      </c>
      <c r="CD47" s="229">
        <v>-0.49780000000000002</v>
      </c>
      <c r="CE47" s="230">
        <v>7039200</v>
      </c>
      <c r="CF47" s="230">
        <v>6255025</v>
      </c>
      <c r="CG47" s="230">
        <v>784175</v>
      </c>
      <c r="CH47" s="229">
        <v>0.12540000000000001</v>
      </c>
      <c r="CI47" s="230">
        <v>955675</v>
      </c>
      <c r="CJ47" s="230">
        <v>925225</v>
      </c>
      <c r="CK47" s="230">
        <v>30450</v>
      </c>
      <c r="CL47" s="229">
        <v>3.2899999999999999E-2</v>
      </c>
      <c r="CM47" s="230">
        <v>1330000</v>
      </c>
      <c r="CN47" s="230">
        <v>5244750</v>
      </c>
      <c r="CO47" s="230">
        <v>-3914750</v>
      </c>
      <c r="CP47" s="229">
        <v>-0.74639999999999995</v>
      </c>
      <c r="CQ47" s="230">
        <v>1011150</v>
      </c>
      <c r="CR47" s="230">
        <v>3010700</v>
      </c>
      <c r="CS47" s="230">
        <v>-1999550</v>
      </c>
      <c r="CT47" s="229">
        <v>-0.66410000000000002</v>
      </c>
      <c r="CU47" s="230">
        <v>10336025</v>
      </c>
      <c r="CV47" s="230">
        <v>16890825</v>
      </c>
      <c r="CW47" s="230">
        <v>-6554800</v>
      </c>
      <c r="CX47" s="229">
        <v>-0.3881</v>
      </c>
      <c r="CY47" s="228">
        <v>20.76</v>
      </c>
      <c r="CZ47" s="228">
        <v>21.26</v>
      </c>
      <c r="DA47" s="228">
        <v>-0.5</v>
      </c>
      <c r="DB47" s="228">
        <v>-0.5</v>
      </c>
      <c r="DC47" s="228">
        <v>29.33</v>
      </c>
      <c r="DD47" s="228">
        <v>29.35</v>
      </c>
      <c r="DE47" s="228">
        <v>-8.57</v>
      </c>
      <c r="DF47" s="228">
        <v>-0.02</v>
      </c>
      <c r="DG47" s="228">
        <v>21.14</v>
      </c>
      <c r="DH47" s="228">
        <v>21.12</v>
      </c>
      <c r="DI47" s="228">
        <v>0.02</v>
      </c>
      <c r="DJ47" s="228">
        <v>0.02</v>
      </c>
      <c r="DK47" s="228">
        <v>20.190000000000001</v>
      </c>
      <c r="DL47" s="228">
        <v>21.53</v>
      </c>
      <c r="DM47" s="228">
        <v>-1.34</v>
      </c>
      <c r="DN47" s="228">
        <v>-1.34</v>
      </c>
      <c r="DO47" s="228">
        <v>0.76</v>
      </c>
      <c r="DP47" s="228">
        <v>0.56999999999999995</v>
      </c>
      <c r="DQ47" s="228">
        <v>0.19</v>
      </c>
      <c r="DR47" s="229">
        <v>0.33329999999999999</v>
      </c>
      <c r="DS47" s="231">
        <v>4500</v>
      </c>
      <c r="DT47" s="231">
        <v>3900</v>
      </c>
      <c r="DU47" s="228">
        <v>0.55000000000000004</v>
      </c>
      <c r="DV47" s="228">
        <v>0.48</v>
      </c>
      <c r="DW47" s="228">
        <v>7.0000000000000007E-2</v>
      </c>
      <c r="DX47" s="229">
        <v>0.14580000000000001</v>
      </c>
      <c r="DY47" s="229">
        <v>0.91620000000000001</v>
      </c>
      <c r="DZ47" s="230">
        <v>7180250</v>
      </c>
      <c r="EA47" s="229">
        <v>8.0000000000000002E-3</v>
      </c>
      <c r="EB47" s="229">
        <v>0.91620000000000001</v>
      </c>
      <c r="EC47" s="228">
        <v>28.56</v>
      </c>
      <c r="ED47" s="229">
        <v>6.8999999999999999E-3</v>
      </c>
      <c r="EE47" s="230">
        <v>479336</v>
      </c>
      <c r="EF47" s="230">
        <v>292535</v>
      </c>
      <c r="EG47" s="229">
        <v>0.63859999999999995</v>
      </c>
      <c r="EH47" s="229">
        <v>0.61019999999999996</v>
      </c>
      <c r="EI47" s="231">
        <v>228278.91</v>
      </c>
      <c r="EJ47" s="231">
        <v>120417.25</v>
      </c>
      <c r="EK47" s="231">
        <v>116361.35</v>
      </c>
      <c r="EL47" s="231">
        <v>18850</v>
      </c>
      <c r="EM47" s="231">
        <v>465057.51</v>
      </c>
      <c r="EN47" s="231">
        <v>768320.05</v>
      </c>
      <c r="EO47" s="231">
        <v>-303262.53999999998</v>
      </c>
      <c r="EP47" s="229">
        <v>-0.3947</v>
      </c>
      <c r="EQ47" s="231">
        <v>57760</v>
      </c>
      <c r="ER47" s="231">
        <v>41079</v>
      </c>
      <c r="ES47" s="231">
        <v>330560</v>
      </c>
      <c r="ET47" s="231">
        <v>41744334</v>
      </c>
      <c r="EU47" s="231">
        <v>429399</v>
      </c>
      <c r="EV47" s="231">
        <v>717444</v>
      </c>
      <c r="EW47" s="231">
        <v>-288045</v>
      </c>
      <c r="EX47" s="229">
        <v>-0.40150000000000002</v>
      </c>
      <c r="EY47" s="229">
        <v>0.24759999999999999</v>
      </c>
    </row>
    <row r="48" spans="1:155" ht="17.25" thickBot="1" x14ac:dyDescent="0.3">
      <c r="A48" s="226">
        <v>46168</v>
      </c>
      <c r="B48" s="227" t="s">
        <v>162</v>
      </c>
      <c r="C48" s="227" t="s">
        <v>685</v>
      </c>
      <c r="D48" s="228">
        <v>385.35</v>
      </c>
      <c r="E48" s="228">
        <v>373.45</v>
      </c>
      <c r="F48" s="228">
        <v>11.9</v>
      </c>
      <c r="G48" s="229">
        <v>3.1899999999999998E-2</v>
      </c>
      <c r="H48" s="228">
        <v>385.6</v>
      </c>
      <c r="I48" s="228">
        <v>373.25</v>
      </c>
      <c r="J48" s="228">
        <v>12.35</v>
      </c>
      <c r="K48" s="229">
        <v>3.3099999999999997E-2</v>
      </c>
      <c r="L48" s="228">
        <v>384.55</v>
      </c>
      <c r="M48" s="228">
        <v>372.8</v>
      </c>
      <c r="N48" s="228">
        <v>11.75</v>
      </c>
      <c r="O48" s="229">
        <v>3.15E-2</v>
      </c>
      <c r="P48" s="228">
        <v>385.35</v>
      </c>
      <c r="Q48" s="228">
        <v>373.45</v>
      </c>
      <c r="R48" s="228">
        <v>11.9</v>
      </c>
      <c r="S48" s="229">
        <v>3.1899999999999998E-2</v>
      </c>
      <c r="T48" s="228">
        <v>386.05</v>
      </c>
      <c r="U48" s="228">
        <v>373.75</v>
      </c>
      <c r="V48" s="228">
        <v>12.3</v>
      </c>
      <c r="W48" s="229">
        <v>3.2899999999999999E-2</v>
      </c>
      <c r="X48" s="228">
        <v>-0.25</v>
      </c>
      <c r="Y48" s="228">
        <v>-0.45</v>
      </c>
      <c r="Z48" s="228">
        <v>0.2</v>
      </c>
      <c r="AA48" s="229">
        <v>-5.9999999999999995E-4</v>
      </c>
      <c r="AB48" s="228">
        <v>-1.05</v>
      </c>
      <c r="AC48" s="228">
        <v>-0.45</v>
      </c>
      <c r="AD48" s="228">
        <v>-0.6</v>
      </c>
      <c r="AE48" s="229">
        <v>-2.7000000000000001E-3</v>
      </c>
      <c r="AF48" s="228">
        <v>-0.25</v>
      </c>
      <c r="AG48" s="228">
        <v>0.2</v>
      </c>
      <c r="AH48" s="228">
        <v>-0.45</v>
      </c>
      <c r="AI48" s="229">
        <v>-5.9999999999999995E-4</v>
      </c>
      <c r="AJ48" s="228">
        <v>0.45</v>
      </c>
      <c r="AK48" s="228">
        <v>0.5</v>
      </c>
      <c r="AL48" s="228">
        <v>-0.05</v>
      </c>
      <c r="AM48" s="229">
        <v>1.1999999999999999E-3</v>
      </c>
      <c r="AN48" s="228">
        <v>380.79</v>
      </c>
      <c r="AO48" s="228">
        <v>382.13</v>
      </c>
      <c r="AP48" s="228">
        <v>0</v>
      </c>
      <c r="AQ48" s="230">
        <v>41581</v>
      </c>
      <c r="AR48" s="230">
        <v>55824</v>
      </c>
      <c r="AS48" s="230">
        <v>-14243</v>
      </c>
      <c r="AT48" s="229">
        <v>-0.25509999999999999</v>
      </c>
      <c r="AU48" s="230">
        <v>15524</v>
      </c>
      <c r="AV48" s="230">
        <v>25464</v>
      </c>
      <c r="AW48" s="230">
        <v>-9940</v>
      </c>
      <c r="AX48" s="229">
        <v>-0.39040000000000002</v>
      </c>
      <c r="AY48" s="230">
        <v>24731</v>
      </c>
      <c r="AZ48" s="230">
        <v>28178</v>
      </c>
      <c r="BA48" s="230">
        <v>-3447</v>
      </c>
      <c r="BB48" s="229">
        <v>-0.12230000000000001</v>
      </c>
      <c r="BC48" s="230">
        <v>1326</v>
      </c>
      <c r="BD48" s="230">
        <v>2182</v>
      </c>
      <c r="BE48" s="228">
        <v>-856</v>
      </c>
      <c r="BF48" s="229">
        <v>-0.39229999999999998</v>
      </c>
      <c r="BG48" s="230">
        <v>118764</v>
      </c>
      <c r="BH48" s="230">
        <v>136814</v>
      </c>
      <c r="BI48" s="230">
        <v>-18050</v>
      </c>
      <c r="BJ48" s="229">
        <v>-0.13189999999999999</v>
      </c>
      <c r="BK48" s="230">
        <v>38427</v>
      </c>
      <c r="BL48" s="230">
        <v>55809</v>
      </c>
      <c r="BM48" s="230">
        <v>-17382</v>
      </c>
      <c r="BN48" s="229">
        <v>-0.3115</v>
      </c>
      <c r="BO48" s="230">
        <v>198772</v>
      </c>
      <c r="BP48" s="230">
        <v>248447</v>
      </c>
      <c r="BQ48" s="230">
        <v>-49675</v>
      </c>
      <c r="BR48" s="229">
        <v>-0.19989999999999999</v>
      </c>
      <c r="BS48" s="230">
        <v>21346890</v>
      </c>
      <c r="BT48" s="230">
        <v>10356089</v>
      </c>
      <c r="BU48" s="230">
        <v>10990801</v>
      </c>
      <c r="BV48" s="229">
        <v>1.0612999999999999</v>
      </c>
      <c r="BW48" s="230">
        <v>79480000</v>
      </c>
      <c r="BX48" s="230">
        <v>90275200</v>
      </c>
      <c r="BY48" s="230">
        <v>-10795200</v>
      </c>
      <c r="BZ48" s="229">
        <v>-0.1196</v>
      </c>
      <c r="CA48" s="230">
        <v>18059200</v>
      </c>
      <c r="CB48" s="230">
        <v>16929600</v>
      </c>
      <c r="CC48" s="230">
        <v>1129600</v>
      </c>
      <c r="CD48" s="229">
        <v>6.6699999999999995E-2</v>
      </c>
      <c r="CE48" s="230">
        <v>64688000</v>
      </c>
      <c r="CF48" s="230">
        <v>59680000</v>
      </c>
      <c r="CG48" s="230">
        <v>5008000</v>
      </c>
      <c r="CH48" s="229">
        <v>8.3900000000000002E-2</v>
      </c>
      <c r="CI48" s="230">
        <v>14792000</v>
      </c>
      <c r="CJ48" s="230">
        <v>13665600</v>
      </c>
      <c r="CK48" s="230">
        <v>1126400</v>
      </c>
      <c r="CL48" s="229">
        <v>8.2400000000000001E-2</v>
      </c>
      <c r="CM48" s="230">
        <v>14167200</v>
      </c>
      <c r="CN48" s="230">
        <v>46986400</v>
      </c>
      <c r="CO48" s="230">
        <v>-32819200</v>
      </c>
      <c r="CP48" s="229">
        <v>-0.69850000000000001</v>
      </c>
      <c r="CQ48" s="230">
        <v>11083200</v>
      </c>
      <c r="CR48" s="230">
        <v>30548000</v>
      </c>
      <c r="CS48" s="230">
        <v>-19464800</v>
      </c>
      <c r="CT48" s="229">
        <v>-0.63719999999999999</v>
      </c>
      <c r="CU48" s="230">
        <v>104730400</v>
      </c>
      <c r="CV48" s="230">
        <v>167809600</v>
      </c>
      <c r="CW48" s="230">
        <v>-63079200</v>
      </c>
      <c r="CX48" s="229">
        <v>-0.37590000000000001</v>
      </c>
      <c r="CY48" s="228">
        <v>29.18</v>
      </c>
      <c r="CZ48" s="228">
        <v>30.12</v>
      </c>
      <c r="DA48" s="228">
        <v>-0.94</v>
      </c>
      <c r="DB48" s="228">
        <v>-0.94</v>
      </c>
      <c r="DC48" s="228">
        <v>38.729999999999997</v>
      </c>
      <c r="DD48" s="228">
        <v>38.590000000000003</v>
      </c>
      <c r="DE48" s="228">
        <v>-9.5500000000000007</v>
      </c>
      <c r="DF48" s="228">
        <v>0.14000000000000001</v>
      </c>
      <c r="DG48" s="228">
        <v>28.6</v>
      </c>
      <c r="DH48" s="228">
        <v>29.96</v>
      </c>
      <c r="DI48" s="228">
        <v>-1.36</v>
      </c>
      <c r="DJ48" s="228">
        <v>-1.36</v>
      </c>
      <c r="DK48" s="228">
        <v>30.64</v>
      </c>
      <c r="DL48" s="228">
        <v>30.61</v>
      </c>
      <c r="DM48" s="228">
        <v>0.03</v>
      </c>
      <c r="DN48" s="228">
        <v>0.03</v>
      </c>
      <c r="DO48" s="228">
        <v>0.78</v>
      </c>
      <c r="DP48" s="228">
        <v>0.65</v>
      </c>
      <c r="DQ48" s="228">
        <v>0.13</v>
      </c>
      <c r="DR48" s="229">
        <v>0.2</v>
      </c>
      <c r="DS48" s="228">
        <v>370</v>
      </c>
      <c r="DT48" s="228">
        <v>360</v>
      </c>
      <c r="DU48" s="228">
        <v>0.32</v>
      </c>
      <c r="DV48" s="228">
        <v>0.41</v>
      </c>
      <c r="DW48" s="228">
        <v>-0.09</v>
      </c>
      <c r="DX48" s="229">
        <v>-0.2195</v>
      </c>
      <c r="DY48" s="229">
        <v>0.81489999999999996</v>
      </c>
      <c r="DZ48" s="230">
        <v>73345600</v>
      </c>
      <c r="EA48" s="229">
        <v>2.0999999999999999E-3</v>
      </c>
      <c r="EB48" s="229">
        <v>0.81489999999999996</v>
      </c>
      <c r="EC48" s="228">
        <v>1.34</v>
      </c>
      <c r="ED48" s="229">
        <v>3.5000000000000001E-3</v>
      </c>
      <c r="EE48" s="230">
        <v>9230948</v>
      </c>
      <c r="EF48" s="230">
        <v>4596650</v>
      </c>
      <c r="EG48" s="229">
        <v>1.0082</v>
      </c>
      <c r="EH48" s="229">
        <v>0.43240000000000001</v>
      </c>
      <c r="EI48" s="231">
        <v>374087.87</v>
      </c>
      <c r="EJ48" s="231">
        <v>115588.63</v>
      </c>
      <c r="EK48" s="231">
        <v>131013.19</v>
      </c>
      <c r="EL48" s="231">
        <v>47468</v>
      </c>
      <c r="EM48" s="231">
        <v>620689.68999999994</v>
      </c>
      <c r="EN48" s="231">
        <v>752017.9</v>
      </c>
      <c r="EO48" s="231">
        <v>-131328.21</v>
      </c>
      <c r="EP48" s="229">
        <v>-0.17460000000000001</v>
      </c>
      <c r="EQ48" s="231">
        <v>54329</v>
      </c>
      <c r="ER48" s="231">
        <v>40385</v>
      </c>
      <c r="ES48" s="231">
        <v>306380</v>
      </c>
      <c r="ET48" s="231">
        <v>317244234</v>
      </c>
      <c r="EU48" s="231">
        <v>401094</v>
      </c>
      <c r="EV48" s="231">
        <v>618320</v>
      </c>
      <c r="EW48" s="231">
        <v>-217226</v>
      </c>
      <c r="EX48" s="229">
        <v>-0.3513</v>
      </c>
      <c r="EY48" s="229">
        <v>0.3301</v>
      </c>
    </row>
    <row r="49" spans="1:155" ht="17.25" thickBot="1" x14ac:dyDescent="0.3">
      <c r="A49" s="226">
        <v>46168</v>
      </c>
      <c r="B49" s="227" t="s">
        <v>197</v>
      </c>
      <c r="C49" s="227" t="s">
        <v>482</v>
      </c>
      <c r="D49" s="231">
        <v>4228.3999999999996</v>
      </c>
      <c r="E49" s="231">
        <v>4266.5</v>
      </c>
      <c r="F49" s="228">
        <v>-38.1</v>
      </c>
      <c r="G49" s="229">
        <v>-8.8999999999999999E-3</v>
      </c>
      <c r="H49" s="231">
        <v>4239.6000000000004</v>
      </c>
      <c r="I49" s="231">
        <v>4300</v>
      </c>
      <c r="J49" s="228">
        <v>-60.4</v>
      </c>
      <c r="K49" s="229">
        <v>-1.4E-2</v>
      </c>
      <c r="L49" s="231">
        <v>4237.8999999999996</v>
      </c>
      <c r="M49" s="231">
        <v>4303.8</v>
      </c>
      <c r="N49" s="228">
        <v>-65.900000000000006</v>
      </c>
      <c r="O49" s="229">
        <v>-1.5299999999999999E-2</v>
      </c>
      <c r="P49" s="231">
        <v>4228.3999999999996</v>
      </c>
      <c r="Q49" s="231">
        <v>4266.5</v>
      </c>
      <c r="R49" s="228">
        <v>-38.1</v>
      </c>
      <c r="S49" s="229">
        <v>-8.8999999999999999E-3</v>
      </c>
      <c r="T49" s="231">
        <v>4224.7</v>
      </c>
      <c r="U49" s="231">
        <v>4259.6000000000004</v>
      </c>
      <c r="V49" s="228">
        <v>-34.9</v>
      </c>
      <c r="W49" s="229">
        <v>-8.2000000000000007E-3</v>
      </c>
      <c r="X49" s="228">
        <v>-11.2</v>
      </c>
      <c r="Y49" s="228">
        <v>3.8</v>
      </c>
      <c r="Z49" s="228">
        <v>-15</v>
      </c>
      <c r="AA49" s="229">
        <v>-2.5999999999999999E-3</v>
      </c>
      <c r="AB49" s="228">
        <v>-1.7</v>
      </c>
      <c r="AC49" s="228">
        <v>3.8</v>
      </c>
      <c r="AD49" s="228">
        <v>-5.5</v>
      </c>
      <c r="AE49" s="229">
        <v>-4.0000000000000002E-4</v>
      </c>
      <c r="AF49" s="228">
        <v>-11.2</v>
      </c>
      <c r="AG49" s="228">
        <v>-33.5</v>
      </c>
      <c r="AH49" s="228">
        <v>22.3</v>
      </c>
      <c r="AI49" s="229">
        <v>-2.5999999999999999E-3</v>
      </c>
      <c r="AJ49" s="228">
        <v>-14.9</v>
      </c>
      <c r="AK49" s="228">
        <v>-40.4</v>
      </c>
      <c r="AL49" s="228">
        <v>25.5</v>
      </c>
      <c r="AM49" s="229">
        <v>-3.5000000000000001E-3</v>
      </c>
      <c r="AN49" s="231">
        <v>4273.6499999999996</v>
      </c>
      <c r="AO49" s="231">
        <v>4239.6400000000003</v>
      </c>
      <c r="AP49" s="228">
        <v>0</v>
      </c>
      <c r="AQ49" s="230">
        <v>16987</v>
      </c>
      <c r="AR49" s="230">
        <v>30757</v>
      </c>
      <c r="AS49" s="230">
        <v>-13770</v>
      </c>
      <c r="AT49" s="229">
        <v>-0.44769999999999999</v>
      </c>
      <c r="AU49" s="230">
        <v>7088</v>
      </c>
      <c r="AV49" s="230">
        <v>15122</v>
      </c>
      <c r="AW49" s="230">
        <v>-8034</v>
      </c>
      <c r="AX49" s="229">
        <v>-0.53129999999999999</v>
      </c>
      <c r="AY49" s="230">
        <v>9403</v>
      </c>
      <c r="AZ49" s="230">
        <v>15227</v>
      </c>
      <c r="BA49" s="230">
        <v>-5824</v>
      </c>
      <c r="BB49" s="229">
        <v>-0.38250000000000001</v>
      </c>
      <c r="BC49" s="228">
        <v>496</v>
      </c>
      <c r="BD49" s="228">
        <v>408</v>
      </c>
      <c r="BE49" s="228">
        <v>88</v>
      </c>
      <c r="BF49" s="229">
        <v>0.2157</v>
      </c>
      <c r="BG49" s="230">
        <v>34837</v>
      </c>
      <c r="BH49" s="230">
        <v>68789</v>
      </c>
      <c r="BI49" s="230">
        <v>-33952</v>
      </c>
      <c r="BJ49" s="229">
        <v>-0.49359999999999998</v>
      </c>
      <c r="BK49" s="230">
        <v>18003</v>
      </c>
      <c r="BL49" s="230">
        <v>27274</v>
      </c>
      <c r="BM49" s="230">
        <v>-9271</v>
      </c>
      <c r="BN49" s="229">
        <v>-0.33989999999999998</v>
      </c>
      <c r="BO49" s="230">
        <v>69827</v>
      </c>
      <c r="BP49" s="230">
        <v>126820</v>
      </c>
      <c r="BQ49" s="230">
        <v>-56993</v>
      </c>
      <c r="BR49" s="229">
        <v>-0.44940000000000002</v>
      </c>
      <c r="BS49" s="230">
        <v>580074</v>
      </c>
      <c r="BT49" s="230">
        <v>618704</v>
      </c>
      <c r="BU49" s="230">
        <v>-38630</v>
      </c>
      <c r="BV49" s="229">
        <v>-6.2399999999999997E-2</v>
      </c>
      <c r="BW49" s="230">
        <v>6240250</v>
      </c>
      <c r="BX49" s="230">
        <v>7020550</v>
      </c>
      <c r="BY49" s="230">
        <v>-780300</v>
      </c>
      <c r="BZ49" s="229">
        <v>-0.1111</v>
      </c>
      <c r="CA49" s="230">
        <v>453800</v>
      </c>
      <c r="CB49" s="230">
        <v>873300</v>
      </c>
      <c r="CC49" s="230">
        <v>-419500</v>
      </c>
      <c r="CD49" s="229">
        <v>-0.48039999999999999</v>
      </c>
      <c r="CE49" s="230">
        <v>6091600</v>
      </c>
      <c r="CF49" s="230">
        <v>6037900</v>
      </c>
      <c r="CG49" s="230">
        <v>53700</v>
      </c>
      <c r="CH49" s="229">
        <v>8.8999999999999999E-3</v>
      </c>
      <c r="CI49" s="230">
        <v>148650</v>
      </c>
      <c r="CJ49" s="230">
        <v>109350</v>
      </c>
      <c r="CK49" s="230">
        <v>39300</v>
      </c>
      <c r="CL49" s="229">
        <v>0.3594</v>
      </c>
      <c r="CM49" s="230">
        <v>999150</v>
      </c>
      <c r="CN49" s="230">
        <v>2980550</v>
      </c>
      <c r="CO49" s="230">
        <v>-1981400</v>
      </c>
      <c r="CP49" s="229">
        <v>-0.66479999999999995</v>
      </c>
      <c r="CQ49" s="230">
        <v>633900</v>
      </c>
      <c r="CR49" s="230">
        <v>1547800</v>
      </c>
      <c r="CS49" s="230">
        <v>-913900</v>
      </c>
      <c r="CT49" s="229">
        <v>-0.59050000000000002</v>
      </c>
      <c r="CU49" s="230">
        <v>7873300</v>
      </c>
      <c r="CV49" s="230">
        <v>11548900</v>
      </c>
      <c r="CW49" s="230">
        <v>-3675600</v>
      </c>
      <c r="CX49" s="229">
        <v>-0.31830000000000003</v>
      </c>
      <c r="CY49" s="228">
        <v>29.06</v>
      </c>
      <c r="CZ49" s="228">
        <v>29.77</v>
      </c>
      <c r="DA49" s="228">
        <v>-0.71</v>
      </c>
      <c r="DB49" s="228">
        <v>-0.71</v>
      </c>
      <c r="DC49" s="228">
        <v>43.39</v>
      </c>
      <c r="DD49" s="228">
        <v>43.48</v>
      </c>
      <c r="DE49" s="228">
        <v>-14.33</v>
      </c>
      <c r="DF49" s="228">
        <v>-0.09</v>
      </c>
      <c r="DG49" s="228">
        <v>29.24</v>
      </c>
      <c r="DH49" s="228">
        <v>29.73</v>
      </c>
      <c r="DI49" s="228">
        <v>-0.49</v>
      </c>
      <c r="DJ49" s="228">
        <v>-0.49</v>
      </c>
      <c r="DK49" s="228">
        <v>28.71</v>
      </c>
      <c r="DL49" s="228">
        <v>29.92</v>
      </c>
      <c r="DM49" s="228">
        <v>-1.21</v>
      </c>
      <c r="DN49" s="228">
        <v>-1.21</v>
      </c>
      <c r="DO49" s="228">
        <v>0.63</v>
      </c>
      <c r="DP49" s="228">
        <v>0.52</v>
      </c>
      <c r="DQ49" s="228">
        <v>0.11</v>
      </c>
      <c r="DR49" s="229">
        <v>0.21149999999999999</v>
      </c>
      <c r="DS49" s="231">
        <v>4500</v>
      </c>
      <c r="DT49" s="231">
        <v>4200</v>
      </c>
      <c r="DU49" s="228">
        <v>0.52</v>
      </c>
      <c r="DV49" s="228">
        <v>0.4</v>
      </c>
      <c r="DW49" s="228">
        <v>0.12</v>
      </c>
      <c r="DX49" s="229">
        <v>0.3</v>
      </c>
      <c r="DY49" s="229">
        <v>0.93220000000000003</v>
      </c>
      <c r="DZ49" s="230">
        <v>6147250</v>
      </c>
      <c r="EA49" s="229">
        <v>-2.2000000000000001E-3</v>
      </c>
      <c r="EB49" s="229">
        <v>0.93220000000000003</v>
      </c>
      <c r="EC49" s="228">
        <v>-34.01</v>
      </c>
      <c r="ED49" s="229">
        <v>-8.0000000000000002E-3</v>
      </c>
      <c r="EE49" s="230">
        <v>196800</v>
      </c>
      <c r="EF49" s="230">
        <v>248509</v>
      </c>
      <c r="EG49" s="229">
        <v>-0.20810000000000001</v>
      </c>
      <c r="EH49" s="229">
        <v>0.33929999999999999</v>
      </c>
      <c r="EI49" s="231">
        <v>155312</v>
      </c>
      <c r="EJ49" s="231">
        <v>76039.64</v>
      </c>
      <c r="EK49" s="231">
        <v>73308.61</v>
      </c>
      <c r="EL49" s="231">
        <v>33812</v>
      </c>
      <c r="EM49" s="231">
        <v>304660.25</v>
      </c>
      <c r="EN49" s="231">
        <v>556424.51</v>
      </c>
      <c r="EO49" s="231">
        <v>-251764.26</v>
      </c>
      <c r="EP49" s="229">
        <v>-0.45250000000000001</v>
      </c>
      <c r="EQ49" s="231">
        <v>43798</v>
      </c>
      <c r="ER49" s="231">
        <v>26374</v>
      </c>
      <c r="ES49" s="231">
        <v>263857</v>
      </c>
      <c r="ET49" s="231">
        <v>33590487</v>
      </c>
      <c r="EU49" s="231">
        <v>334029</v>
      </c>
      <c r="EV49" s="231">
        <v>494293</v>
      </c>
      <c r="EW49" s="231">
        <v>-160264</v>
      </c>
      <c r="EX49" s="229">
        <v>-0.32419999999999999</v>
      </c>
      <c r="EY49" s="229">
        <v>0.2344</v>
      </c>
    </row>
    <row r="50" spans="1:155" ht="17.25" thickBot="1" x14ac:dyDescent="0.3">
      <c r="A50" s="226">
        <v>46168</v>
      </c>
      <c r="B50" s="227" t="s">
        <v>157</v>
      </c>
      <c r="C50" s="227" t="s">
        <v>302</v>
      </c>
      <c r="D50" s="231">
        <v>11700</v>
      </c>
      <c r="E50" s="231">
        <v>11815</v>
      </c>
      <c r="F50" s="228">
        <v>-115</v>
      </c>
      <c r="G50" s="229">
        <v>-9.7000000000000003E-3</v>
      </c>
      <c r="H50" s="231">
        <v>11623</v>
      </c>
      <c r="I50" s="231">
        <v>11726</v>
      </c>
      <c r="J50" s="228">
        <v>-103</v>
      </c>
      <c r="K50" s="229">
        <v>-8.8000000000000005E-3</v>
      </c>
      <c r="L50" s="231">
        <v>11624</v>
      </c>
      <c r="M50" s="231">
        <v>11747</v>
      </c>
      <c r="N50" s="228">
        <v>-123</v>
      </c>
      <c r="O50" s="229">
        <v>-1.0500000000000001E-2</v>
      </c>
      <c r="P50" s="231">
        <v>11700</v>
      </c>
      <c r="Q50" s="231">
        <v>11815</v>
      </c>
      <c r="R50" s="228">
        <v>-115</v>
      </c>
      <c r="S50" s="229">
        <v>-9.7000000000000003E-3</v>
      </c>
      <c r="T50" s="231">
        <v>11778</v>
      </c>
      <c r="U50" s="231">
        <v>11855</v>
      </c>
      <c r="V50" s="228">
        <v>-77</v>
      </c>
      <c r="W50" s="229">
        <v>-6.4999999999999997E-3</v>
      </c>
      <c r="X50" s="228">
        <v>77</v>
      </c>
      <c r="Y50" s="228">
        <v>21</v>
      </c>
      <c r="Z50" s="228">
        <v>56</v>
      </c>
      <c r="AA50" s="229">
        <v>6.6E-3</v>
      </c>
      <c r="AB50" s="228">
        <v>1</v>
      </c>
      <c r="AC50" s="228">
        <v>21</v>
      </c>
      <c r="AD50" s="228">
        <v>-20</v>
      </c>
      <c r="AE50" s="229">
        <v>1E-4</v>
      </c>
      <c r="AF50" s="228">
        <v>77</v>
      </c>
      <c r="AG50" s="228">
        <v>89</v>
      </c>
      <c r="AH50" s="228">
        <v>-12</v>
      </c>
      <c r="AI50" s="229">
        <v>6.6E-3</v>
      </c>
      <c r="AJ50" s="228">
        <v>155</v>
      </c>
      <c r="AK50" s="228">
        <v>129</v>
      </c>
      <c r="AL50" s="228">
        <v>26</v>
      </c>
      <c r="AM50" s="229">
        <v>1.3299999999999999E-2</v>
      </c>
      <c r="AN50" s="231">
        <v>11667.42</v>
      </c>
      <c r="AO50" s="231">
        <v>11740.52</v>
      </c>
      <c r="AP50" s="228">
        <v>0</v>
      </c>
      <c r="AQ50" s="230">
        <v>11995</v>
      </c>
      <c r="AR50" s="230">
        <v>23585</v>
      </c>
      <c r="AS50" s="230">
        <v>-11590</v>
      </c>
      <c r="AT50" s="229">
        <v>-0.4914</v>
      </c>
      <c r="AU50" s="230">
        <v>4471</v>
      </c>
      <c r="AV50" s="230">
        <v>10682</v>
      </c>
      <c r="AW50" s="230">
        <v>-6211</v>
      </c>
      <c r="AX50" s="229">
        <v>-0.58140000000000003</v>
      </c>
      <c r="AY50" s="230">
        <v>7464</v>
      </c>
      <c r="AZ50" s="230">
        <v>12813</v>
      </c>
      <c r="BA50" s="230">
        <v>-5349</v>
      </c>
      <c r="BB50" s="229">
        <v>-0.41749999999999998</v>
      </c>
      <c r="BC50" s="228">
        <v>60</v>
      </c>
      <c r="BD50" s="228">
        <v>90</v>
      </c>
      <c r="BE50" s="228">
        <v>-30</v>
      </c>
      <c r="BF50" s="229">
        <v>-0.33329999999999999</v>
      </c>
      <c r="BG50" s="230">
        <v>13508</v>
      </c>
      <c r="BH50" s="230">
        <v>24072</v>
      </c>
      <c r="BI50" s="230">
        <v>-10564</v>
      </c>
      <c r="BJ50" s="229">
        <v>-0.43890000000000001</v>
      </c>
      <c r="BK50" s="230">
        <v>5934</v>
      </c>
      <c r="BL50" s="230">
        <v>9690</v>
      </c>
      <c r="BM50" s="230">
        <v>-3756</v>
      </c>
      <c r="BN50" s="229">
        <v>-0.3876</v>
      </c>
      <c r="BO50" s="230">
        <v>31437</v>
      </c>
      <c r="BP50" s="230">
        <v>57347</v>
      </c>
      <c r="BQ50" s="230">
        <v>-25910</v>
      </c>
      <c r="BR50" s="229">
        <v>-0.45179999999999998</v>
      </c>
      <c r="BS50" s="230">
        <v>224249</v>
      </c>
      <c r="BT50" s="230">
        <v>239876</v>
      </c>
      <c r="BU50" s="230">
        <v>-15627</v>
      </c>
      <c r="BV50" s="229">
        <v>-6.5100000000000005E-2</v>
      </c>
      <c r="BW50" s="230">
        <v>2471850</v>
      </c>
      <c r="BX50" s="230">
        <v>2764950</v>
      </c>
      <c r="BY50" s="230">
        <v>-293100</v>
      </c>
      <c r="BZ50" s="229">
        <v>-0.106</v>
      </c>
      <c r="CA50" s="230">
        <v>288550</v>
      </c>
      <c r="CB50" s="230">
        <v>450250</v>
      </c>
      <c r="CC50" s="230">
        <v>-161700</v>
      </c>
      <c r="CD50" s="229">
        <v>-0.35909999999999997</v>
      </c>
      <c r="CE50" s="230">
        <v>2459900</v>
      </c>
      <c r="CF50" s="230">
        <v>2304450</v>
      </c>
      <c r="CG50" s="230">
        <v>155450</v>
      </c>
      <c r="CH50" s="229">
        <v>6.7500000000000004E-2</v>
      </c>
      <c r="CI50" s="230">
        <v>11950</v>
      </c>
      <c r="CJ50" s="230">
        <v>10250</v>
      </c>
      <c r="CK50" s="230">
        <v>1700</v>
      </c>
      <c r="CL50" s="229">
        <v>0.16589999999999999</v>
      </c>
      <c r="CM50" s="230">
        <v>165600</v>
      </c>
      <c r="CN50" s="230">
        <v>1054600</v>
      </c>
      <c r="CO50" s="230">
        <v>-889000</v>
      </c>
      <c r="CP50" s="229">
        <v>-0.84299999999999997</v>
      </c>
      <c r="CQ50" s="230">
        <v>125950</v>
      </c>
      <c r="CR50" s="230">
        <v>502500</v>
      </c>
      <c r="CS50" s="230">
        <v>-376550</v>
      </c>
      <c r="CT50" s="229">
        <v>-0.74939999999999996</v>
      </c>
      <c r="CU50" s="230">
        <v>2763400</v>
      </c>
      <c r="CV50" s="230">
        <v>4322050</v>
      </c>
      <c r="CW50" s="230">
        <v>-1558650</v>
      </c>
      <c r="CX50" s="229">
        <v>-0.36059999999999998</v>
      </c>
      <c r="CY50" s="228">
        <v>22.09</v>
      </c>
      <c r="CZ50" s="228">
        <v>22.55</v>
      </c>
      <c r="DA50" s="228">
        <v>-0.46</v>
      </c>
      <c r="DB50" s="228">
        <v>-0.46</v>
      </c>
      <c r="DC50" s="228">
        <v>29.48</v>
      </c>
      <c r="DD50" s="228">
        <v>29.53</v>
      </c>
      <c r="DE50" s="228">
        <v>-7.39</v>
      </c>
      <c r="DF50" s="228">
        <v>-0.05</v>
      </c>
      <c r="DG50" s="228">
        <v>22.2</v>
      </c>
      <c r="DH50" s="228">
        <v>22.24</v>
      </c>
      <c r="DI50" s="228">
        <v>-0.04</v>
      </c>
      <c r="DJ50" s="228">
        <v>-0.04</v>
      </c>
      <c r="DK50" s="228">
        <v>21.87</v>
      </c>
      <c r="DL50" s="228">
        <v>23.18</v>
      </c>
      <c r="DM50" s="228">
        <v>-1.31</v>
      </c>
      <c r="DN50" s="228">
        <v>-1.31</v>
      </c>
      <c r="DO50" s="228">
        <v>0.76</v>
      </c>
      <c r="DP50" s="228">
        <v>0.48</v>
      </c>
      <c r="DQ50" s="228">
        <v>0.28000000000000003</v>
      </c>
      <c r="DR50" s="229">
        <v>0.58330000000000004</v>
      </c>
      <c r="DS50" s="231">
        <v>12200</v>
      </c>
      <c r="DT50" s="231">
        <v>10600</v>
      </c>
      <c r="DU50" s="228">
        <v>0.44</v>
      </c>
      <c r="DV50" s="228">
        <v>0.4</v>
      </c>
      <c r="DW50" s="228">
        <v>0.04</v>
      </c>
      <c r="DX50" s="229">
        <v>0.1</v>
      </c>
      <c r="DY50" s="229">
        <v>0.89549999999999996</v>
      </c>
      <c r="DZ50" s="230">
        <v>2314700</v>
      </c>
      <c r="EA50" s="229">
        <v>6.4999999999999997E-3</v>
      </c>
      <c r="EB50" s="229">
        <v>0.89549999999999996</v>
      </c>
      <c r="EC50" s="228">
        <v>73.099999999999994</v>
      </c>
      <c r="ED50" s="229">
        <v>6.3E-3</v>
      </c>
      <c r="EE50" s="230">
        <v>123778</v>
      </c>
      <c r="EF50" s="230">
        <v>128236</v>
      </c>
      <c r="EG50" s="229">
        <v>-3.4799999999999998E-2</v>
      </c>
      <c r="EH50" s="229">
        <v>0.55200000000000005</v>
      </c>
      <c r="EI50" s="231">
        <v>81546.17</v>
      </c>
      <c r="EJ50" s="231">
        <v>34321.14</v>
      </c>
      <c r="EK50" s="231">
        <v>70251.39</v>
      </c>
      <c r="EL50" s="231">
        <v>18452</v>
      </c>
      <c r="EM50" s="231">
        <v>186118.7</v>
      </c>
      <c r="EN50" s="231">
        <v>340111.4</v>
      </c>
      <c r="EO50" s="231">
        <v>-153992.70000000001</v>
      </c>
      <c r="EP50" s="229">
        <v>-0.45279999999999998</v>
      </c>
      <c r="EQ50" s="231">
        <v>20096</v>
      </c>
      <c r="ER50" s="231">
        <v>14482</v>
      </c>
      <c r="ES50" s="231">
        <v>289216</v>
      </c>
      <c r="ET50" s="231">
        <v>12994504</v>
      </c>
      <c r="EU50" s="231">
        <v>323793</v>
      </c>
      <c r="EV50" s="231">
        <v>512881</v>
      </c>
      <c r="EW50" s="231">
        <v>-189088</v>
      </c>
      <c r="EX50" s="229">
        <v>-0.36870000000000003</v>
      </c>
      <c r="EY50" s="229">
        <v>0.2127</v>
      </c>
    </row>
    <row r="51" spans="1:155" ht="17.25" thickBot="1" x14ac:dyDescent="0.3">
      <c r="A51" s="226">
        <v>46168</v>
      </c>
      <c r="B51" s="227" t="s">
        <v>221</v>
      </c>
      <c r="C51" s="227" t="s">
        <v>306</v>
      </c>
      <c r="D51" s="228">
        <v>181.41</v>
      </c>
      <c r="E51" s="228">
        <v>180.6</v>
      </c>
      <c r="F51" s="228">
        <v>0.81</v>
      </c>
      <c r="G51" s="229">
        <v>4.4999999999999997E-3</v>
      </c>
      <c r="H51" s="228">
        <v>203.73</v>
      </c>
      <c r="I51" s="228">
        <v>206.84</v>
      </c>
      <c r="J51" s="228">
        <v>-3.11</v>
      </c>
      <c r="K51" s="229">
        <v>-1.4999999999999999E-2</v>
      </c>
      <c r="L51" s="228">
        <v>203.94</v>
      </c>
      <c r="M51" s="228">
        <v>207.04</v>
      </c>
      <c r="N51" s="228">
        <v>-3.1</v>
      </c>
      <c r="O51" s="229">
        <v>-1.4999999999999999E-2</v>
      </c>
      <c r="P51" s="228">
        <v>181.41</v>
      </c>
      <c r="Q51" s="228">
        <v>180.6</v>
      </c>
      <c r="R51" s="228">
        <v>0.81</v>
      </c>
      <c r="S51" s="229">
        <v>4.4999999999999997E-3</v>
      </c>
      <c r="T51" s="228">
        <v>177.19</v>
      </c>
      <c r="U51" s="228">
        <v>177.27</v>
      </c>
      <c r="V51" s="228">
        <v>-0.08</v>
      </c>
      <c r="W51" s="229">
        <v>-5.0000000000000001E-4</v>
      </c>
      <c r="X51" s="228">
        <v>-22.32</v>
      </c>
      <c r="Y51" s="228">
        <v>0.2</v>
      </c>
      <c r="Z51" s="228">
        <v>-22.52</v>
      </c>
      <c r="AA51" s="229">
        <v>-0.1096</v>
      </c>
      <c r="AB51" s="228">
        <v>0.21</v>
      </c>
      <c r="AC51" s="228">
        <v>0.2</v>
      </c>
      <c r="AD51" s="228">
        <v>0.01</v>
      </c>
      <c r="AE51" s="229">
        <v>1E-3</v>
      </c>
      <c r="AF51" s="228">
        <v>-22.32</v>
      </c>
      <c r="AG51" s="228">
        <v>-26.24</v>
      </c>
      <c r="AH51" s="228">
        <v>3.92</v>
      </c>
      <c r="AI51" s="229">
        <v>-0.1096</v>
      </c>
      <c r="AJ51" s="228">
        <v>-26.54</v>
      </c>
      <c r="AK51" s="228">
        <v>-29.57</v>
      </c>
      <c r="AL51" s="228">
        <v>3.03</v>
      </c>
      <c r="AM51" s="229">
        <v>-0.1303</v>
      </c>
      <c r="AN51" s="228">
        <v>206.79</v>
      </c>
      <c r="AO51" s="228">
        <v>179.75</v>
      </c>
      <c r="AP51" s="228">
        <v>0</v>
      </c>
      <c r="AQ51" s="230">
        <v>60514</v>
      </c>
      <c r="AR51" s="230">
        <v>80593</v>
      </c>
      <c r="AS51" s="230">
        <v>-20079</v>
      </c>
      <c r="AT51" s="229">
        <v>-0.24909999999999999</v>
      </c>
      <c r="AU51" s="230">
        <v>30137</v>
      </c>
      <c r="AV51" s="230">
        <v>42482</v>
      </c>
      <c r="AW51" s="230">
        <v>-12345</v>
      </c>
      <c r="AX51" s="229">
        <v>-0.29060000000000002</v>
      </c>
      <c r="AY51" s="230">
        <v>26920</v>
      </c>
      <c r="AZ51" s="230">
        <v>33611</v>
      </c>
      <c r="BA51" s="230">
        <v>-6691</v>
      </c>
      <c r="BB51" s="229">
        <v>-0.1991</v>
      </c>
      <c r="BC51" s="230">
        <v>3457</v>
      </c>
      <c r="BD51" s="230">
        <v>4500</v>
      </c>
      <c r="BE51" s="230">
        <v>-1043</v>
      </c>
      <c r="BF51" s="229">
        <v>-0.23180000000000001</v>
      </c>
      <c r="BG51" s="230">
        <v>61841</v>
      </c>
      <c r="BH51" s="230">
        <v>113467</v>
      </c>
      <c r="BI51" s="230">
        <v>-51626</v>
      </c>
      <c r="BJ51" s="229">
        <v>-0.45500000000000002</v>
      </c>
      <c r="BK51" s="230">
        <v>35608</v>
      </c>
      <c r="BL51" s="230">
        <v>50505</v>
      </c>
      <c r="BM51" s="230">
        <v>-14897</v>
      </c>
      <c r="BN51" s="229">
        <v>-0.29499999999999998</v>
      </c>
      <c r="BO51" s="230">
        <v>157963</v>
      </c>
      <c r="BP51" s="230">
        <v>244565</v>
      </c>
      <c r="BQ51" s="230">
        <v>-86602</v>
      </c>
      <c r="BR51" s="229">
        <v>-0.35410000000000003</v>
      </c>
      <c r="BS51" s="230">
        <v>47435946</v>
      </c>
      <c r="BT51" s="230">
        <v>74569638</v>
      </c>
      <c r="BU51" s="230">
        <v>-27133692</v>
      </c>
      <c r="BV51" s="229">
        <v>-0.3639</v>
      </c>
      <c r="BW51" s="230">
        <v>270330000</v>
      </c>
      <c r="BX51" s="230">
        <v>336003000</v>
      </c>
      <c r="BY51" s="230">
        <v>-65673000</v>
      </c>
      <c r="BZ51" s="229">
        <v>-0.19550000000000001</v>
      </c>
      <c r="CA51" s="230">
        <v>48522000</v>
      </c>
      <c r="CB51" s="230">
        <v>85164000</v>
      </c>
      <c r="CC51" s="230">
        <v>-36642000</v>
      </c>
      <c r="CD51" s="229">
        <v>-0.43030000000000002</v>
      </c>
      <c r="CE51" s="230">
        <v>244632000</v>
      </c>
      <c r="CF51" s="230">
        <v>229455000</v>
      </c>
      <c r="CG51" s="230">
        <v>15177000</v>
      </c>
      <c r="CH51" s="229">
        <v>6.6100000000000006E-2</v>
      </c>
      <c r="CI51" s="230">
        <v>25698000</v>
      </c>
      <c r="CJ51" s="230">
        <v>21384000</v>
      </c>
      <c r="CK51" s="230">
        <v>4314000</v>
      </c>
      <c r="CL51" s="229">
        <v>0.20169999999999999</v>
      </c>
      <c r="CM51" s="230">
        <v>126810000</v>
      </c>
      <c r="CN51" s="230">
        <v>174732000</v>
      </c>
      <c r="CO51" s="230">
        <v>-47922000</v>
      </c>
      <c r="CP51" s="229">
        <v>-0.27429999999999999</v>
      </c>
      <c r="CQ51" s="230">
        <v>83256000</v>
      </c>
      <c r="CR51" s="230">
        <v>105474000</v>
      </c>
      <c r="CS51" s="230">
        <v>-22218000</v>
      </c>
      <c r="CT51" s="229">
        <v>-0.21060000000000001</v>
      </c>
      <c r="CU51" s="230">
        <v>480396000</v>
      </c>
      <c r="CV51" s="230">
        <v>616209000</v>
      </c>
      <c r="CW51" s="230">
        <v>-135813000</v>
      </c>
      <c r="CX51" s="229">
        <v>-0.22040000000000001</v>
      </c>
      <c r="CY51" s="228">
        <v>33.54</v>
      </c>
      <c r="CZ51" s="228">
        <v>34.42</v>
      </c>
      <c r="DA51" s="228">
        <v>-0.88</v>
      </c>
      <c r="DB51" s="228">
        <v>-0.88</v>
      </c>
      <c r="DC51" s="228">
        <v>31.06</v>
      </c>
      <c r="DD51" s="228">
        <v>31.13</v>
      </c>
      <c r="DE51" s="228">
        <v>2.48</v>
      </c>
      <c r="DF51" s="228">
        <v>-7.0000000000000007E-2</v>
      </c>
      <c r="DG51" s="228">
        <v>34.94</v>
      </c>
      <c r="DH51" s="228">
        <v>36.01</v>
      </c>
      <c r="DI51" s="228">
        <v>-1.07</v>
      </c>
      <c r="DJ51" s="228">
        <v>-1.07</v>
      </c>
      <c r="DK51" s="228">
        <v>30.77</v>
      </c>
      <c r="DL51" s="228">
        <v>29.59</v>
      </c>
      <c r="DM51" s="228">
        <v>1.18</v>
      </c>
      <c r="DN51" s="228">
        <v>1.18</v>
      </c>
      <c r="DO51" s="228">
        <v>0.66</v>
      </c>
      <c r="DP51" s="228">
        <v>0.6</v>
      </c>
      <c r="DQ51" s="228">
        <v>0.06</v>
      </c>
      <c r="DR51" s="229">
        <v>0.1</v>
      </c>
      <c r="DS51" s="228">
        <v>200</v>
      </c>
      <c r="DT51" s="228">
        <v>180</v>
      </c>
      <c r="DU51" s="228">
        <v>0.57999999999999996</v>
      </c>
      <c r="DV51" s="228">
        <v>0.45</v>
      </c>
      <c r="DW51" s="228">
        <v>0.13</v>
      </c>
      <c r="DX51" s="229">
        <v>0.28889999999999999</v>
      </c>
      <c r="DY51" s="229">
        <v>0.8478</v>
      </c>
      <c r="DZ51" s="230">
        <v>250839000</v>
      </c>
      <c r="EA51" s="229">
        <v>-0.1105</v>
      </c>
      <c r="EB51" s="229">
        <v>0.8478</v>
      </c>
      <c r="EC51" s="228">
        <v>-27.04</v>
      </c>
      <c r="ED51" s="229">
        <v>-0.1308</v>
      </c>
      <c r="EE51" s="230">
        <v>27653330</v>
      </c>
      <c r="EF51" s="230">
        <v>42041781</v>
      </c>
      <c r="EG51" s="229">
        <v>-0.3422</v>
      </c>
      <c r="EH51" s="229">
        <v>0.58299999999999996</v>
      </c>
      <c r="EI51" s="231">
        <v>379939.9</v>
      </c>
      <c r="EJ51" s="231">
        <v>198073.86</v>
      </c>
      <c r="EK51" s="231">
        <v>350404.7</v>
      </c>
      <c r="EL51" s="231">
        <v>55830</v>
      </c>
      <c r="EM51" s="231">
        <v>928418.46</v>
      </c>
      <c r="EN51" s="231">
        <v>1481764.44</v>
      </c>
      <c r="EO51" s="231">
        <v>-553345.98</v>
      </c>
      <c r="EP51" s="229">
        <v>-0.37340000000000001</v>
      </c>
      <c r="EQ51" s="231">
        <v>254139</v>
      </c>
      <c r="ER51" s="231">
        <v>150590</v>
      </c>
      <c r="ES51" s="231">
        <v>489321</v>
      </c>
      <c r="ET51" s="231">
        <v>428710078</v>
      </c>
      <c r="EU51" s="231">
        <v>894050</v>
      </c>
      <c r="EV51" s="231">
        <v>1182756</v>
      </c>
      <c r="EW51" s="231">
        <v>-288706</v>
      </c>
      <c r="EX51" s="229">
        <v>-0.24410000000000001</v>
      </c>
      <c r="EY51" s="229">
        <v>1.1206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47" zoomScale="86" zoomScaleNormal="86" workbookViewId="0">
      <selection activeCell="M158" sqref="M158"/>
    </sheetView>
  </sheetViews>
  <sheetFormatPr defaultRowHeight="15" x14ac:dyDescent="0.25"/>
  <cols>
    <col min="1" max="1" width="13"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10.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9.5703125"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28515625" customWidth="1"/>
    <col min="101" max="101" width="10.42578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57031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46168</v>
      </c>
      <c r="B2" s="227" t="s">
        <v>175</v>
      </c>
      <c r="C2" s="227" t="s">
        <v>678</v>
      </c>
      <c r="D2" s="228">
        <v>500</v>
      </c>
      <c r="E2" s="228">
        <v>0</v>
      </c>
      <c r="F2" s="231">
        <v>1134</v>
      </c>
      <c r="G2" s="231">
        <v>1149.4000000000001</v>
      </c>
      <c r="H2" s="228">
        <v>-15.4</v>
      </c>
      <c r="I2" s="229">
        <v>-1.34E-2</v>
      </c>
      <c r="J2" s="231">
        <v>1125.3</v>
      </c>
      <c r="K2" s="231">
        <v>1142.4000000000001</v>
      </c>
      <c r="L2" s="228">
        <v>-17.100000000000001</v>
      </c>
      <c r="M2" s="229">
        <v>-1.4999999999999999E-2</v>
      </c>
      <c r="N2" s="231">
        <v>1125.0999999999999</v>
      </c>
      <c r="O2" s="231">
        <v>1141.5999999999999</v>
      </c>
      <c r="P2" s="228">
        <v>-16.5</v>
      </c>
      <c r="Q2" s="229">
        <v>-1.4500000000000001E-2</v>
      </c>
      <c r="R2" s="231">
        <v>1134</v>
      </c>
      <c r="S2" s="231">
        <v>1149.4000000000001</v>
      </c>
      <c r="T2" s="228">
        <v>-15.4</v>
      </c>
      <c r="U2" s="229">
        <v>-1.34E-2</v>
      </c>
      <c r="V2" s="231">
        <v>1139.5999999999999</v>
      </c>
      <c r="W2" s="231">
        <v>1149.0999999999999</v>
      </c>
      <c r="X2" s="228">
        <v>-9.5</v>
      </c>
      <c r="Y2" s="229">
        <v>-8.3000000000000001E-3</v>
      </c>
      <c r="Z2" s="228">
        <v>8.6999999999999993</v>
      </c>
      <c r="AA2" s="228">
        <v>-0.8</v>
      </c>
      <c r="AB2" s="228">
        <v>9.5</v>
      </c>
      <c r="AC2" s="229">
        <v>7.7000000000000002E-3</v>
      </c>
      <c r="AD2" s="228">
        <v>-0.2</v>
      </c>
      <c r="AE2" s="228">
        <v>-0.8</v>
      </c>
      <c r="AF2" s="228">
        <v>0.6</v>
      </c>
      <c r="AG2" s="229">
        <v>-2.0000000000000001E-4</v>
      </c>
      <c r="AH2" s="228">
        <v>8.6999999999999993</v>
      </c>
      <c r="AI2" s="228">
        <v>7</v>
      </c>
      <c r="AJ2" s="228">
        <v>1.7</v>
      </c>
      <c r="AK2" s="229">
        <v>7.7000000000000002E-3</v>
      </c>
      <c r="AL2" s="228">
        <v>14.3</v>
      </c>
      <c r="AM2" s="228">
        <v>6.7</v>
      </c>
      <c r="AN2" s="228">
        <v>7.6</v>
      </c>
      <c r="AO2" s="229">
        <v>1.2699999999999999E-2</v>
      </c>
      <c r="AP2" s="231">
        <v>1134.45</v>
      </c>
      <c r="AQ2" s="231">
        <v>1141.3499999999999</v>
      </c>
      <c r="AR2" s="228">
        <v>0</v>
      </c>
      <c r="AS2" s="228">
        <v>353</v>
      </c>
      <c r="AT2" s="228">
        <v>401</v>
      </c>
      <c r="AU2" s="228">
        <v>-48</v>
      </c>
      <c r="AV2" s="229">
        <v>-0.1203</v>
      </c>
      <c r="AW2" s="228">
        <v>155</v>
      </c>
      <c r="AX2" s="228">
        <v>183</v>
      </c>
      <c r="AY2" s="228">
        <v>-28</v>
      </c>
      <c r="AZ2" s="229">
        <v>-0.15529999999999999</v>
      </c>
      <c r="BA2" s="228">
        <v>197</v>
      </c>
      <c r="BB2" s="228">
        <v>217</v>
      </c>
      <c r="BC2" s="228">
        <v>-20</v>
      </c>
      <c r="BD2" s="229">
        <v>-9.4100000000000003E-2</v>
      </c>
      <c r="BE2" s="228">
        <v>1</v>
      </c>
      <c r="BF2" s="228">
        <v>1</v>
      </c>
      <c r="BG2" s="228">
        <v>1</v>
      </c>
      <c r="BH2" s="229">
        <v>1.3332999999999999</v>
      </c>
      <c r="BI2" s="228">
        <v>125</v>
      </c>
      <c r="BJ2" s="228">
        <v>208</v>
      </c>
      <c r="BK2" s="228">
        <v>-84</v>
      </c>
      <c r="BL2" s="229">
        <v>-0.40189999999999998</v>
      </c>
      <c r="BM2" s="228">
        <v>69</v>
      </c>
      <c r="BN2" s="228">
        <v>154</v>
      </c>
      <c r="BO2" s="228">
        <v>-84</v>
      </c>
      <c r="BP2" s="229">
        <v>-0.5484</v>
      </c>
      <c r="BQ2" s="228">
        <v>547</v>
      </c>
      <c r="BR2" s="228">
        <v>763</v>
      </c>
      <c r="BS2" s="228">
        <v>-216</v>
      </c>
      <c r="BT2" s="229">
        <v>-0.28339999999999999</v>
      </c>
      <c r="BU2" s="230">
        <v>787455</v>
      </c>
      <c r="BV2" s="230">
        <v>838930</v>
      </c>
      <c r="BW2" s="230">
        <v>-51475</v>
      </c>
      <c r="BX2" s="229">
        <v>-6.1400000000000003E-2</v>
      </c>
      <c r="BY2" s="228">
        <v>540</v>
      </c>
      <c r="BZ2" s="228">
        <v>607</v>
      </c>
      <c r="CA2" s="228">
        <v>-67</v>
      </c>
      <c r="CB2" s="229">
        <v>-0.1101</v>
      </c>
      <c r="CC2" s="228">
        <v>17</v>
      </c>
      <c r="CD2" s="228">
        <v>116</v>
      </c>
      <c r="CE2" s="228">
        <v>-98</v>
      </c>
      <c r="CF2" s="229">
        <v>-0.84919999999999995</v>
      </c>
      <c r="CG2" s="228">
        <v>539</v>
      </c>
      <c r="CH2" s="228">
        <v>490</v>
      </c>
      <c r="CI2" s="228">
        <v>48</v>
      </c>
      <c r="CJ2" s="229">
        <v>9.8699999999999996E-2</v>
      </c>
      <c r="CK2" s="228">
        <v>1</v>
      </c>
      <c r="CL2" s="228">
        <v>1</v>
      </c>
      <c r="CM2" s="228">
        <v>1</v>
      </c>
      <c r="CN2" s="229">
        <v>1.3332999999999999</v>
      </c>
      <c r="CO2" s="228">
        <v>43</v>
      </c>
      <c r="CP2" s="228">
        <v>105</v>
      </c>
      <c r="CQ2" s="228">
        <v>-62</v>
      </c>
      <c r="CR2" s="229">
        <v>-0.58779999999999999</v>
      </c>
      <c r="CS2" s="228">
        <v>20</v>
      </c>
      <c r="CT2" s="228">
        <v>103</v>
      </c>
      <c r="CU2" s="228">
        <v>-83</v>
      </c>
      <c r="CV2" s="229">
        <v>-0.8014</v>
      </c>
      <c r="CW2" s="228">
        <v>603</v>
      </c>
      <c r="CX2" s="228">
        <v>814</v>
      </c>
      <c r="CY2" s="228">
        <v>-211</v>
      </c>
      <c r="CZ2" s="229">
        <v>-0.25900000000000001</v>
      </c>
      <c r="DA2" s="228">
        <v>31.44</v>
      </c>
      <c r="DB2" s="228">
        <v>31.91</v>
      </c>
      <c r="DC2" s="228">
        <v>-0.47</v>
      </c>
      <c r="DD2" s="228">
        <v>-0.47</v>
      </c>
      <c r="DE2" s="228">
        <v>41.13</v>
      </c>
      <c r="DF2" s="228">
        <v>41.19</v>
      </c>
      <c r="DG2" s="228">
        <v>-9.69</v>
      </c>
      <c r="DH2" s="228">
        <v>-0.06</v>
      </c>
      <c r="DI2" s="228">
        <v>31.46</v>
      </c>
      <c r="DJ2" s="228">
        <v>31.66</v>
      </c>
      <c r="DK2" s="228">
        <v>-0.2</v>
      </c>
      <c r="DL2" s="228">
        <v>-0.2</v>
      </c>
      <c r="DM2" s="228">
        <v>31.34</v>
      </c>
      <c r="DN2" s="228">
        <v>32.64</v>
      </c>
      <c r="DO2" s="228">
        <v>-1.3</v>
      </c>
      <c r="DP2" s="228">
        <v>-1.3</v>
      </c>
      <c r="DQ2" s="228">
        <v>0.47</v>
      </c>
      <c r="DR2" s="228">
        <v>0.98</v>
      </c>
      <c r="DS2" s="228">
        <v>-0.51</v>
      </c>
      <c r="DT2" s="229">
        <v>-0.52039999999999997</v>
      </c>
      <c r="DU2" s="231">
        <v>1100</v>
      </c>
      <c r="DV2" s="231">
        <v>1000</v>
      </c>
      <c r="DW2" s="228">
        <v>0.56000000000000005</v>
      </c>
      <c r="DX2" s="228">
        <v>0.74</v>
      </c>
      <c r="DY2" s="228">
        <v>-0.18</v>
      </c>
      <c r="DZ2" s="229">
        <v>-0.2432</v>
      </c>
      <c r="EA2" s="229">
        <v>0.96870000000000001</v>
      </c>
      <c r="EB2" s="230">
        <v>4327500</v>
      </c>
      <c r="EC2" s="229">
        <v>7.9000000000000008E-3</v>
      </c>
      <c r="ED2" s="229">
        <v>0.96870000000000001</v>
      </c>
      <c r="EE2" s="228">
        <v>6.9</v>
      </c>
      <c r="EF2" s="229">
        <v>6.1000000000000004E-3</v>
      </c>
      <c r="EG2" s="230">
        <v>352501</v>
      </c>
      <c r="EH2" s="230">
        <v>508689</v>
      </c>
      <c r="EI2" s="229">
        <v>-0.307</v>
      </c>
      <c r="EJ2" s="229">
        <v>0.4476</v>
      </c>
      <c r="EK2" s="228">
        <v>129.26</v>
      </c>
      <c r="EL2" s="228">
        <v>67</v>
      </c>
      <c r="EM2" s="228">
        <v>353.91</v>
      </c>
      <c r="EN2" s="228">
        <v>47.61</v>
      </c>
      <c r="EO2" s="228">
        <v>550.16</v>
      </c>
      <c r="EP2" s="228">
        <v>764.58</v>
      </c>
      <c r="EQ2" s="228">
        <v>-214.42</v>
      </c>
      <c r="ER2" s="229">
        <v>-0.28039999999999998</v>
      </c>
      <c r="ES2" s="228">
        <v>44.1</v>
      </c>
      <c r="ET2" s="228">
        <v>19.82</v>
      </c>
      <c r="EU2" s="228">
        <v>539.79</v>
      </c>
      <c r="EV2" s="231">
        <v>37756901</v>
      </c>
      <c r="EW2" s="228">
        <v>603.71</v>
      </c>
      <c r="EX2" s="228">
        <v>815.98</v>
      </c>
      <c r="EY2" s="228">
        <v>-212.27</v>
      </c>
      <c r="EZ2" s="229">
        <v>-0.2601</v>
      </c>
      <c r="FA2" s="229">
        <v>0.1409</v>
      </c>
      <c r="FB2" s="227" t="s">
        <v>567</v>
      </c>
      <c r="FC2">
        <f>BY2-CC2</f>
        <v>523</v>
      </c>
    </row>
    <row r="3" spans="1:159" ht="17.25" thickBot="1" x14ac:dyDescent="0.3">
      <c r="A3" s="226">
        <v>46168</v>
      </c>
      <c r="B3" s="227" t="s">
        <v>184</v>
      </c>
      <c r="C3" s="227" t="s">
        <v>553</v>
      </c>
      <c r="D3" s="228">
        <v>125</v>
      </c>
      <c r="E3" s="228">
        <v>0</v>
      </c>
      <c r="F3" s="231">
        <v>6784.5</v>
      </c>
      <c r="G3" s="231">
        <v>6692</v>
      </c>
      <c r="H3" s="228">
        <v>92.5</v>
      </c>
      <c r="I3" s="229">
        <v>1.38E-2</v>
      </c>
      <c r="J3" s="231">
        <v>6804</v>
      </c>
      <c r="K3" s="231">
        <v>6755</v>
      </c>
      <c r="L3" s="228">
        <v>49</v>
      </c>
      <c r="M3" s="229">
        <v>7.3000000000000001E-3</v>
      </c>
      <c r="N3" s="231">
        <v>6805.5</v>
      </c>
      <c r="O3" s="231">
        <v>6760.5</v>
      </c>
      <c r="P3" s="228">
        <v>45</v>
      </c>
      <c r="Q3" s="229">
        <v>6.7000000000000002E-3</v>
      </c>
      <c r="R3" s="231">
        <v>6784.5</v>
      </c>
      <c r="S3" s="231">
        <v>6692</v>
      </c>
      <c r="T3" s="228">
        <v>92.5</v>
      </c>
      <c r="U3" s="229">
        <v>1.38E-2</v>
      </c>
      <c r="V3" s="231">
        <v>6757</v>
      </c>
      <c r="W3" s="231">
        <v>6683</v>
      </c>
      <c r="X3" s="228">
        <v>74</v>
      </c>
      <c r="Y3" s="229">
        <v>1.11E-2</v>
      </c>
      <c r="Z3" s="228">
        <v>-19.5</v>
      </c>
      <c r="AA3" s="228">
        <v>5.5</v>
      </c>
      <c r="AB3" s="228">
        <v>-25</v>
      </c>
      <c r="AC3" s="229">
        <v>-2.8999999999999998E-3</v>
      </c>
      <c r="AD3" s="228">
        <v>1.5</v>
      </c>
      <c r="AE3" s="228">
        <v>5.5</v>
      </c>
      <c r="AF3" s="228">
        <v>-4</v>
      </c>
      <c r="AG3" s="229">
        <v>2.0000000000000001E-4</v>
      </c>
      <c r="AH3" s="228">
        <v>-19.5</v>
      </c>
      <c r="AI3" s="228">
        <v>-63</v>
      </c>
      <c r="AJ3" s="228">
        <v>43.5</v>
      </c>
      <c r="AK3" s="229">
        <v>-2.8999999999999998E-3</v>
      </c>
      <c r="AL3" s="228">
        <v>-47</v>
      </c>
      <c r="AM3" s="228">
        <v>-72</v>
      </c>
      <c r="AN3" s="228">
        <v>25</v>
      </c>
      <c r="AO3" s="229">
        <v>-6.8999999999999999E-3</v>
      </c>
      <c r="AP3" s="231">
        <v>6773.23</v>
      </c>
      <c r="AQ3" s="231">
        <v>6734.2</v>
      </c>
      <c r="AR3" s="228">
        <v>0</v>
      </c>
      <c r="AS3" s="228">
        <v>511</v>
      </c>
      <c r="AT3" s="230">
        <v>1259</v>
      </c>
      <c r="AU3" s="228">
        <v>-748</v>
      </c>
      <c r="AV3" s="229">
        <v>-0.59399999999999997</v>
      </c>
      <c r="AW3" s="228">
        <v>219</v>
      </c>
      <c r="AX3" s="228">
        <v>587</v>
      </c>
      <c r="AY3" s="228">
        <v>-367</v>
      </c>
      <c r="AZ3" s="229">
        <v>-0.62629999999999997</v>
      </c>
      <c r="BA3" s="228">
        <v>278</v>
      </c>
      <c r="BB3" s="228">
        <v>658</v>
      </c>
      <c r="BC3" s="228">
        <v>-380</v>
      </c>
      <c r="BD3" s="229">
        <v>-0.57750000000000001</v>
      </c>
      <c r="BE3" s="228">
        <v>14</v>
      </c>
      <c r="BF3" s="228">
        <v>14</v>
      </c>
      <c r="BG3" s="228">
        <v>0</v>
      </c>
      <c r="BH3" s="229">
        <v>-2.3800000000000002E-2</v>
      </c>
      <c r="BI3" s="230">
        <v>1137</v>
      </c>
      <c r="BJ3" s="230">
        <v>2667</v>
      </c>
      <c r="BK3" s="230">
        <v>-1530</v>
      </c>
      <c r="BL3" s="229">
        <v>-0.57369999999999999</v>
      </c>
      <c r="BM3" s="228">
        <v>609</v>
      </c>
      <c r="BN3" s="230">
        <v>1272</v>
      </c>
      <c r="BO3" s="228">
        <v>-663</v>
      </c>
      <c r="BP3" s="229">
        <v>-0.52139999999999997</v>
      </c>
      <c r="BQ3" s="230">
        <v>2257</v>
      </c>
      <c r="BR3" s="230">
        <v>5197</v>
      </c>
      <c r="BS3" s="230">
        <v>-2940</v>
      </c>
      <c r="BT3" s="229">
        <v>-0.56579999999999997</v>
      </c>
      <c r="BU3" s="230">
        <v>205283</v>
      </c>
      <c r="BV3" s="230">
        <v>286452</v>
      </c>
      <c r="BW3" s="230">
        <v>-81169</v>
      </c>
      <c r="BX3" s="229">
        <v>-0.28339999999999999</v>
      </c>
      <c r="BY3" s="230">
        <v>1692</v>
      </c>
      <c r="BZ3" s="230">
        <v>1963</v>
      </c>
      <c r="CA3" s="228">
        <v>-271</v>
      </c>
      <c r="CB3" s="229">
        <v>-0.1381</v>
      </c>
      <c r="CC3" s="228">
        <v>232</v>
      </c>
      <c r="CD3" s="228">
        <v>294</v>
      </c>
      <c r="CE3" s="228">
        <v>-62</v>
      </c>
      <c r="CF3" s="229">
        <v>-0.2114</v>
      </c>
      <c r="CG3" s="230">
        <v>1665</v>
      </c>
      <c r="CH3" s="230">
        <v>1644</v>
      </c>
      <c r="CI3" s="228">
        <v>22</v>
      </c>
      <c r="CJ3" s="229">
        <v>1.3100000000000001E-2</v>
      </c>
      <c r="CK3" s="228">
        <v>27</v>
      </c>
      <c r="CL3" s="228">
        <v>25</v>
      </c>
      <c r="CM3" s="228">
        <v>1</v>
      </c>
      <c r="CN3" s="229">
        <v>5.7200000000000001E-2</v>
      </c>
      <c r="CO3" s="228">
        <v>364</v>
      </c>
      <c r="CP3" s="230">
        <v>1250</v>
      </c>
      <c r="CQ3" s="228">
        <v>-886</v>
      </c>
      <c r="CR3" s="229">
        <v>-0.70860000000000001</v>
      </c>
      <c r="CS3" s="228">
        <v>320</v>
      </c>
      <c r="CT3" s="228">
        <v>779</v>
      </c>
      <c r="CU3" s="228">
        <v>-459</v>
      </c>
      <c r="CV3" s="229">
        <v>-0.58950000000000002</v>
      </c>
      <c r="CW3" s="230">
        <v>2376</v>
      </c>
      <c r="CX3" s="230">
        <v>3992</v>
      </c>
      <c r="CY3" s="230">
        <v>-1616</v>
      </c>
      <c r="CZ3" s="229">
        <v>-0.40479999999999999</v>
      </c>
      <c r="DA3" s="228">
        <v>28.34</v>
      </c>
      <c r="DB3" s="228">
        <v>30.55</v>
      </c>
      <c r="DC3" s="228">
        <v>-2.21</v>
      </c>
      <c r="DD3" s="228">
        <v>-2.21</v>
      </c>
      <c r="DE3" s="228">
        <v>38.76</v>
      </c>
      <c r="DF3" s="228">
        <v>38.82</v>
      </c>
      <c r="DG3" s="228">
        <v>-10.42</v>
      </c>
      <c r="DH3" s="228">
        <v>-0.06</v>
      </c>
      <c r="DI3" s="228">
        <v>28.33</v>
      </c>
      <c r="DJ3" s="228">
        <v>30.59</v>
      </c>
      <c r="DK3" s="228">
        <v>-2.2599999999999998</v>
      </c>
      <c r="DL3" s="228">
        <v>-2.2599999999999998</v>
      </c>
      <c r="DM3" s="228">
        <v>28.36</v>
      </c>
      <c r="DN3" s="228">
        <v>30.48</v>
      </c>
      <c r="DO3" s="228">
        <v>-2.12</v>
      </c>
      <c r="DP3" s="228">
        <v>-2.12</v>
      </c>
      <c r="DQ3" s="228">
        <v>0.88</v>
      </c>
      <c r="DR3" s="228">
        <v>0.62</v>
      </c>
      <c r="DS3" s="228">
        <v>0.26</v>
      </c>
      <c r="DT3" s="229">
        <v>0.4194</v>
      </c>
      <c r="DU3" s="231">
        <v>7000</v>
      </c>
      <c r="DV3" s="231">
        <v>6500</v>
      </c>
      <c r="DW3" s="228">
        <v>0.54</v>
      </c>
      <c r="DX3" s="228">
        <v>0.48</v>
      </c>
      <c r="DY3" s="228">
        <v>0.06</v>
      </c>
      <c r="DZ3" s="229">
        <v>0.125</v>
      </c>
      <c r="EA3" s="229">
        <v>0.87939999999999996</v>
      </c>
      <c r="EB3" s="230">
        <v>2459750</v>
      </c>
      <c r="EC3" s="229">
        <v>-3.0999999999999999E-3</v>
      </c>
      <c r="ED3" s="229">
        <v>0.87939999999999996</v>
      </c>
      <c r="EE3" s="228">
        <v>-39.03</v>
      </c>
      <c r="EF3" s="229">
        <v>-5.7999999999999996E-3</v>
      </c>
      <c r="EG3" s="230">
        <v>88602</v>
      </c>
      <c r="EH3" s="230">
        <v>117008</v>
      </c>
      <c r="EI3" s="229">
        <v>-0.24279999999999999</v>
      </c>
      <c r="EJ3" s="229">
        <v>0.43159999999999998</v>
      </c>
      <c r="EK3" s="231">
        <v>1188.8699999999999</v>
      </c>
      <c r="EL3" s="228">
        <v>606.77</v>
      </c>
      <c r="EM3" s="228">
        <v>508.47</v>
      </c>
      <c r="EN3" s="228">
        <v>125.63</v>
      </c>
      <c r="EO3" s="231">
        <v>2304.11</v>
      </c>
      <c r="EP3" s="231">
        <v>5239.2</v>
      </c>
      <c r="EQ3" s="231">
        <v>-2935.09</v>
      </c>
      <c r="ER3" s="229">
        <v>-0.56020000000000003</v>
      </c>
      <c r="ES3" s="228">
        <v>375.8</v>
      </c>
      <c r="ET3" s="228">
        <v>304.57</v>
      </c>
      <c r="EU3" s="231">
        <v>1691.69</v>
      </c>
      <c r="EV3" s="231">
        <v>7946564</v>
      </c>
      <c r="EW3" s="231">
        <v>2372.06</v>
      </c>
      <c r="EX3" s="231">
        <v>3990.81</v>
      </c>
      <c r="EY3" s="231">
        <v>-1618.75</v>
      </c>
      <c r="EZ3" s="229">
        <v>-0.40560000000000002</v>
      </c>
      <c r="FA3" s="229">
        <v>0.44069999999999998</v>
      </c>
      <c r="FB3" s="227" t="s">
        <v>691</v>
      </c>
      <c r="FC3">
        <f t="shared" ref="FC3:FC66" si="0">BY3-CC3</f>
        <v>1460</v>
      </c>
    </row>
    <row r="4" spans="1:159" ht="17.25" thickBot="1" x14ac:dyDescent="0.3">
      <c r="A4" s="226">
        <v>46168</v>
      </c>
      <c r="B4" s="227" t="s">
        <v>175</v>
      </c>
      <c r="C4" s="227" t="s">
        <v>544</v>
      </c>
      <c r="D4" s="228">
        <v>3100</v>
      </c>
      <c r="E4" s="228">
        <v>0</v>
      </c>
      <c r="F4" s="228">
        <v>364.8</v>
      </c>
      <c r="G4" s="228">
        <v>366.6</v>
      </c>
      <c r="H4" s="228">
        <v>-1.8</v>
      </c>
      <c r="I4" s="229">
        <v>-4.8999999999999998E-3</v>
      </c>
      <c r="J4" s="228">
        <v>363.05</v>
      </c>
      <c r="K4" s="228">
        <v>363.65</v>
      </c>
      <c r="L4" s="228">
        <v>-0.6</v>
      </c>
      <c r="M4" s="229">
        <v>-1.6000000000000001E-3</v>
      </c>
      <c r="N4" s="228">
        <v>362.1</v>
      </c>
      <c r="O4" s="228">
        <v>364.35</v>
      </c>
      <c r="P4" s="228">
        <v>-2.25</v>
      </c>
      <c r="Q4" s="229">
        <v>-6.1999999999999998E-3</v>
      </c>
      <c r="R4" s="228">
        <v>364.8</v>
      </c>
      <c r="S4" s="228">
        <v>366.6</v>
      </c>
      <c r="T4" s="228">
        <v>-1.8</v>
      </c>
      <c r="U4" s="229">
        <v>-4.8999999999999998E-3</v>
      </c>
      <c r="V4" s="228">
        <v>367.05</v>
      </c>
      <c r="W4" s="228">
        <v>368.35</v>
      </c>
      <c r="X4" s="228">
        <v>-1.3</v>
      </c>
      <c r="Y4" s="229">
        <v>-3.5000000000000001E-3</v>
      </c>
      <c r="Z4" s="228">
        <v>1.75</v>
      </c>
      <c r="AA4" s="228">
        <v>0.7</v>
      </c>
      <c r="AB4" s="228">
        <v>1.05</v>
      </c>
      <c r="AC4" s="229">
        <v>4.7999999999999996E-3</v>
      </c>
      <c r="AD4" s="228">
        <v>-0.95</v>
      </c>
      <c r="AE4" s="228">
        <v>0.7</v>
      </c>
      <c r="AF4" s="228">
        <v>-1.65</v>
      </c>
      <c r="AG4" s="229">
        <v>-2.5999999999999999E-3</v>
      </c>
      <c r="AH4" s="228">
        <v>1.75</v>
      </c>
      <c r="AI4" s="228">
        <v>2.95</v>
      </c>
      <c r="AJ4" s="228">
        <v>-1.2</v>
      </c>
      <c r="AK4" s="229">
        <v>4.7999999999999996E-3</v>
      </c>
      <c r="AL4" s="228">
        <v>4</v>
      </c>
      <c r="AM4" s="228">
        <v>4.7</v>
      </c>
      <c r="AN4" s="228">
        <v>-0.7</v>
      </c>
      <c r="AO4" s="229">
        <v>1.0999999999999999E-2</v>
      </c>
      <c r="AP4" s="228">
        <v>363.46</v>
      </c>
      <c r="AQ4" s="228">
        <v>365.88</v>
      </c>
      <c r="AR4" s="228">
        <v>0</v>
      </c>
      <c r="AS4" s="228">
        <v>739</v>
      </c>
      <c r="AT4" s="230">
        <v>1186</v>
      </c>
      <c r="AU4" s="228">
        <v>-446</v>
      </c>
      <c r="AV4" s="229">
        <v>-0.3765</v>
      </c>
      <c r="AW4" s="228">
        <v>325</v>
      </c>
      <c r="AX4" s="228">
        <v>559</v>
      </c>
      <c r="AY4" s="228">
        <v>-233</v>
      </c>
      <c r="AZ4" s="229">
        <v>-0.41739999999999999</v>
      </c>
      <c r="BA4" s="228">
        <v>409</v>
      </c>
      <c r="BB4" s="228">
        <v>623</v>
      </c>
      <c r="BC4" s="228">
        <v>-215</v>
      </c>
      <c r="BD4" s="229">
        <v>-0.34429999999999999</v>
      </c>
      <c r="BE4" s="228">
        <v>5</v>
      </c>
      <c r="BF4" s="228">
        <v>4</v>
      </c>
      <c r="BG4" s="228">
        <v>1</v>
      </c>
      <c r="BH4" s="229">
        <v>0.36359999999999998</v>
      </c>
      <c r="BI4" s="228">
        <v>299</v>
      </c>
      <c r="BJ4" s="228">
        <v>774</v>
      </c>
      <c r="BK4" s="228">
        <v>-475</v>
      </c>
      <c r="BL4" s="229">
        <v>-0.61399999999999999</v>
      </c>
      <c r="BM4" s="228">
        <v>152</v>
      </c>
      <c r="BN4" s="228">
        <v>496</v>
      </c>
      <c r="BO4" s="228">
        <v>-345</v>
      </c>
      <c r="BP4" s="229">
        <v>-0.69430000000000003</v>
      </c>
      <c r="BQ4" s="230">
        <v>1190</v>
      </c>
      <c r="BR4" s="230">
        <v>2456</v>
      </c>
      <c r="BS4" s="230">
        <v>-1266</v>
      </c>
      <c r="BT4" s="229">
        <v>-0.51559999999999995</v>
      </c>
      <c r="BU4" s="230">
        <v>5405116</v>
      </c>
      <c r="BV4" s="230">
        <v>2924877</v>
      </c>
      <c r="BW4" s="230">
        <v>2480239</v>
      </c>
      <c r="BX4" s="229">
        <v>0.84799999999999998</v>
      </c>
      <c r="BY4" s="230">
        <v>2042</v>
      </c>
      <c r="BZ4" s="230">
        <v>2138</v>
      </c>
      <c r="CA4" s="228">
        <v>-96</v>
      </c>
      <c r="CB4" s="229">
        <v>-4.4699999999999997E-2</v>
      </c>
      <c r="CC4" s="228">
        <v>34</v>
      </c>
      <c r="CD4" s="228">
        <v>277</v>
      </c>
      <c r="CE4" s="228">
        <v>-242</v>
      </c>
      <c r="CF4" s="229">
        <v>-0.87609999999999999</v>
      </c>
      <c r="CG4" s="230">
        <v>1983</v>
      </c>
      <c r="CH4" s="230">
        <v>1804</v>
      </c>
      <c r="CI4" s="228">
        <v>180</v>
      </c>
      <c r="CJ4" s="229">
        <v>9.9599999999999994E-2</v>
      </c>
      <c r="CK4" s="228">
        <v>59</v>
      </c>
      <c r="CL4" s="228">
        <v>58</v>
      </c>
      <c r="CM4" s="228">
        <v>1</v>
      </c>
      <c r="CN4" s="229">
        <v>2.5499999999999998E-2</v>
      </c>
      <c r="CO4" s="228">
        <v>209</v>
      </c>
      <c r="CP4" s="228">
        <v>579</v>
      </c>
      <c r="CQ4" s="228">
        <v>-371</v>
      </c>
      <c r="CR4" s="229">
        <v>-0.63990000000000002</v>
      </c>
      <c r="CS4" s="228">
        <v>180</v>
      </c>
      <c r="CT4" s="228">
        <v>466</v>
      </c>
      <c r="CU4" s="228">
        <v>-286</v>
      </c>
      <c r="CV4" s="229">
        <v>-0.61380000000000001</v>
      </c>
      <c r="CW4" s="230">
        <v>2431</v>
      </c>
      <c r="CX4" s="230">
        <v>3184</v>
      </c>
      <c r="CY4" s="228">
        <v>-753</v>
      </c>
      <c r="CZ4" s="229">
        <v>-0.2364</v>
      </c>
      <c r="DA4" s="228">
        <v>29.39</v>
      </c>
      <c r="DB4" s="228">
        <v>29.55</v>
      </c>
      <c r="DC4" s="228">
        <v>-0.16</v>
      </c>
      <c r="DD4" s="228">
        <v>-0.16</v>
      </c>
      <c r="DE4" s="228">
        <v>40.83</v>
      </c>
      <c r="DF4" s="228">
        <v>40.92</v>
      </c>
      <c r="DG4" s="228">
        <v>-11.44</v>
      </c>
      <c r="DH4" s="228">
        <v>-0.09</v>
      </c>
      <c r="DI4" s="228">
        <v>29.08</v>
      </c>
      <c r="DJ4" s="228">
        <v>29.25</v>
      </c>
      <c r="DK4" s="228">
        <v>-0.17</v>
      </c>
      <c r="DL4" s="228">
        <v>-0.17</v>
      </c>
      <c r="DM4" s="228">
        <v>29.84</v>
      </c>
      <c r="DN4" s="228">
        <v>29.96</v>
      </c>
      <c r="DO4" s="228">
        <v>-0.12</v>
      </c>
      <c r="DP4" s="228">
        <v>-0.12</v>
      </c>
      <c r="DQ4" s="228">
        <v>0.86</v>
      </c>
      <c r="DR4" s="228">
        <v>0.81</v>
      </c>
      <c r="DS4" s="228">
        <v>0.05</v>
      </c>
      <c r="DT4" s="229">
        <v>6.1699999999999998E-2</v>
      </c>
      <c r="DU4" s="228">
        <v>400</v>
      </c>
      <c r="DV4" s="228">
        <v>300</v>
      </c>
      <c r="DW4" s="228">
        <v>0.51</v>
      </c>
      <c r="DX4" s="228">
        <v>0.64</v>
      </c>
      <c r="DY4" s="228">
        <v>-0.13</v>
      </c>
      <c r="DZ4" s="229">
        <v>-0.2031</v>
      </c>
      <c r="EA4" s="229">
        <v>0.98350000000000004</v>
      </c>
      <c r="EB4" s="230">
        <v>51019800</v>
      </c>
      <c r="EC4" s="229">
        <v>7.4999999999999997E-3</v>
      </c>
      <c r="ED4" s="229">
        <v>0.98350000000000004</v>
      </c>
      <c r="EE4" s="228">
        <v>2.42</v>
      </c>
      <c r="EF4" s="229">
        <v>6.7000000000000002E-3</v>
      </c>
      <c r="EG4" s="230">
        <v>3538735</v>
      </c>
      <c r="EH4" s="230">
        <v>1361288</v>
      </c>
      <c r="EI4" s="229">
        <v>1.5994999999999999</v>
      </c>
      <c r="EJ4" s="229">
        <v>0.65469999999999995</v>
      </c>
      <c r="EK4" s="228">
        <v>311.31</v>
      </c>
      <c r="EL4" s="228">
        <v>146.22999999999999</v>
      </c>
      <c r="EM4" s="228">
        <v>739.2</v>
      </c>
      <c r="EN4" s="228">
        <v>95.39</v>
      </c>
      <c r="EO4" s="231">
        <v>1196.74</v>
      </c>
      <c r="EP4" s="231">
        <v>2458.1999999999998</v>
      </c>
      <c r="EQ4" s="231">
        <v>-1261.45</v>
      </c>
      <c r="ER4" s="229">
        <v>-0.51319999999999999</v>
      </c>
      <c r="ES4" s="228">
        <v>213.09</v>
      </c>
      <c r="ET4" s="228">
        <v>169.26</v>
      </c>
      <c r="EU4" s="231">
        <v>2042.62</v>
      </c>
      <c r="EV4" s="231">
        <v>123369777</v>
      </c>
      <c r="EW4" s="231">
        <v>2424.98</v>
      </c>
      <c r="EX4" s="231">
        <v>3177.52</v>
      </c>
      <c r="EY4" s="228">
        <v>-752.54</v>
      </c>
      <c r="EZ4" s="229">
        <v>-0.23680000000000001</v>
      </c>
      <c r="FA4" s="229">
        <v>0.54020000000000001</v>
      </c>
      <c r="FB4" s="227" t="s">
        <v>567</v>
      </c>
      <c r="FC4">
        <f t="shared" si="0"/>
        <v>2008</v>
      </c>
    </row>
    <row r="5" spans="1:159" ht="17.25" thickBot="1" x14ac:dyDescent="0.3">
      <c r="A5" s="226">
        <v>46168</v>
      </c>
      <c r="B5" s="227" t="s">
        <v>161</v>
      </c>
      <c r="C5" s="227" t="s">
        <v>578</v>
      </c>
      <c r="D5" s="228">
        <v>675</v>
      </c>
      <c r="E5" s="228">
        <v>0</v>
      </c>
      <c r="F5" s="231">
        <v>1469.3</v>
      </c>
      <c r="G5" s="231">
        <v>1413.8</v>
      </c>
      <c r="H5" s="228">
        <v>55.5</v>
      </c>
      <c r="I5" s="229">
        <v>3.9300000000000002E-2</v>
      </c>
      <c r="J5" s="231">
        <v>1463.3</v>
      </c>
      <c r="K5" s="231">
        <v>1404.3</v>
      </c>
      <c r="L5" s="228">
        <v>59</v>
      </c>
      <c r="M5" s="229">
        <v>4.2000000000000003E-2</v>
      </c>
      <c r="N5" s="231">
        <v>1455.5</v>
      </c>
      <c r="O5" s="231">
        <v>1404.5</v>
      </c>
      <c r="P5" s="228">
        <v>51</v>
      </c>
      <c r="Q5" s="229">
        <v>3.6299999999999999E-2</v>
      </c>
      <c r="R5" s="231">
        <v>1469.3</v>
      </c>
      <c r="S5" s="231">
        <v>1413.8</v>
      </c>
      <c r="T5" s="228">
        <v>55.5</v>
      </c>
      <c r="U5" s="229">
        <v>3.9300000000000002E-2</v>
      </c>
      <c r="V5" s="231">
        <v>1479.8</v>
      </c>
      <c r="W5" s="231">
        <v>1420.5</v>
      </c>
      <c r="X5" s="228">
        <v>59.3</v>
      </c>
      <c r="Y5" s="229">
        <v>4.1700000000000001E-2</v>
      </c>
      <c r="Z5" s="228">
        <v>6</v>
      </c>
      <c r="AA5" s="228">
        <v>0.2</v>
      </c>
      <c r="AB5" s="228">
        <v>5.8</v>
      </c>
      <c r="AC5" s="229">
        <v>4.1000000000000003E-3</v>
      </c>
      <c r="AD5" s="228">
        <v>-7.8</v>
      </c>
      <c r="AE5" s="228">
        <v>0.2</v>
      </c>
      <c r="AF5" s="228">
        <v>-8</v>
      </c>
      <c r="AG5" s="229">
        <v>-5.3E-3</v>
      </c>
      <c r="AH5" s="228">
        <v>6</v>
      </c>
      <c r="AI5" s="228">
        <v>9.5</v>
      </c>
      <c r="AJ5" s="228">
        <v>-3.5</v>
      </c>
      <c r="AK5" s="229">
        <v>4.1000000000000003E-3</v>
      </c>
      <c r="AL5" s="228">
        <v>16.5</v>
      </c>
      <c r="AM5" s="228">
        <v>16.2</v>
      </c>
      <c r="AN5" s="228">
        <v>0.3</v>
      </c>
      <c r="AO5" s="229">
        <v>1.1299999999999999E-2</v>
      </c>
      <c r="AP5" s="231">
        <v>1423.24</v>
      </c>
      <c r="AQ5" s="231">
        <v>1440.1</v>
      </c>
      <c r="AR5" s="228">
        <v>0</v>
      </c>
      <c r="AS5" s="230">
        <v>1943</v>
      </c>
      <c r="AT5" s="230">
        <v>2056</v>
      </c>
      <c r="AU5" s="228">
        <v>-113</v>
      </c>
      <c r="AV5" s="229">
        <v>-5.5199999999999999E-2</v>
      </c>
      <c r="AW5" s="228">
        <v>743</v>
      </c>
      <c r="AX5" s="228">
        <v>969</v>
      </c>
      <c r="AY5" s="228">
        <v>-226</v>
      </c>
      <c r="AZ5" s="229">
        <v>-0.2334</v>
      </c>
      <c r="BA5" s="230">
        <v>1192</v>
      </c>
      <c r="BB5" s="230">
        <v>1078</v>
      </c>
      <c r="BC5" s="228">
        <v>114</v>
      </c>
      <c r="BD5" s="229">
        <v>0.10580000000000001</v>
      </c>
      <c r="BE5" s="228">
        <v>8</v>
      </c>
      <c r="BF5" s="228">
        <v>9</v>
      </c>
      <c r="BG5" s="228">
        <v>-1</v>
      </c>
      <c r="BH5" s="229">
        <v>-0.13980000000000001</v>
      </c>
      <c r="BI5" s="230">
        <v>1932</v>
      </c>
      <c r="BJ5" s="230">
        <v>2970</v>
      </c>
      <c r="BK5" s="230">
        <v>-1037</v>
      </c>
      <c r="BL5" s="229">
        <v>-0.34939999999999999</v>
      </c>
      <c r="BM5" s="228">
        <v>677</v>
      </c>
      <c r="BN5" s="230">
        <v>1029</v>
      </c>
      <c r="BO5" s="228">
        <v>-352</v>
      </c>
      <c r="BP5" s="229">
        <v>-0.34179999999999999</v>
      </c>
      <c r="BQ5" s="230">
        <v>4552</v>
      </c>
      <c r="BR5" s="230">
        <v>6055</v>
      </c>
      <c r="BS5" s="230">
        <v>-1503</v>
      </c>
      <c r="BT5" s="229">
        <v>-0.2482</v>
      </c>
      <c r="BU5" s="230">
        <v>6604481</v>
      </c>
      <c r="BV5" s="230">
        <v>3328941</v>
      </c>
      <c r="BW5" s="230">
        <v>3275540</v>
      </c>
      <c r="BX5" s="229">
        <v>0.98399999999999999</v>
      </c>
      <c r="BY5" s="230">
        <v>2919</v>
      </c>
      <c r="BZ5" s="230">
        <v>3075</v>
      </c>
      <c r="CA5" s="228">
        <v>-156</v>
      </c>
      <c r="CB5" s="229">
        <v>-5.0700000000000002E-2</v>
      </c>
      <c r="CC5" s="228">
        <v>306</v>
      </c>
      <c r="CD5" s="228">
        <v>476</v>
      </c>
      <c r="CE5" s="228">
        <v>-170</v>
      </c>
      <c r="CF5" s="229">
        <v>-0.35649999999999998</v>
      </c>
      <c r="CG5" s="230">
        <v>2908</v>
      </c>
      <c r="CH5" s="230">
        <v>2588</v>
      </c>
      <c r="CI5" s="228">
        <v>320</v>
      </c>
      <c r="CJ5" s="229">
        <v>0.1237</v>
      </c>
      <c r="CK5" s="228">
        <v>11</v>
      </c>
      <c r="CL5" s="228">
        <v>11</v>
      </c>
      <c r="CM5" s="228">
        <v>0</v>
      </c>
      <c r="CN5" s="229">
        <v>2.75E-2</v>
      </c>
      <c r="CO5" s="228">
        <v>387</v>
      </c>
      <c r="CP5" s="228">
        <v>965</v>
      </c>
      <c r="CQ5" s="228">
        <v>-577</v>
      </c>
      <c r="CR5" s="229">
        <v>-0.59840000000000004</v>
      </c>
      <c r="CS5" s="228">
        <v>268</v>
      </c>
      <c r="CT5" s="228">
        <v>558</v>
      </c>
      <c r="CU5" s="228">
        <v>-289</v>
      </c>
      <c r="CV5" s="229">
        <v>-0.51910000000000001</v>
      </c>
      <c r="CW5" s="230">
        <v>3575</v>
      </c>
      <c r="CX5" s="230">
        <v>4598</v>
      </c>
      <c r="CY5" s="230">
        <v>-1023</v>
      </c>
      <c r="CZ5" s="229">
        <v>-0.22239999999999999</v>
      </c>
      <c r="DA5" s="228">
        <v>48.7</v>
      </c>
      <c r="DB5" s="228">
        <v>49.56</v>
      </c>
      <c r="DC5" s="228">
        <v>-0.86</v>
      </c>
      <c r="DD5" s="228">
        <v>-0.86</v>
      </c>
      <c r="DE5" s="228">
        <v>55.25</v>
      </c>
      <c r="DF5" s="228">
        <v>55.14</v>
      </c>
      <c r="DG5" s="228">
        <v>-6.55</v>
      </c>
      <c r="DH5" s="228">
        <v>0.11</v>
      </c>
      <c r="DI5" s="228">
        <v>48.02</v>
      </c>
      <c r="DJ5" s="228">
        <v>49.88</v>
      </c>
      <c r="DK5" s="228">
        <v>-1.86</v>
      </c>
      <c r="DL5" s="228">
        <v>-1.86</v>
      </c>
      <c r="DM5" s="228">
        <v>50.66</v>
      </c>
      <c r="DN5" s="228">
        <v>48.56</v>
      </c>
      <c r="DO5" s="228">
        <v>2.1</v>
      </c>
      <c r="DP5" s="228">
        <v>2.1</v>
      </c>
      <c r="DQ5" s="228">
        <v>0.69</v>
      </c>
      <c r="DR5" s="228">
        <v>0.57999999999999996</v>
      </c>
      <c r="DS5" s="228">
        <v>0.11</v>
      </c>
      <c r="DT5" s="229">
        <v>0.18970000000000001</v>
      </c>
      <c r="DU5" s="231">
        <v>1500</v>
      </c>
      <c r="DV5" s="231">
        <v>1400</v>
      </c>
      <c r="DW5" s="228">
        <v>0.35</v>
      </c>
      <c r="DX5" s="228">
        <v>0.35</v>
      </c>
      <c r="DY5" s="228">
        <v>0</v>
      </c>
      <c r="DZ5" s="229">
        <v>0</v>
      </c>
      <c r="EA5" s="229">
        <v>0.90500000000000003</v>
      </c>
      <c r="EB5" s="230">
        <v>17689050</v>
      </c>
      <c r="EC5" s="229">
        <v>9.4999999999999998E-3</v>
      </c>
      <c r="ED5" s="229">
        <v>0.90500000000000003</v>
      </c>
      <c r="EE5" s="228">
        <v>16.86</v>
      </c>
      <c r="EF5" s="229">
        <v>1.18E-2</v>
      </c>
      <c r="EG5" s="230">
        <v>2818288</v>
      </c>
      <c r="EH5" s="230">
        <v>1428368</v>
      </c>
      <c r="EI5" s="229">
        <v>0.97309999999999997</v>
      </c>
      <c r="EJ5" s="229">
        <v>0.42670000000000002</v>
      </c>
      <c r="EK5" s="231">
        <v>1970.48</v>
      </c>
      <c r="EL5" s="228">
        <v>631.16</v>
      </c>
      <c r="EM5" s="231">
        <v>1895.98</v>
      </c>
      <c r="EN5" s="228">
        <v>157.05000000000001</v>
      </c>
      <c r="EO5" s="231">
        <v>4497.62</v>
      </c>
      <c r="EP5" s="231">
        <v>5811.38</v>
      </c>
      <c r="EQ5" s="231">
        <v>-1313.75</v>
      </c>
      <c r="ER5" s="229">
        <v>-0.2261</v>
      </c>
      <c r="ES5" s="228">
        <v>369.45</v>
      </c>
      <c r="ET5" s="228">
        <v>238.32</v>
      </c>
      <c r="EU5" s="231">
        <v>2919.48</v>
      </c>
      <c r="EV5" s="231">
        <v>35196587</v>
      </c>
      <c r="EW5" s="231">
        <v>3527.24</v>
      </c>
      <c r="EX5" s="231">
        <v>4369.99</v>
      </c>
      <c r="EY5" s="228">
        <v>-842.75</v>
      </c>
      <c r="EZ5" s="229">
        <v>-0.1928</v>
      </c>
      <c r="FA5" s="229">
        <v>0.69130000000000003</v>
      </c>
      <c r="FB5" s="227" t="s">
        <v>691</v>
      </c>
      <c r="FC5">
        <f t="shared" si="0"/>
        <v>2613</v>
      </c>
    </row>
    <row r="6" spans="1:159" ht="17.25" thickBot="1" x14ac:dyDescent="0.3">
      <c r="A6" s="226">
        <v>46168</v>
      </c>
      <c r="B6" s="227" t="s">
        <v>215</v>
      </c>
      <c r="C6" s="227" t="s">
        <v>159</v>
      </c>
      <c r="D6" s="228">
        <v>309</v>
      </c>
      <c r="E6" s="228">
        <v>0</v>
      </c>
      <c r="F6" s="231">
        <v>2986</v>
      </c>
      <c r="G6" s="231">
        <v>2865.7</v>
      </c>
      <c r="H6" s="228">
        <v>120.3</v>
      </c>
      <c r="I6" s="229">
        <v>4.2000000000000003E-2</v>
      </c>
      <c r="J6" s="231">
        <v>2969.3</v>
      </c>
      <c r="K6" s="231">
        <v>2849.7</v>
      </c>
      <c r="L6" s="228">
        <v>119.6</v>
      </c>
      <c r="M6" s="229">
        <v>4.2000000000000003E-2</v>
      </c>
      <c r="N6" s="231">
        <v>2963.6</v>
      </c>
      <c r="O6" s="231">
        <v>2848.3</v>
      </c>
      <c r="P6" s="228">
        <v>115.3</v>
      </c>
      <c r="Q6" s="229">
        <v>4.0500000000000001E-2</v>
      </c>
      <c r="R6" s="231">
        <v>2986</v>
      </c>
      <c r="S6" s="231">
        <v>2865.7</v>
      </c>
      <c r="T6" s="228">
        <v>120.3</v>
      </c>
      <c r="U6" s="229">
        <v>4.2000000000000003E-2</v>
      </c>
      <c r="V6" s="231">
        <v>3002.4</v>
      </c>
      <c r="W6" s="231">
        <v>2881.1</v>
      </c>
      <c r="X6" s="228">
        <v>121.3</v>
      </c>
      <c r="Y6" s="229">
        <v>4.2099999999999999E-2</v>
      </c>
      <c r="Z6" s="228">
        <v>16.7</v>
      </c>
      <c r="AA6" s="228">
        <v>-1.4</v>
      </c>
      <c r="AB6" s="228">
        <v>18.100000000000001</v>
      </c>
      <c r="AC6" s="229">
        <v>5.5999999999999999E-3</v>
      </c>
      <c r="AD6" s="228">
        <v>-5.7</v>
      </c>
      <c r="AE6" s="228">
        <v>-1.4</v>
      </c>
      <c r="AF6" s="228">
        <v>-4.3</v>
      </c>
      <c r="AG6" s="229">
        <v>-1.9E-3</v>
      </c>
      <c r="AH6" s="228">
        <v>16.7</v>
      </c>
      <c r="AI6" s="228">
        <v>16</v>
      </c>
      <c r="AJ6" s="228">
        <v>0.7</v>
      </c>
      <c r="AK6" s="229">
        <v>5.5999999999999999E-3</v>
      </c>
      <c r="AL6" s="228">
        <v>33.1</v>
      </c>
      <c r="AM6" s="228">
        <v>31.4</v>
      </c>
      <c r="AN6" s="228">
        <v>1.7</v>
      </c>
      <c r="AO6" s="229">
        <v>1.11E-2</v>
      </c>
      <c r="AP6" s="231">
        <v>2910.2</v>
      </c>
      <c r="AQ6" s="231">
        <v>2941.52</v>
      </c>
      <c r="AR6" s="228">
        <v>0</v>
      </c>
      <c r="AS6" s="230">
        <v>3856</v>
      </c>
      <c r="AT6" s="230">
        <v>4672</v>
      </c>
      <c r="AU6" s="228">
        <v>-816</v>
      </c>
      <c r="AV6" s="229">
        <v>-0.17460000000000001</v>
      </c>
      <c r="AW6" s="230">
        <v>1212</v>
      </c>
      <c r="AX6" s="230">
        <v>2167</v>
      </c>
      <c r="AY6" s="228">
        <v>-955</v>
      </c>
      <c r="AZ6" s="229">
        <v>-0.44059999999999999</v>
      </c>
      <c r="BA6" s="230">
        <v>2593</v>
      </c>
      <c r="BB6" s="230">
        <v>2466</v>
      </c>
      <c r="BC6" s="228">
        <v>127</v>
      </c>
      <c r="BD6" s="229">
        <v>5.16E-2</v>
      </c>
      <c r="BE6" s="228">
        <v>51</v>
      </c>
      <c r="BF6" s="228">
        <v>40</v>
      </c>
      <c r="BG6" s="228">
        <v>12</v>
      </c>
      <c r="BH6" s="229">
        <v>0.29070000000000001</v>
      </c>
      <c r="BI6" s="230">
        <v>9114</v>
      </c>
      <c r="BJ6" s="230">
        <v>14964</v>
      </c>
      <c r="BK6" s="230">
        <v>-5849</v>
      </c>
      <c r="BL6" s="229">
        <v>-0.39090000000000003</v>
      </c>
      <c r="BM6" s="230">
        <v>4221</v>
      </c>
      <c r="BN6" s="230">
        <v>5410</v>
      </c>
      <c r="BO6" s="230">
        <v>-1189</v>
      </c>
      <c r="BP6" s="229">
        <v>-0.21970000000000001</v>
      </c>
      <c r="BQ6" s="230">
        <v>17192</v>
      </c>
      <c r="BR6" s="230">
        <v>25046</v>
      </c>
      <c r="BS6" s="230">
        <v>-7854</v>
      </c>
      <c r="BT6" s="229">
        <v>-0.31359999999999999</v>
      </c>
      <c r="BU6" s="230">
        <v>5167154</v>
      </c>
      <c r="BV6" s="230">
        <v>3568459</v>
      </c>
      <c r="BW6" s="230">
        <v>1598695</v>
      </c>
      <c r="BX6" s="229">
        <v>0.44800000000000001</v>
      </c>
      <c r="BY6" s="230">
        <v>5962</v>
      </c>
      <c r="BZ6" s="230">
        <v>6085</v>
      </c>
      <c r="CA6" s="228">
        <v>-123</v>
      </c>
      <c r="CB6" s="229">
        <v>-2.0299999999999999E-2</v>
      </c>
      <c r="CC6" s="228">
        <v>542</v>
      </c>
      <c r="CD6" s="230">
        <v>1216</v>
      </c>
      <c r="CE6" s="228">
        <v>-674</v>
      </c>
      <c r="CF6" s="229">
        <v>-0.55420000000000003</v>
      </c>
      <c r="CG6" s="230">
        <v>5816</v>
      </c>
      <c r="CH6" s="230">
        <v>4735</v>
      </c>
      <c r="CI6" s="230">
        <v>1081</v>
      </c>
      <c r="CJ6" s="229">
        <v>0.22839999999999999</v>
      </c>
      <c r="CK6" s="228">
        <v>146</v>
      </c>
      <c r="CL6" s="228">
        <v>135</v>
      </c>
      <c r="CM6" s="228">
        <v>11</v>
      </c>
      <c r="CN6" s="229">
        <v>8.2199999999999995E-2</v>
      </c>
      <c r="CO6" s="230">
        <v>1330</v>
      </c>
      <c r="CP6" s="230">
        <v>3075</v>
      </c>
      <c r="CQ6" s="230">
        <v>-1744</v>
      </c>
      <c r="CR6" s="229">
        <v>-0.56730000000000003</v>
      </c>
      <c r="CS6" s="230">
        <v>1193</v>
      </c>
      <c r="CT6" s="230">
        <v>2634</v>
      </c>
      <c r="CU6" s="230">
        <v>-1441</v>
      </c>
      <c r="CV6" s="229">
        <v>-0.54720000000000002</v>
      </c>
      <c r="CW6" s="230">
        <v>8485</v>
      </c>
      <c r="CX6" s="230">
        <v>11794</v>
      </c>
      <c r="CY6" s="230">
        <v>-3309</v>
      </c>
      <c r="CZ6" s="229">
        <v>-0.28060000000000002</v>
      </c>
      <c r="DA6" s="228">
        <v>35.130000000000003</v>
      </c>
      <c r="DB6" s="228">
        <v>35.96</v>
      </c>
      <c r="DC6" s="228">
        <v>-0.83</v>
      </c>
      <c r="DD6" s="228">
        <v>-0.83</v>
      </c>
      <c r="DE6" s="228">
        <v>49.71</v>
      </c>
      <c r="DF6" s="228">
        <v>49.52</v>
      </c>
      <c r="DG6" s="228">
        <v>-14.58</v>
      </c>
      <c r="DH6" s="228">
        <v>0.19</v>
      </c>
      <c r="DI6" s="228">
        <v>34.86</v>
      </c>
      <c r="DJ6" s="228">
        <v>35.69</v>
      </c>
      <c r="DK6" s="228">
        <v>-0.83</v>
      </c>
      <c r="DL6" s="228">
        <v>-0.83</v>
      </c>
      <c r="DM6" s="228">
        <v>35.69</v>
      </c>
      <c r="DN6" s="228">
        <v>36.520000000000003</v>
      </c>
      <c r="DO6" s="228">
        <v>-0.83</v>
      </c>
      <c r="DP6" s="228">
        <v>-0.83</v>
      </c>
      <c r="DQ6" s="228">
        <v>0.9</v>
      </c>
      <c r="DR6" s="228">
        <v>0.86</v>
      </c>
      <c r="DS6" s="228">
        <v>0.04</v>
      </c>
      <c r="DT6" s="229">
        <v>4.65E-2</v>
      </c>
      <c r="DU6" s="231">
        <v>3000</v>
      </c>
      <c r="DV6" s="231">
        <v>2800</v>
      </c>
      <c r="DW6" s="228">
        <v>0.46</v>
      </c>
      <c r="DX6" s="228">
        <v>0.36</v>
      </c>
      <c r="DY6" s="228">
        <v>0.1</v>
      </c>
      <c r="DZ6" s="229">
        <v>0.27779999999999999</v>
      </c>
      <c r="EA6" s="229">
        <v>0.91669999999999996</v>
      </c>
      <c r="EB6" s="230">
        <v>16306857</v>
      </c>
      <c r="EC6" s="229">
        <v>7.6E-3</v>
      </c>
      <c r="ED6" s="229">
        <v>0.91669999999999996</v>
      </c>
      <c r="EE6" s="228">
        <v>31.32</v>
      </c>
      <c r="EF6" s="229">
        <v>1.0800000000000001E-2</v>
      </c>
      <c r="EG6" s="230">
        <v>1362187</v>
      </c>
      <c r="EH6" s="230">
        <v>1152082</v>
      </c>
      <c r="EI6" s="229">
        <v>0.18240000000000001</v>
      </c>
      <c r="EJ6" s="229">
        <v>0.2636</v>
      </c>
      <c r="EK6" s="231">
        <v>9214.94</v>
      </c>
      <c r="EL6" s="231">
        <v>3985.53</v>
      </c>
      <c r="EM6" s="231">
        <v>3786.57</v>
      </c>
      <c r="EN6" s="228">
        <v>295.57</v>
      </c>
      <c r="EO6" s="231">
        <v>16987.03</v>
      </c>
      <c r="EP6" s="231">
        <v>23906.880000000001</v>
      </c>
      <c r="EQ6" s="231">
        <v>-6919.85</v>
      </c>
      <c r="ER6" s="229">
        <v>-0.28949999999999998</v>
      </c>
      <c r="ES6" s="231">
        <v>1288.53</v>
      </c>
      <c r="ET6" s="231">
        <v>1084.81</v>
      </c>
      <c r="EU6" s="231">
        <v>5962.47</v>
      </c>
      <c r="EV6" s="231">
        <v>33645895</v>
      </c>
      <c r="EW6" s="231">
        <v>8335.82</v>
      </c>
      <c r="EX6" s="231">
        <v>10857.13</v>
      </c>
      <c r="EY6" s="231">
        <v>-2521.31</v>
      </c>
      <c r="EZ6" s="229">
        <v>-0.23219999999999999</v>
      </c>
      <c r="FA6" s="229">
        <v>0.84450000000000003</v>
      </c>
      <c r="FB6" s="227" t="s">
        <v>691</v>
      </c>
      <c r="FC6">
        <f t="shared" si="0"/>
        <v>5420</v>
      </c>
    </row>
    <row r="7" spans="1:159" ht="17.25" thickBot="1" x14ac:dyDescent="0.3">
      <c r="A7" s="226">
        <v>46168</v>
      </c>
      <c r="B7" s="227" t="s">
        <v>161</v>
      </c>
      <c r="C7" s="227" t="s">
        <v>605</v>
      </c>
      <c r="D7" s="228">
        <v>600</v>
      </c>
      <c r="E7" s="228">
        <v>0</v>
      </c>
      <c r="F7" s="231">
        <v>1468.4</v>
      </c>
      <c r="G7" s="231">
        <v>1422.3</v>
      </c>
      <c r="H7" s="228">
        <v>46.1</v>
      </c>
      <c r="I7" s="229">
        <v>3.2399999999999998E-2</v>
      </c>
      <c r="J7" s="231">
        <v>1457.4</v>
      </c>
      <c r="K7" s="231">
        <v>1411.1</v>
      </c>
      <c r="L7" s="228">
        <v>46.3</v>
      </c>
      <c r="M7" s="229">
        <v>3.2800000000000003E-2</v>
      </c>
      <c r="N7" s="231">
        <v>1455</v>
      </c>
      <c r="O7" s="231">
        <v>1413.6</v>
      </c>
      <c r="P7" s="228">
        <v>41.4</v>
      </c>
      <c r="Q7" s="229">
        <v>2.93E-2</v>
      </c>
      <c r="R7" s="231">
        <v>1468.4</v>
      </c>
      <c r="S7" s="231">
        <v>1422.3</v>
      </c>
      <c r="T7" s="228">
        <v>46.1</v>
      </c>
      <c r="U7" s="229">
        <v>3.2399999999999998E-2</v>
      </c>
      <c r="V7" s="231">
        <v>1474.8</v>
      </c>
      <c r="W7" s="231">
        <v>1430</v>
      </c>
      <c r="X7" s="228">
        <v>44.8</v>
      </c>
      <c r="Y7" s="229">
        <v>3.1300000000000001E-2</v>
      </c>
      <c r="Z7" s="228">
        <v>11</v>
      </c>
      <c r="AA7" s="228">
        <v>2.5</v>
      </c>
      <c r="AB7" s="228">
        <v>8.5</v>
      </c>
      <c r="AC7" s="229">
        <v>7.4999999999999997E-3</v>
      </c>
      <c r="AD7" s="228">
        <v>-2.4</v>
      </c>
      <c r="AE7" s="228">
        <v>2.5</v>
      </c>
      <c r="AF7" s="228">
        <v>-4.9000000000000004</v>
      </c>
      <c r="AG7" s="229">
        <v>-1.6000000000000001E-3</v>
      </c>
      <c r="AH7" s="228">
        <v>11</v>
      </c>
      <c r="AI7" s="228">
        <v>11.2</v>
      </c>
      <c r="AJ7" s="228">
        <v>-0.2</v>
      </c>
      <c r="AK7" s="229">
        <v>7.4999999999999997E-3</v>
      </c>
      <c r="AL7" s="228">
        <v>17.399999999999999</v>
      </c>
      <c r="AM7" s="228">
        <v>18.899999999999999</v>
      </c>
      <c r="AN7" s="228">
        <v>-1.5</v>
      </c>
      <c r="AO7" s="229">
        <v>1.1900000000000001E-2</v>
      </c>
      <c r="AP7" s="231">
        <v>1433.88</v>
      </c>
      <c r="AQ7" s="231">
        <v>1447.24</v>
      </c>
      <c r="AR7" s="228">
        <v>0</v>
      </c>
      <c r="AS7" s="230">
        <v>2396</v>
      </c>
      <c r="AT7" s="230">
        <v>2423</v>
      </c>
      <c r="AU7" s="228">
        <v>-27</v>
      </c>
      <c r="AV7" s="229">
        <v>-1.12E-2</v>
      </c>
      <c r="AW7" s="228">
        <v>941</v>
      </c>
      <c r="AX7" s="230">
        <v>1122</v>
      </c>
      <c r="AY7" s="228">
        <v>-181</v>
      </c>
      <c r="AZ7" s="229">
        <v>-0.16089999999999999</v>
      </c>
      <c r="BA7" s="230">
        <v>1440</v>
      </c>
      <c r="BB7" s="230">
        <v>1277</v>
      </c>
      <c r="BC7" s="228">
        <v>163</v>
      </c>
      <c r="BD7" s="229">
        <v>0.12740000000000001</v>
      </c>
      <c r="BE7" s="228">
        <v>15</v>
      </c>
      <c r="BF7" s="228">
        <v>24</v>
      </c>
      <c r="BG7" s="228">
        <v>-9</v>
      </c>
      <c r="BH7" s="229">
        <v>-0.38969999999999999</v>
      </c>
      <c r="BI7" s="230">
        <v>3251</v>
      </c>
      <c r="BJ7" s="230">
        <v>4718</v>
      </c>
      <c r="BK7" s="230">
        <v>-1467</v>
      </c>
      <c r="BL7" s="229">
        <v>-0.311</v>
      </c>
      <c r="BM7" s="230">
        <v>1187</v>
      </c>
      <c r="BN7" s="230">
        <v>1719</v>
      </c>
      <c r="BO7" s="228">
        <v>-532</v>
      </c>
      <c r="BP7" s="229">
        <v>-0.3095</v>
      </c>
      <c r="BQ7" s="230">
        <v>6834</v>
      </c>
      <c r="BR7" s="230">
        <v>8860</v>
      </c>
      <c r="BS7" s="230">
        <v>-2026</v>
      </c>
      <c r="BT7" s="229">
        <v>-0.22869999999999999</v>
      </c>
      <c r="BU7" s="230">
        <v>5511031</v>
      </c>
      <c r="BV7" s="230">
        <v>4563826</v>
      </c>
      <c r="BW7" s="230">
        <v>947205</v>
      </c>
      <c r="BX7" s="229">
        <v>0.20749999999999999</v>
      </c>
      <c r="BY7" s="230">
        <v>3122</v>
      </c>
      <c r="BZ7" s="230">
        <v>3369</v>
      </c>
      <c r="CA7" s="228">
        <v>-247</v>
      </c>
      <c r="CB7" s="229">
        <v>-7.3400000000000007E-2</v>
      </c>
      <c r="CC7" s="228">
        <v>223</v>
      </c>
      <c r="CD7" s="228">
        <v>864</v>
      </c>
      <c r="CE7" s="228">
        <v>-641</v>
      </c>
      <c r="CF7" s="229">
        <v>-0.74209999999999998</v>
      </c>
      <c r="CG7" s="230">
        <v>3083</v>
      </c>
      <c r="CH7" s="230">
        <v>2469</v>
      </c>
      <c r="CI7" s="228">
        <v>614</v>
      </c>
      <c r="CJ7" s="229">
        <v>0.24879999999999999</v>
      </c>
      <c r="CK7" s="228">
        <v>39</v>
      </c>
      <c r="CL7" s="228">
        <v>37</v>
      </c>
      <c r="CM7" s="228">
        <v>2</v>
      </c>
      <c r="CN7" s="229">
        <v>6.2399999999999997E-2</v>
      </c>
      <c r="CO7" s="228">
        <v>593</v>
      </c>
      <c r="CP7" s="230">
        <v>1445</v>
      </c>
      <c r="CQ7" s="228">
        <v>-852</v>
      </c>
      <c r="CR7" s="229">
        <v>-0.58950000000000002</v>
      </c>
      <c r="CS7" s="228">
        <v>425</v>
      </c>
      <c r="CT7" s="230">
        <v>1141</v>
      </c>
      <c r="CU7" s="228">
        <v>-716</v>
      </c>
      <c r="CV7" s="229">
        <v>-0.62749999999999995</v>
      </c>
      <c r="CW7" s="230">
        <v>4140</v>
      </c>
      <c r="CX7" s="230">
        <v>5955</v>
      </c>
      <c r="CY7" s="230">
        <v>-1815</v>
      </c>
      <c r="CZ7" s="229">
        <v>-0.30480000000000002</v>
      </c>
      <c r="DA7" s="228">
        <v>46.47</v>
      </c>
      <c r="DB7" s="228">
        <v>47.33</v>
      </c>
      <c r="DC7" s="228">
        <v>-0.86</v>
      </c>
      <c r="DD7" s="228">
        <v>-0.86</v>
      </c>
      <c r="DE7" s="228">
        <v>58.09</v>
      </c>
      <c r="DF7" s="228">
        <v>58.07</v>
      </c>
      <c r="DG7" s="228">
        <v>-11.62</v>
      </c>
      <c r="DH7" s="228">
        <v>0.02</v>
      </c>
      <c r="DI7" s="228">
        <v>45.34</v>
      </c>
      <c r="DJ7" s="228">
        <v>47.02</v>
      </c>
      <c r="DK7" s="228">
        <v>-1.68</v>
      </c>
      <c r="DL7" s="228">
        <v>-1.68</v>
      </c>
      <c r="DM7" s="228">
        <v>48.89</v>
      </c>
      <c r="DN7" s="228">
        <v>48.11</v>
      </c>
      <c r="DO7" s="228">
        <v>0.78</v>
      </c>
      <c r="DP7" s="228">
        <v>0.78</v>
      </c>
      <c r="DQ7" s="228">
        <v>0.72</v>
      </c>
      <c r="DR7" s="228">
        <v>0.79</v>
      </c>
      <c r="DS7" s="228">
        <v>-7.0000000000000007E-2</v>
      </c>
      <c r="DT7" s="229">
        <v>-8.8599999999999998E-2</v>
      </c>
      <c r="DU7" s="231">
        <v>1400</v>
      </c>
      <c r="DV7" s="231">
        <v>1250</v>
      </c>
      <c r="DW7" s="228">
        <v>0.37</v>
      </c>
      <c r="DX7" s="228">
        <v>0.36</v>
      </c>
      <c r="DY7" s="228">
        <v>0.01</v>
      </c>
      <c r="DZ7" s="229">
        <v>2.7799999999999998E-2</v>
      </c>
      <c r="EA7" s="229">
        <v>0.93340000000000001</v>
      </c>
      <c r="EB7" s="230">
        <v>17062200</v>
      </c>
      <c r="EC7" s="229">
        <v>9.1999999999999998E-3</v>
      </c>
      <c r="ED7" s="229">
        <v>0.93340000000000001</v>
      </c>
      <c r="EE7" s="228">
        <v>13.36</v>
      </c>
      <c r="EF7" s="229">
        <v>9.2999999999999992E-3</v>
      </c>
      <c r="EG7" s="230">
        <v>1660695</v>
      </c>
      <c r="EH7" s="230">
        <v>1254228</v>
      </c>
      <c r="EI7" s="229">
        <v>0.3241</v>
      </c>
      <c r="EJ7" s="229">
        <v>0.30130000000000001</v>
      </c>
      <c r="EK7" s="231">
        <v>3305.97</v>
      </c>
      <c r="EL7" s="231">
        <v>1101.97</v>
      </c>
      <c r="EM7" s="231">
        <v>2352.91</v>
      </c>
      <c r="EN7" s="228">
        <v>170.24</v>
      </c>
      <c r="EO7" s="231">
        <v>6760.85</v>
      </c>
      <c r="EP7" s="231">
        <v>8538.4500000000007</v>
      </c>
      <c r="EQ7" s="231">
        <v>-1777.6</v>
      </c>
      <c r="ER7" s="229">
        <v>-0.2082</v>
      </c>
      <c r="ES7" s="228">
        <v>590.08000000000004</v>
      </c>
      <c r="ET7" s="228">
        <v>382.23</v>
      </c>
      <c r="EU7" s="231">
        <v>3122.14</v>
      </c>
      <c r="EV7" s="231">
        <v>64724093</v>
      </c>
      <c r="EW7" s="231">
        <v>4094.44</v>
      </c>
      <c r="EX7" s="231">
        <v>5605.97</v>
      </c>
      <c r="EY7" s="231">
        <v>-1511.53</v>
      </c>
      <c r="EZ7" s="229">
        <v>-0.26960000000000001</v>
      </c>
      <c r="FA7" s="229">
        <v>0.43559999999999999</v>
      </c>
      <c r="FB7" s="227" t="s">
        <v>691</v>
      </c>
      <c r="FC7">
        <f t="shared" si="0"/>
        <v>2899</v>
      </c>
    </row>
    <row r="8" spans="1:159" ht="17.25" thickBot="1" x14ac:dyDescent="0.3">
      <c r="A8" s="226">
        <v>46168</v>
      </c>
      <c r="B8" s="227" t="s">
        <v>215</v>
      </c>
      <c r="C8" s="227" t="s">
        <v>160</v>
      </c>
      <c r="D8" s="228">
        <v>475</v>
      </c>
      <c r="E8" s="228">
        <v>0</v>
      </c>
      <c r="F8" s="231">
        <v>1816.6</v>
      </c>
      <c r="G8" s="231">
        <v>1808.6</v>
      </c>
      <c r="H8" s="228">
        <v>8</v>
      </c>
      <c r="I8" s="229">
        <v>4.4000000000000003E-3</v>
      </c>
      <c r="J8" s="231">
        <v>1811.2</v>
      </c>
      <c r="K8" s="231">
        <v>1802.9</v>
      </c>
      <c r="L8" s="228">
        <v>8.3000000000000007</v>
      </c>
      <c r="M8" s="229">
        <v>4.5999999999999999E-3</v>
      </c>
      <c r="N8" s="231">
        <v>1814.9</v>
      </c>
      <c r="O8" s="231">
        <v>1804.8</v>
      </c>
      <c r="P8" s="228">
        <v>10.1</v>
      </c>
      <c r="Q8" s="229">
        <v>5.5999999999999999E-3</v>
      </c>
      <c r="R8" s="231">
        <v>1816.6</v>
      </c>
      <c r="S8" s="231">
        <v>1808.6</v>
      </c>
      <c r="T8" s="228">
        <v>8</v>
      </c>
      <c r="U8" s="229">
        <v>4.4000000000000003E-3</v>
      </c>
      <c r="V8" s="231">
        <v>1828.5</v>
      </c>
      <c r="W8" s="231">
        <v>1821.2</v>
      </c>
      <c r="X8" s="228">
        <v>7.3</v>
      </c>
      <c r="Y8" s="229">
        <v>4.0000000000000001E-3</v>
      </c>
      <c r="Z8" s="228">
        <v>5.4</v>
      </c>
      <c r="AA8" s="228">
        <v>1.9</v>
      </c>
      <c r="AB8" s="228">
        <v>3.5</v>
      </c>
      <c r="AC8" s="229">
        <v>3.0000000000000001E-3</v>
      </c>
      <c r="AD8" s="228">
        <v>3.7</v>
      </c>
      <c r="AE8" s="228">
        <v>1.9</v>
      </c>
      <c r="AF8" s="228">
        <v>1.8</v>
      </c>
      <c r="AG8" s="229">
        <v>2E-3</v>
      </c>
      <c r="AH8" s="228">
        <v>5.4</v>
      </c>
      <c r="AI8" s="228">
        <v>5.7</v>
      </c>
      <c r="AJ8" s="228">
        <v>-0.3</v>
      </c>
      <c r="AK8" s="229">
        <v>3.0000000000000001E-3</v>
      </c>
      <c r="AL8" s="228">
        <v>17.3</v>
      </c>
      <c r="AM8" s="228">
        <v>18.3</v>
      </c>
      <c r="AN8" s="228">
        <v>-1</v>
      </c>
      <c r="AO8" s="229">
        <v>9.5999999999999992E-3</v>
      </c>
      <c r="AP8" s="231">
        <v>1812.21</v>
      </c>
      <c r="AQ8" s="231">
        <v>1815.62</v>
      </c>
      <c r="AR8" s="228">
        <v>0</v>
      </c>
      <c r="AS8" s="230">
        <v>1230</v>
      </c>
      <c r="AT8" s="230">
        <v>2353</v>
      </c>
      <c r="AU8" s="230">
        <v>-1123</v>
      </c>
      <c r="AV8" s="229">
        <v>-0.47720000000000001</v>
      </c>
      <c r="AW8" s="228">
        <v>512</v>
      </c>
      <c r="AX8" s="230">
        <v>1171</v>
      </c>
      <c r="AY8" s="228">
        <v>-660</v>
      </c>
      <c r="AZ8" s="229">
        <v>-0.56310000000000004</v>
      </c>
      <c r="BA8" s="228">
        <v>709</v>
      </c>
      <c r="BB8" s="230">
        <v>1167</v>
      </c>
      <c r="BC8" s="228">
        <v>-458</v>
      </c>
      <c r="BD8" s="229">
        <v>-0.3926</v>
      </c>
      <c r="BE8" s="228">
        <v>10</v>
      </c>
      <c r="BF8" s="228">
        <v>15</v>
      </c>
      <c r="BG8" s="228">
        <v>-5</v>
      </c>
      <c r="BH8" s="229">
        <v>-0.34100000000000003</v>
      </c>
      <c r="BI8" s="230">
        <v>2039</v>
      </c>
      <c r="BJ8" s="230">
        <v>3956</v>
      </c>
      <c r="BK8" s="230">
        <v>-1916</v>
      </c>
      <c r="BL8" s="229">
        <v>-0.48449999999999999</v>
      </c>
      <c r="BM8" s="228">
        <v>921</v>
      </c>
      <c r="BN8" s="230">
        <v>2147</v>
      </c>
      <c r="BO8" s="230">
        <v>-1226</v>
      </c>
      <c r="BP8" s="229">
        <v>-0.57089999999999996</v>
      </c>
      <c r="BQ8" s="230">
        <v>4191</v>
      </c>
      <c r="BR8" s="230">
        <v>8456</v>
      </c>
      <c r="BS8" s="230">
        <v>-4265</v>
      </c>
      <c r="BT8" s="229">
        <v>-0.50439999999999996</v>
      </c>
      <c r="BU8" s="230">
        <v>2267357</v>
      </c>
      <c r="BV8" s="230">
        <v>1597638</v>
      </c>
      <c r="BW8" s="230">
        <v>669719</v>
      </c>
      <c r="BX8" s="229">
        <v>0.41920000000000002</v>
      </c>
      <c r="BY8" s="230">
        <v>3919</v>
      </c>
      <c r="BZ8" s="230">
        <v>4490</v>
      </c>
      <c r="CA8" s="228">
        <v>-571</v>
      </c>
      <c r="CB8" s="229">
        <v>-0.12720000000000001</v>
      </c>
      <c r="CC8" s="228">
        <v>578</v>
      </c>
      <c r="CD8" s="228">
        <v>871</v>
      </c>
      <c r="CE8" s="228">
        <v>-293</v>
      </c>
      <c r="CF8" s="229">
        <v>-0.3362</v>
      </c>
      <c r="CG8" s="230">
        <v>3697</v>
      </c>
      <c r="CH8" s="230">
        <v>3401</v>
      </c>
      <c r="CI8" s="228">
        <v>296</v>
      </c>
      <c r="CJ8" s="229">
        <v>8.7099999999999997E-2</v>
      </c>
      <c r="CK8" s="228">
        <v>222</v>
      </c>
      <c r="CL8" s="228">
        <v>217</v>
      </c>
      <c r="CM8" s="228">
        <v>4</v>
      </c>
      <c r="CN8" s="229">
        <v>1.9E-2</v>
      </c>
      <c r="CO8" s="228">
        <v>680</v>
      </c>
      <c r="CP8" s="230">
        <v>1718</v>
      </c>
      <c r="CQ8" s="230">
        <v>-1038</v>
      </c>
      <c r="CR8" s="229">
        <v>-0.60409999999999997</v>
      </c>
      <c r="CS8" s="228">
        <v>362</v>
      </c>
      <c r="CT8" s="230">
        <v>1243</v>
      </c>
      <c r="CU8" s="228">
        <v>-880</v>
      </c>
      <c r="CV8" s="229">
        <v>-0.70860000000000001</v>
      </c>
      <c r="CW8" s="230">
        <v>4961</v>
      </c>
      <c r="CX8" s="230">
        <v>7450</v>
      </c>
      <c r="CY8" s="230">
        <v>-2489</v>
      </c>
      <c r="CZ8" s="229">
        <v>-0.33410000000000001</v>
      </c>
      <c r="DA8" s="228">
        <v>25.35</v>
      </c>
      <c r="DB8" s="228">
        <v>27.2</v>
      </c>
      <c r="DC8" s="228">
        <v>-1.85</v>
      </c>
      <c r="DD8" s="228">
        <v>-1.85</v>
      </c>
      <c r="DE8" s="228">
        <v>39.619999999999997</v>
      </c>
      <c r="DF8" s="228">
        <v>39.71</v>
      </c>
      <c r="DG8" s="228">
        <v>-14.27</v>
      </c>
      <c r="DH8" s="228">
        <v>-0.09</v>
      </c>
      <c r="DI8" s="228">
        <v>25.17</v>
      </c>
      <c r="DJ8" s="228">
        <v>26.94</v>
      </c>
      <c r="DK8" s="228">
        <v>-1.77</v>
      </c>
      <c r="DL8" s="228">
        <v>-1.77</v>
      </c>
      <c r="DM8" s="228">
        <v>25.81</v>
      </c>
      <c r="DN8" s="228">
        <v>27.64</v>
      </c>
      <c r="DO8" s="228">
        <v>-1.83</v>
      </c>
      <c r="DP8" s="228">
        <v>-1.83</v>
      </c>
      <c r="DQ8" s="228">
        <v>0.53</v>
      </c>
      <c r="DR8" s="228">
        <v>0.72</v>
      </c>
      <c r="DS8" s="228">
        <v>-0.19</v>
      </c>
      <c r="DT8" s="229">
        <v>-0.26390000000000002</v>
      </c>
      <c r="DU8" s="231">
        <v>1900</v>
      </c>
      <c r="DV8" s="231">
        <v>1600</v>
      </c>
      <c r="DW8" s="228">
        <v>0.45</v>
      </c>
      <c r="DX8" s="228">
        <v>0.54</v>
      </c>
      <c r="DY8" s="228">
        <v>-0.09</v>
      </c>
      <c r="DZ8" s="229">
        <v>-0.16669999999999999</v>
      </c>
      <c r="EA8" s="229">
        <v>0.87139999999999995</v>
      </c>
      <c r="EB8" s="230">
        <v>19919600</v>
      </c>
      <c r="EC8" s="229">
        <v>8.9999999999999998E-4</v>
      </c>
      <c r="ED8" s="229">
        <v>0.87139999999999995</v>
      </c>
      <c r="EE8" s="228">
        <v>3.41</v>
      </c>
      <c r="EF8" s="229">
        <v>1.9E-3</v>
      </c>
      <c r="EG8" s="230">
        <v>1053547</v>
      </c>
      <c r="EH8" s="230">
        <v>751774</v>
      </c>
      <c r="EI8" s="229">
        <v>0.40139999999999998</v>
      </c>
      <c r="EJ8" s="229">
        <v>0.4647</v>
      </c>
      <c r="EK8" s="231">
        <v>2095.25</v>
      </c>
      <c r="EL8" s="228">
        <v>886.95</v>
      </c>
      <c r="EM8" s="231">
        <v>1228.48</v>
      </c>
      <c r="EN8" s="228">
        <v>201.34</v>
      </c>
      <c r="EO8" s="231">
        <v>4210.68</v>
      </c>
      <c r="EP8" s="231">
        <v>8438.59</v>
      </c>
      <c r="EQ8" s="231">
        <v>-4227.91</v>
      </c>
      <c r="ER8" s="229">
        <v>-0.501</v>
      </c>
      <c r="ES8" s="228">
        <v>687.08</v>
      </c>
      <c r="ET8" s="228">
        <v>342.23</v>
      </c>
      <c r="EU8" s="231">
        <v>3920.33</v>
      </c>
      <c r="EV8" s="231">
        <v>88142691</v>
      </c>
      <c r="EW8" s="231">
        <v>4949.6499999999996</v>
      </c>
      <c r="EX8" s="231">
        <v>7295.86</v>
      </c>
      <c r="EY8" s="231">
        <v>-2346.21</v>
      </c>
      <c r="EZ8" s="229">
        <v>-0.3216</v>
      </c>
      <c r="FA8" s="229">
        <v>0.30980000000000002</v>
      </c>
      <c r="FB8" s="227" t="s">
        <v>691</v>
      </c>
      <c r="FC8">
        <f t="shared" si="0"/>
        <v>3341</v>
      </c>
    </row>
    <row r="9" spans="1:159" ht="17.25" thickBot="1" x14ac:dyDescent="0.3">
      <c r="A9" s="226">
        <v>46168</v>
      </c>
      <c r="B9" s="227" t="s">
        <v>161</v>
      </c>
      <c r="C9" s="227" t="s">
        <v>693</v>
      </c>
      <c r="D9" s="228">
        <v>3550</v>
      </c>
      <c r="E9" s="228">
        <v>0</v>
      </c>
      <c r="F9" s="228">
        <v>246.49</v>
      </c>
      <c r="G9" s="228">
        <v>235.26</v>
      </c>
      <c r="H9" s="228">
        <v>11.23</v>
      </c>
      <c r="I9" s="229">
        <v>4.7699999999999999E-2</v>
      </c>
      <c r="J9" s="228">
        <v>244.53</v>
      </c>
      <c r="K9" s="228">
        <v>233.38</v>
      </c>
      <c r="L9" s="228">
        <v>11.15</v>
      </c>
      <c r="M9" s="229">
        <v>4.7800000000000002E-2</v>
      </c>
      <c r="N9" s="228">
        <v>244.31</v>
      </c>
      <c r="O9" s="228">
        <v>233.81</v>
      </c>
      <c r="P9" s="228">
        <v>10.5</v>
      </c>
      <c r="Q9" s="229">
        <v>4.4900000000000002E-2</v>
      </c>
      <c r="R9" s="228">
        <v>246.49</v>
      </c>
      <c r="S9" s="228">
        <v>235.26</v>
      </c>
      <c r="T9" s="228">
        <v>11.23</v>
      </c>
      <c r="U9" s="229">
        <v>4.7699999999999999E-2</v>
      </c>
      <c r="V9" s="228">
        <v>248.05</v>
      </c>
      <c r="W9" s="228">
        <v>236.67</v>
      </c>
      <c r="X9" s="228">
        <v>11.38</v>
      </c>
      <c r="Y9" s="229">
        <v>4.8099999999999997E-2</v>
      </c>
      <c r="Z9" s="228">
        <v>1.96</v>
      </c>
      <c r="AA9" s="228">
        <v>0.43</v>
      </c>
      <c r="AB9" s="228">
        <v>1.53</v>
      </c>
      <c r="AC9" s="229">
        <v>8.0000000000000002E-3</v>
      </c>
      <c r="AD9" s="228">
        <v>-0.22</v>
      </c>
      <c r="AE9" s="228">
        <v>0.43</v>
      </c>
      <c r="AF9" s="228">
        <v>-0.65</v>
      </c>
      <c r="AG9" s="229">
        <v>-8.9999999999999998E-4</v>
      </c>
      <c r="AH9" s="228">
        <v>1.96</v>
      </c>
      <c r="AI9" s="228">
        <v>1.88</v>
      </c>
      <c r="AJ9" s="228">
        <v>0.08</v>
      </c>
      <c r="AK9" s="229">
        <v>8.0000000000000002E-3</v>
      </c>
      <c r="AL9" s="228">
        <v>3.52</v>
      </c>
      <c r="AM9" s="228">
        <v>3.29</v>
      </c>
      <c r="AN9" s="228">
        <v>0.23</v>
      </c>
      <c r="AO9" s="229">
        <v>1.44E-2</v>
      </c>
      <c r="AP9" s="228">
        <v>241.68</v>
      </c>
      <c r="AQ9" s="228">
        <v>243.2</v>
      </c>
      <c r="AR9" s="228">
        <v>0</v>
      </c>
      <c r="AS9" s="230">
        <v>2128</v>
      </c>
      <c r="AT9" s="230">
        <v>2689</v>
      </c>
      <c r="AU9" s="228">
        <v>-561</v>
      </c>
      <c r="AV9" s="229">
        <v>-0.2087</v>
      </c>
      <c r="AW9" s="228">
        <v>554</v>
      </c>
      <c r="AX9" s="230">
        <v>1063</v>
      </c>
      <c r="AY9" s="228">
        <v>-508</v>
      </c>
      <c r="AZ9" s="229">
        <v>-0.47839999999999999</v>
      </c>
      <c r="BA9" s="230">
        <v>1522</v>
      </c>
      <c r="BB9" s="230">
        <v>1593</v>
      </c>
      <c r="BC9" s="228">
        <v>-71</v>
      </c>
      <c r="BD9" s="229">
        <v>-4.4600000000000001E-2</v>
      </c>
      <c r="BE9" s="228">
        <v>51</v>
      </c>
      <c r="BF9" s="228">
        <v>32</v>
      </c>
      <c r="BG9" s="228">
        <v>18</v>
      </c>
      <c r="BH9" s="229">
        <v>0.57030000000000003</v>
      </c>
      <c r="BI9" s="230">
        <v>5355</v>
      </c>
      <c r="BJ9" s="230">
        <v>6491</v>
      </c>
      <c r="BK9" s="230">
        <v>-1136</v>
      </c>
      <c r="BL9" s="229">
        <v>-0.17499999999999999</v>
      </c>
      <c r="BM9" s="230">
        <v>1680</v>
      </c>
      <c r="BN9" s="230">
        <v>1896</v>
      </c>
      <c r="BO9" s="228">
        <v>-216</v>
      </c>
      <c r="BP9" s="229">
        <v>-0.1142</v>
      </c>
      <c r="BQ9" s="230">
        <v>9163</v>
      </c>
      <c r="BR9" s="230">
        <v>11076</v>
      </c>
      <c r="BS9" s="230">
        <v>-1913</v>
      </c>
      <c r="BT9" s="229">
        <v>-0.17269999999999999</v>
      </c>
      <c r="BU9" s="230">
        <v>98025071</v>
      </c>
      <c r="BV9" s="230">
        <v>77012768</v>
      </c>
      <c r="BW9" s="230">
        <v>21012303</v>
      </c>
      <c r="BX9" s="229">
        <v>0.27279999999999999</v>
      </c>
      <c r="BY9" s="230">
        <v>2491</v>
      </c>
      <c r="BZ9" s="230">
        <v>2506</v>
      </c>
      <c r="CA9" s="228">
        <v>-15</v>
      </c>
      <c r="CB9" s="229">
        <v>-6.1999999999999998E-3</v>
      </c>
      <c r="CC9" s="228">
        <v>72</v>
      </c>
      <c r="CD9" s="228">
        <v>402</v>
      </c>
      <c r="CE9" s="228">
        <v>-330</v>
      </c>
      <c r="CF9" s="229">
        <v>-0.82089999999999996</v>
      </c>
      <c r="CG9" s="230">
        <v>2305</v>
      </c>
      <c r="CH9" s="230">
        <v>1923</v>
      </c>
      <c r="CI9" s="228">
        <v>382</v>
      </c>
      <c r="CJ9" s="229">
        <v>0.1986</v>
      </c>
      <c r="CK9" s="228">
        <v>185</v>
      </c>
      <c r="CL9" s="228">
        <v>181</v>
      </c>
      <c r="CM9" s="228">
        <v>5</v>
      </c>
      <c r="CN9" s="229">
        <v>2.52E-2</v>
      </c>
      <c r="CO9" s="228">
        <v>558</v>
      </c>
      <c r="CP9" s="230">
        <v>1014</v>
      </c>
      <c r="CQ9" s="228">
        <v>-456</v>
      </c>
      <c r="CR9" s="229">
        <v>-0.44979999999999998</v>
      </c>
      <c r="CS9" s="228">
        <v>396</v>
      </c>
      <c r="CT9" s="228">
        <v>635</v>
      </c>
      <c r="CU9" s="228">
        <v>-238</v>
      </c>
      <c r="CV9" s="229">
        <v>-0.37580000000000002</v>
      </c>
      <c r="CW9" s="230">
        <v>3445</v>
      </c>
      <c r="CX9" s="230">
        <v>4155</v>
      </c>
      <c r="CY9" s="228">
        <v>-710</v>
      </c>
      <c r="CZ9" s="229">
        <v>-0.1709</v>
      </c>
      <c r="DA9" s="228">
        <v>44.76</v>
      </c>
      <c r="DB9" s="228">
        <v>45.58</v>
      </c>
      <c r="DC9" s="228">
        <v>-0.82</v>
      </c>
      <c r="DD9" s="228">
        <v>-0.82</v>
      </c>
      <c r="DE9" s="228">
        <v>52.65</v>
      </c>
      <c r="DF9" s="228">
        <v>52.41</v>
      </c>
      <c r="DG9" s="228">
        <v>-7.89</v>
      </c>
      <c r="DH9" s="228">
        <v>0.24</v>
      </c>
      <c r="DI9" s="228">
        <v>44.18</v>
      </c>
      <c r="DJ9" s="228">
        <v>45.65</v>
      </c>
      <c r="DK9" s="228">
        <v>-1.47</v>
      </c>
      <c r="DL9" s="228">
        <v>-1.47</v>
      </c>
      <c r="DM9" s="228">
        <v>46.46</v>
      </c>
      <c r="DN9" s="228">
        <v>45.37</v>
      </c>
      <c r="DO9" s="228">
        <v>1.0900000000000001</v>
      </c>
      <c r="DP9" s="228">
        <v>1.0900000000000001</v>
      </c>
      <c r="DQ9" s="228">
        <v>0.71</v>
      </c>
      <c r="DR9" s="228">
        <v>0.63</v>
      </c>
      <c r="DS9" s="228">
        <v>0.08</v>
      </c>
      <c r="DT9" s="229">
        <v>0.127</v>
      </c>
      <c r="DU9" s="228">
        <v>250</v>
      </c>
      <c r="DV9" s="228">
        <v>220</v>
      </c>
      <c r="DW9" s="228">
        <v>0.31</v>
      </c>
      <c r="DX9" s="228">
        <v>0.28999999999999998</v>
      </c>
      <c r="DY9" s="228">
        <v>0.02</v>
      </c>
      <c r="DZ9" s="229">
        <v>6.9000000000000006E-2</v>
      </c>
      <c r="EA9" s="229">
        <v>0.97189999999999999</v>
      </c>
      <c r="EB9" s="230">
        <v>85370400</v>
      </c>
      <c r="EC9" s="229">
        <v>8.8999999999999999E-3</v>
      </c>
      <c r="ED9" s="229">
        <v>0.97189999999999999</v>
      </c>
      <c r="EE9" s="228">
        <v>1.52</v>
      </c>
      <c r="EF9" s="229">
        <v>6.3E-3</v>
      </c>
      <c r="EG9" s="230">
        <v>19182407</v>
      </c>
      <c r="EH9" s="230">
        <v>26249067</v>
      </c>
      <c r="EI9" s="229">
        <v>-0.26919999999999999</v>
      </c>
      <c r="EJ9" s="229">
        <v>0.19570000000000001</v>
      </c>
      <c r="EK9" s="231">
        <v>5466.03</v>
      </c>
      <c r="EL9" s="231">
        <v>1574.11</v>
      </c>
      <c r="EM9" s="231">
        <v>2096.04</v>
      </c>
      <c r="EN9" s="228">
        <v>139.26</v>
      </c>
      <c r="EO9" s="231">
        <v>9136.18</v>
      </c>
      <c r="EP9" s="231">
        <v>10519.15</v>
      </c>
      <c r="EQ9" s="231">
        <v>-1382.96</v>
      </c>
      <c r="ER9" s="229">
        <v>-0.13150000000000001</v>
      </c>
      <c r="ES9" s="228">
        <v>557.08000000000004</v>
      </c>
      <c r="ET9" s="228">
        <v>355.49</v>
      </c>
      <c r="EU9" s="231">
        <v>2492.06</v>
      </c>
      <c r="EV9" s="231">
        <v>482906787</v>
      </c>
      <c r="EW9" s="231">
        <v>3404.63</v>
      </c>
      <c r="EX9" s="231">
        <v>3905.92</v>
      </c>
      <c r="EY9" s="228">
        <v>-501.29</v>
      </c>
      <c r="EZ9" s="229">
        <v>-0.1283</v>
      </c>
      <c r="FA9" s="229">
        <v>0.28939999999999999</v>
      </c>
      <c r="FB9" s="227" t="s">
        <v>691</v>
      </c>
      <c r="FC9">
        <f t="shared" si="0"/>
        <v>2419</v>
      </c>
    </row>
    <row r="10" spans="1:159" ht="17.25" thickBot="1" x14ac:dyDescent="0.3">
      <c r="A10" s="226">
        <v>46168</v>
      </c>
      <c r="B10" s="227" t="s">
        <v>170</v>
      </c>
      <c r="C10" s="227" t="s">
        <v>497</v>
      </c>
      <c r="D10" s="228">
        <v>125</v>
      </c>
      <c r="E10" s="228">
        <v>0</v>
      </c>
      <c r="F10" s="231">
        <v>5420.5</v>
      </c>
      <c r="G10" s="231">
        <v>5422.5</v>
      </c>
      <c r="H10" s="228">
        <v>-2</v>
      </c>
      <c r="I10" s="229">
        <v>-4.0000000000000002E-4</v>
      </c>
      <c r="J10" s="231">
        <v>5380</v>
      </c>
      <c r="K10" s="231">
        <v>5400.5</v>
      </c>
      <c r="L10" s="228">
        <v>-20.5</v>
      </c>
      <c r="M10" s="229">
        <v>-3.8E-3</v>
      </c>
      <c r="N10" s="231">
        <v>5380.5</v>
      </c>
      <c r="O10" s="231">
        <v>5422</v>
      </c>
      <c r="P10" s="228">
        <v>-41.5</v>
      </c>
      <c r="Q10" s="229">
        <v>-7.7000000000000002E-3</v>
      </c>
      <c r="R10" s="231">
        <v>5420.5</v>
      </c>
      <c r="S10" s="231">
        <v>5422.5</v>
      </c>
      <c r="T10" s="228">
        <v>-2</v>
      </c>
      <c r="U10" s="229">
        <v>-4.0000000000000002E-4</v>
      </c>
      <c r="V10" s="231">
        <v>5430</v>
      </c>
      <c r="W10" s="231">
        <v>5432</v>
      </c>
      <c r="X10" s="228">
        <v>-2</v>
      </c>
      <c r="Y10" s="229">
        <v>-4.0000000000000002E-4</v>
      </c>
      <c r="Z10" s="228">
        <v>40.5</v>
      </c>
      <c r="AA10" s="228">
        <v>21.5</v>
      </c>
      <c r="AB10" s="228">
        <v>19</v>
      </c>
      <c r="AC10" s="229">
        <v>7.4999999999999997E-3</v>
      </c>
      <c r="AD10" s="228">
        <v>0.5</v>
      </c>
      <c r="AE10" s="228">
        <v>21.5</v>
      </c>
      <c r="AF10" s="228">
        <v>-21</v>
      </c>
      <c r="AG10" s="229">
        <v>1E-4</v>
      </c>
      <c r="AH10" s="228">
        <v>40.5</v>
      </c>
      <c r="AI10" s="228">
        <v>22</v>
      </c>
      <c r="AJ10" s="228">
        <v>18.5</v>
      </c>
      <c r="AK10" s="229">
        <v>7.4999999999999997E-3</v>
      </c>
      <c r="AL10" s="228">
        <v>50</v>
      </c>
      <c r="AM10" s="228">
        <v>31.5</v>
      </c>
      <c r="AN10" s="228">
        <v>18.5</v>
      </c>
      <c r="AO10" s="229">
        <v>9.2999999999999992E-3</v>
      </c>
      <c r="AP10" s="231">
        <v>5361.55</v>
      </c>
      <c r="AQ10" s="231">
        <v>5394.43</v>
      </c>
      <c r="AR10" s="228">
        <v>0</v>
      </c>
      <c r="AS10" s="228">
        <v>197</v>
      </c>
      <c r="AT10" s="228">
        <v>268</v>
      </c>
      <c r="AU10" s="228">
        <v>-71</v>
      </c>
      <c r="AV10" s="229">
        <v>-0.2656</v>
      </c>
      <c r="AW10" s="228">
        <v>77</v>
      </c>
      <c r="AX10" s="228">
        <v>125</v>
      </c>
      <c r="AY10" s="228">
        <v>-48</v>
      </c>
      <c r="AZ10" s="229">
        <v>-0.38269999999999998</v>
      </c>
      <c r="BA10" s="228">
        <v>119</v>
      </c>
      <c r="BB10" s="228">
        <v>143</v>
      </c>
      <c r="BC10" s="228">
        <v>-24</v>
      </c>
      <c r="BD10" s="229">
        <v>-0.17069999999999999</v>
      </c>
      <c r="BE10" s="228">
        <v>1</v>
      </c>
      <c r="BF10" s="228">
        <v>0</v>
      </c>
      <c r="BG10" s="228">
        <v>1</v>
      </c>
      <c r="BH10" s="229">
        <v>5</v>
      </c>
      <c r="BI10" s="228">
        <v>238</v>
      </c>
      <c r="BJ10" s="228">
        <v>421</v>
      </c>
      <c r="BK10" s="228">
        <v>-183</v>
      </c>
      <c r="BL10" s="229">
        <v>-0.43440000000000001</v>
      </c>
      <c r="BM10" s="228">
        <v>434</v>
      </c>
      <c r="BN10" s="228">
        <v>176</v>
      </c>
      <c r="BO10" s="228">
        <v>258</v>
      </c>
      <c r="BP10" s="229">
        <v>1.4681</v>
      </c>
      <c r="BQ10" s="228">
        <v>870</v>
      </c>
      <c r="BR10" s="228">
        <v>866</v>
      </c>
      <c r="BS10" s="228">
        <v>4</v>
      </c>
      <c r="BT10" s="229">
        <v>4.7999999999999996E-3</v>
      </c>
      <c r="BU10" s="230">
        <v>64322</v>
      </c>
      <c r="BV10" s="230">
        <v>42442</v>
      </c>
      <c r="BW10" s="230">
        <v>21880</v>
      </c>
      <c r="BX10" s="229">
        <v>0.51549999999999996</v>
      </c>
      <c r="BY10" s="228">
        <v>667</v>
      </c>
      <c r="BZ10" s="228">
        <v>685</v>
      </c>
      <c r="CA10" s="228">
        <v>-18</v>
      </c>
      <c r="CB10" s="229">
        <v>-2.6200000000000001E-2</v>
      </c>
      <c r="CC10" s="228">
        <v>13</v>
      </c>
      <c r="CD10" s="228">
        <v>48</v>
      </c>
      <c r="CE10" s="228">
        <v>-35</v>
      </c>
      <c r="CF10" s="229">
        <v>-0.72240000000000004</v>
      </c>
      <c r="CG10" s="228">
        <v>665</v>
      </c>
      <c r="CH10" s="228">
        <v>636</v>
      </c>
      <c r="CI10" s="228">
        <v>29</v>
      </c>
      <c r="CJ10" s="229">
        <v>4.5699999999999998E-2</v>
      </c>
      <c r="CK10" s="228">
        <v>3</v>
      </c>
      <c r="CL10" s="228">
        <v>2</v>
      </c>
      <c r="CM10" s="228">
        <v>1</v>
      </c>
      <c r="CN10" s="229">
        <v>0.44440000000000002</v>
      </c>
      <c r="CO10" s="228">
        <v>60</v>
      </c>
      <c r="CP10" s="228">
        <v>217</v>
      </c>
      <c r="CQ10" s="228">
        <v>-157</v>
      </c>
      <c r="CR10" s="229">
        <v>-0.72519999999999996</v>
      </c>
      <c r="CS10" s="228">
        <v>47</v>
      </c>
      <c r="CT10" s="228">
        <v>111</v>
      </c>
      <c r="CU10" s="228">
        <v>-65</v>
      </c>
      <c r="CV10" s="229">
        <v>-0.58050000000000002</v>
      </c>
      <c r="CW10" s="228">
        <v>774</v>
      </c>
      <c r="CX10" s="230">
        <v>1013</v>
      </c>
      <c r="CY10" s="228">
        <v>-240</v>
      </c>
      <c r="CZ10" s="229">
        <v>-0.2366</v>
      </c>
      <c r="DA10" s="228">
        <v>27.33</v>
      </c>
      <c r="DB10" s="228">
        <v>28.79</v>
      </c>
      <c r="DC10" s="228">
        <v>-1.46</v>
      </c>
      <c r="DD10" s="228">
        <v>-1.46</v>
      </c>
      <c r="DE10" s="228">
        <v>28.71</v>
      </c>
      <c r="DF10" s="228">
        <v>28.78</v>
      </c>
      <c r="DG10" s="228">
        <v>-1.38</v>
      </c>
      <c r="DH10" s="228">
        <v>-7.0000000000000007E-2</v>
      </c>
      <c r="DI10" s="228">
        <v>28.11</v>
      </c>
      <c r="DJ10" s="228">
        <v>29.24</v>
      </c>
      <c r="DK10" s="228">
        <v>-1.1299999999999999</v>
      </c>
      <c r="DL10" s="228">
        <v>-1.1299999999999999</v>
      </c>
      <c r="DM10" s="228">
        <v>26.41</v>
      </c>
      <c r="DN10" s="228">
        <v>28.25</v>
      </c>
      <c r="DO10" s="228">
        <v>-1.84</v>
      </c>
      <c r="DP10" s="228">
        <v>-1.84</v>
      </c>
      <c r="DQ10" s="228">
        <v>0.78</v>
      </c>
      <c r="DR10" s="228">
        <v>0.51</v>
      </c>
      <c r="DS10" s="228">
        <v>0.27</v>
      </c>
      <c r="DT10" s="229">
        <v>0.52939999999999998</v>
      </c>
      <c r="DU10" s="231">
        <v>6000</v>
      </c>
      <c r="DV10" s="231">
        <v>5200</v>
      </c>
      <c r="DW10" s="228">
        <v>1.82</v>
      </c>
      <c r="DX10" s="228">
        <v>0.42</v>
      </c>
      <c r="DY10" s="228">
        <v>1.4</v>
      </c>
      <c r="DZ10" s="229">
        <v>3.3332999999999999</v>
      </c>
      <c r="EA10" s="229">
        <v>0.98050000000000004</v>
      </c>
      <c r="EB10" s="230">
        <v>1176000</v>
      </c>
      <c r="EC10" s="229">
        <v>7.4000000000000003E-3</v>
      </c>
      <c r="ED10" s="229">
        <v>0.98050000000000004</v>
      </c>
      <c r="EE10" s="228">
        <v>32.880000000000003</v>
      </c>
      <c r="EF10" s="229">
        <v>6.1000000000000004E-3</v>
      </c>
      <c r="EG10" s="230">
        <v>22501</v>
      </c>
      <c r="EH10" s="230">
        <v>19550</v>
      </c>
      <c r="EI10" s="229">
        <v>0.15090000000000001</v>
      </c>
      <c r="EJ10" s="229">
        <v>0.3498</v>
      </c>
      <c r="EK10" s="228">
        <v>245.51</v>
      </c>
      <c r="EL10" s="228">
        <v>426.39</v>
      </c>
      <c r="EM10" s="228">
        <v>195.49</v>
      </c>
      <c r="EN10" s="228">
        <v>61.22</v>
      </c>
      <c r="EO10" s="228">
        <v>867.39</v>
      </c>
      <c r="EP10" s="228">
        <v>883.48</v>
      </c>
      <c r="EQ10" s="228">
        <v>-16.09</v>
      </c>
      <c r="ER10" s="229">
        <v>-1.8200000000000001E-2</v>
      </c>
      <c r="ES10" s="228">
        <v>63.49</v>
      </c>
      <c r="ET10" s="228">
        <v>45.44</v>
      </c>
      <c r="EU10" s="228">
        <v>667.34</v>
      </c>
      <c r="EV10" s="231">
        <v>5873365</v>
      </c>
      <c r="EW10" s="228">
        <v>776.26</v>
      </c>
      <c r="EX10" s="231">
        <v>1025.01</v>
      </c>
      <c r="EY10" s="228">
        <v>-248.75</v>
      </c>
      <c r="EZ10" s="229">
        <v>-0.2427</v>
      </c>
      <c r="FA10" s="229">
        <v>0.24299999999999999</v>
      </c>
      <c r="FB10" s="227" t="s">
        <v>567</v>
      </c>
      <c r="FC10">
        <f t="shared" si="0"/>
        <v>654</v>
      </c>
    </row>
    <row r="11" spans="1:159" ht="17.25" thickBot="1" x14ac:dyDescent="0.3">
      <c r="A11" s="226">
        <v>46168</v>
      </c>
      <c r="B11" s="227" t="s">
        <v>184</v>
      </c>
      <c r="C11" s="227" t="s">
        <v>677</v>
      </c>
      <c r="D11" s="228">
        <v>100</v>
      </c>
      <c r="E11" s="228">
        <v>0</v>
      </c>
      <c r="F11" s="231">
        <v>7377</v>
      </c>
      <c r="G11" s="231">
        <v>7524.5</v>
      </c>
      <c r="H11" s="228">
        <v>-147.5</v>
      </c>
      <c r="I11" s="229">
        <v>-1.9599999999999999E-2</v>
      </c>
      <c r="J11" s="231">
        <v>7312</v>
      </c>
      <c r="K11" s="231">
        <v>7461.5</v>
      </c>
      <c r="L11" s="228">
        <v>-149.5</v>
      </c>
      <c r="M11" s="229">
        <v>-0.02</v>
      </c>
      <c r="N11" s="231">
        <v>7321.5</v>
      </c>
      <c r="O11" s="231">
        <v>7480</v>
      </c>
      <c r="P11" s="228">
        <v>-158.5</v>
      </c>
      <c r="Q11" s="229">
        <v>-2.12E-2</v>
      </c>
      <c r="R11" s="231">
        <v>7377</v>
      </c>
      <c r="S11" s="231">
        <v>7524.5</v>
      </c>
      <c r="T11" s="228">
        <v>-147.5</v>
      </c>
      <c r="U11" s="229">
        <v>-1.9599999999999999E-2</v>
      </c>
      <c r="V11" s="231">
        <v>7384.5</v>
      </c>
      <c r="W11" s="231">
        <v>7494</v>
      </c>
      <c r="X11" s="228">
        <v>-109.5</v>
      </c>
      <c r="Y11" s="229">
        <v>-1.46E-2</v>
      </c>
      <c r="Z11" s="228">
        <v>65</v>
      </c>
      <c r="AA11" s="228">
        <v>18.5</v>
      </c>
      <c r="AB11" s="228">
        <v>46.5</v>
      </c>
      <c r="AC11" s="229">
        <v>8.8999999999999999E-3</v>
      </c>
      <c r="AD11" s="228">
        <v>9.5</v>
      </c>
      <c r="AE11" s="228">
        <v>18.5</v>
      </c>
      <c r="AF11" s="228">
        <v>-9</v>
      </c>
      <c r="AG11" s="229">
        <v>1.2999999999999999E-3</v>
      </c>
      <c r="AH11" s="228">
        <v>65</v>
      </c>
      <c r="AI11" s="228">
        <v>63</v>
      </c>
      <c r="AJ11" s="228">
        <v>2</v>
      </c>
      <c r="AK11" s="229">
        <v>8.8999999999999999E-3</v>
      </c>
      <c r="AL11" s="228">
        <v>72.5</v>
      </c>
      <c r="AM11" s="228">
        <v>32.5</v>
      </c>
      <c r="AN11" s="228">
        <v>40</v>
      </c>
      <c r="AO11" s="229">
        <v>9.9000000000000008E-3</v>
      </c>
      <c r="AP11" s="231">
        <v>7392.76</v>
      </c>
      <c r="AQ11" s="231">
        <v>7436.94</v>
      </c>
      <c r="AR11" s="228">
        <v>0</v>
      </c>
      <c r="AS11" s="230">
        <v>1088</v>
      </c>
      <c r="AT11" s="230">
        <v>1266</v>
      </c>
      <c r="AU11" s="228">
        <v>-178</v>
      </c>
      <c r="AV11" s="229">
        <v>-0.1409</v>
      </c>
      <c r="AW11" s="228">
        <v>453</v>
      </c>
      <c r="AX11" s="228">
        <v>541</v>
      </c>
      <c r="AY11" s="228">
        <v>-88</v>
      </c>
      <c r="AZ11" s="229">
        <v>-0.16309999999999999</v>
      </c>
      <c r="BA11" s="228">
        <v>633</v>
      </c>
      <c r="BB11" s="228">
        <v>723</v>
      </c>
      <c r="BC11" s="228">
        <v>-90</v>
      </c>
      <c r="BD11" s="229">
        <v>-0.125</v>
      </c>
      <c r="BE11" s="228">
        <v>2</v>
      </c>
      <c r="BF11" s="228">
        <v>2</v>
      </c>
      <c r="BG11" s="228">
        <v>0</v>
      </c>
      <c r="BH11" s="229">
        <v>0.13039999999999999</v>
      </c>
      <c r="BI11" s="230">
        <v>2705</v>
      </c>
      <c r="BJ11" s="230">
        <v>4406</v>
      </c>
      <c r="BK11" s="230">
        <v>-1700</v>
      </c>
      <c r="BL11" s="229">
        <v>-0.38590000000000002</v>
      </c>
      <c r="BM11" s="230">
        <v>1409</v>
      </c>
      <c r="BN11" s="230">
        <v>3450</v>
      </c>
      <c r="BO11" s="230">
        <v>-2041</v>
      </c>
      <c r="BP11" s="229">
        <v>-0.5917</v>
      </c>
      <c r="BQ11" s="230">
        <v>5202</v>
      </c>
      <c r="BR11" s="230">
        <v>9122</v>
      </c>
      <c r="BS11" s="230">
        <v>-3920</v>
      </c>
      <c r="BT11" s="229">
        <v>-0.42970000000000003</v>
      </c>
      <c r="BU11" s="230">
        <v>323136</v>
      </c>
      <c r="BV11" s="230">
        <v>401709</v>
      </c>
      <c r="BW11" s="230">
        <v>-78573</v>
      </c>
      <c r="BX11" s="229">
        <v>-0.1956</v>
      </c>
      <c r="BY11" s="230">
        <v>2014</v>
      </c>
      <c r="BZ11" s="230">
        <v>2140</v>
      </c>
      <c r="CA11" s="228">
        <v>-126</v>
      </c>
      <c r="CB11" s="229">
        <v>-5.8999999999999997E-2</v>
      </c>
      <c r="CC11" s="228">
        <v>203</v>
      </c>
      <c r="CD11" s="228">
        <v>475</v>
      </c>
      <c r="CE11" s="228">
        <v>-272</v>
      </c>
      <c r="CF11" s="229">
        <v>-0.57250000000000001</v>
      </c>
      <c r="CG11" s="230">
        <v>2003</v>
      </c>
      <c r="CH11" s="230">
        <v>1655</v>
      </c>
      <c r="CI11" s="228">
        <v>348</v>
      </c>
      <c r="CJ11" s="229">
        <v>0.21010000000000001</v>
      </c>
      <c r="CK11" s="228">
        <v>11</v>
      </c>
      <c r="CL11" s="228">
        <v>10</v>
      </c>
      <c r="CM11" s="228">
        <v>1</v>
      </c>
      <c r="CN11" s="229">
        <v>0.1221</v>
      </c>
      <c r="CO11" s="228">
        <v>836</v>
      </c>
      <c r="CP11" s="230">
        <v>2496</v>
      </c>
      <c r="CQ11" s="230">
        <v>-1660</v>
      </c>
      <c r="CR11" s="229">
        <v>-0.66490000000000005</v>
      </c>
      <c r="CS11" s="228">
        <v>812</v>
      </c>
      <c r="CT11" s="230">
        <v>1446</v>
      </c>
      <c r="CU11" s="228">
        <v>-634</v>
      </c>
      <c r="CV11" s="229">
        <v>-0.43840000000000001</v>
      </c>
      <c r="CW11" s="230">
        <v>3662</v>
      </c>
      <c r="CX11" s="230">
        <v>6082</v>
      </c>
      <c r="CY11" s="230">
        <v>-2420</v>
      </c>
      <c r="CZ11" s="229">
        <v>-0.39789999999999998</v>
      </c>
      <c r="DA11" s="228">
        <v>34.15</v>
      </c>
      <c r="DB11" s="228">
        <v>36.840000000000003</v>
      </c>
      <c r="DC11" s="228">
        <v>-2.69</v>
      </c>
      <c r="DD11" s="228">
        <v>-2.69</v>
      </c>
      <c r="DE11" s="228">
        <v>58.56</v>
      </c>
      <c r="DF11" s="228">
        <v>58.65</v>
      </c>
      <c r="DG11" s="228">
        <v>-24.41</v>
      </c>
      <c r="DH11" s="228">
        <v>-0.09</v>
      </c>
      <c r="DI11" s="228">
        <v>36.130000000000003</v>
      </c>
      <c r="DJ11" s="228">
        <v>38.83</v>
      </c>
      <c r="DK11" s="228">
        <v>-2.7</v>
      </c>
      <c r="DL11" s="228">
        <v>-2.7</v>
      </c>
      <c r="DM11" s="228">
        <v>32.200000000000003</v>
      </c>
      <c r="DN11" s="228">
        <v>34.51</v>
      </c>
      <c r="DO11" s="228">
        <v>-2.31</v>
      </c>
      <c r="DP11" s="228">
        <v>-2.31</v>
      </c>
      <c r="DQ11" s="228">
        <v>0.97</v>
      </c>
      <c r="DR11" s="228">
        <v>0.57999999999999996</v>
      </c>
      <c r="DS11" s="228">
        <v>0.39</v>
      </c>
      <c r="DT11" s="229">
        <v>0.6724</v>
      </c>
      <c r="DU11" s="231">
        <v>8000</v>
      </c>
      <c r="DV11" s="231">
        <v>7000</v>
      </c>
      <c r="DW11" s="228">
        <v>0.52</v>
      </c>
      <c r="DX11" s="228">
        <v>0.78</v>
      </c>
      <c r="DY11" s="228">
        <v>-0.26</v>
      </c>
      <c r="DZ11" s="229">
        <v>-0.33329999999999999</v>
      </c>
      <c r="EA11" s="229">
        <v>0.90839999999999999</v>
      </c>
      <c r="EB11" s="230">
        <v>2256600</v>
      </c>
      <c r="EC11" s="229">
        <v>7.6E-3</v>
      </c>
      <c r="ED11" s="229">
        <v>0.90839999999999999</v>
      </c>
      <c r="EE11" s="228">
        <v>44.18</v>
      </c>
      <c r="EF11" s="229">
        <v>6.0000000000000001E-3</v>
      </c>
      <c r="EG11" s="230">
        <v>112980</v>
      </c>
      <c r="EH11" s="230">
        <v>124740</v>
      </c>
      <c r="EI11" s="229">
        <v>-9.4299999999999995E-2</v>
      </c>
      <c r="EJ11" s="229">
        <v>0.34960000000000002</v>
      </c>
      <c r="EK11" s="231">
        <v>2924.83</v>
      </c>
      <c r="EL11" s="231">
        <v>1391.32</v>
      </c>
      <c r="EM11" s="231">
        <v>1093.79</v>
      </c>
      <c r="EN11" s="228">
        <v>197.06</v>
      </c>
      <c r="EO11" s="231">
        <v>5409.94</v>
      </c>
      <c r="EP11" s="231">
        <v>9369.4599999999991</v>
      </c>
      <c r="EQ11" s="231">
        <v>-3959.52</v>
      </c>
      <c r="ER11" s="229">
        <v>-0.42259999999999998</v>
      </c>
      <c r="ES11" s="228">
        <v>896.03</v>
      </c>
      <c r="ET11" s="228">
        <v>777.99</v>
      </c>
      <c r="EU11" s="231">
        <v>2013.64</v>
      </c>
      <c r="EV11" s="231">
        <v>3260820</v>
      </c>
      <c r="EW11" s="231">
        <v>3687.66</v>
      </c>
      <c r="EX11" s="231">
        <v>6357.97</v>
      </c>
      <c r="EY11" s="231">
        <v>-2670.31</v>
      </c>
      <c r="EZ11" s="229">
        <v>-0.42</v>
      </c>
      <c r="FA11" s="229">
        <v>1.5223</v>
      </c>
      <c r="FB11" s="227" t="s">
        <v>567</v>
      </c>
      <c r="FC11">
        <f t="shared" si="0"/>
        <v>1811</v>
      </c>
    </row>
    <row r="12" spans="1:159" ht="17.25" thickBot="1" x14ac:dyDescent="0.3">
      <c r="A12" s="226">
        <v>46168</v>
      </c>
      <c r="B12" s="227" t="s">
        <v>157</v>
      </c>
      <c r="C12" s="227" t="s">
        <v>164</v>
      </c>
      <c r="D12" s="228">
        <v>1050</v>
      </c>
      <c r="E12" s="228">
        <v>0</v>
      </c>
      <c r="F12" s="228">
        <v>451.25</v>
      </c>
      <c r="G12" s="228">
        <v>443.55</v>
      </c>
      <c r="H12" s="228">
        <v>7.7</v>
      </c>
      <c r="I12" s="229">
        <v>1.7399999999999999E-2</v>
      </c>
      <c r="J12" s="228">
        <v>449.7</v>
      </c>
      <c r="K12" s="228">
        <v>441.95</v>
      </c>
      <c r="L12" s="228">
        <v>7.75</v>
      </c>
      <c r="M12" s="229">
        <v>1.7500000000000002E-2</v>
      </c>
      <c r="N12" s="228">
        <v>448.75</v>
      </c>
      <c r="O12" s="228">
        <v>443.15</v>
      </c>
      <c r="P12" s="228">
        <v>5.6</v>
      </c>
      <c r="Q12" s="229">
        <v>1.26E-2</v>
      </c>
      <c r="R12" s="228">
        <v>451.25</v>
      </c>
      <c r="S12" s="228">
        <v>443.55</v>
      </c>
      <c r="T12" s="228">
        <v>7.7</v>
      </c>
      <c r="U12" s="229">
        <v>1.7399999999999999E-2</v>
      </c>
      <c r="V12" s="228">
        <v>453.65</v>
      </c>
      <c r="W12" s="228">
        <v>446.2</v>
      </c>
      <c r="X12" s="228">
        <v>7.45</v>
      </c>
      <c r="Y12" s="229">
        <v>1.67E-2</v>
      </c>
      <c r="Z12" s="228">
        <v>1.55</v>
      </c>
      <c r="AA12" s="228">
        <v>1.2</v>
      </c>
      <c r="AB12" s="228">
        <v>0.35</v>
      </c>
      <c r="AC12" s="229">
        <v>3.3999999999999998E-3</v>
      </c>
      <c r="AD12" s="228">
        <v>-0.95</v>
      </c>
      <c r="AE12" s="228">
        <v>1.2</v>
      </c>
      <c r="AF12" s="228">
        <v>-2.15</v>
      </c>
      <c r="AG12" s="229">
        <v>-2.0999999999999999E-3</v>
      </c>
      <c r="AH12" s="228">
        <v>1.55</v>
      </c>
      <c r="AI12" s="228">
        <v>1.6</v>
      </c>
      <c r="AJ12" s="228">
        <v>-0.05</v>
      </c>
      <c r="AK12" s="229">
        <v>3.3999999999999998E-3</v>
      </c>
      <c r="AL12" s="228">
        <v>3.95</v>
      </c>
      <c r="AM12" s="228">
        <v>4.25</v>
      </c>
      <c r="AN12" s="228">
        <v>-0.3</v>
      </c>
      <c r="AO12" s="229">
        <v>8.8000000000000005E-3</v>
      </c>
      <c r="AP12" s="228">
        <v>447.98</v>
      </c>
      <c r="AQ12" s="228">
        <v>449.79</v>
      </c>
      <c r="AR12" s="228">
        <v>0</v>
      </c>
      <c r="AS12" s="230">
        <v>1284</v>
      </c>
      <c r="AT12" s="230">
        <v>1413</v>
      </c>
      <c r="AU12" s="228">
        <v>-129</v>
      </c>
      <c r="AV12" s="229">
        <v>-9.1399999999999995E-2</v>
      </c>
      <c r="AW12" s="228">
        <v>537</v>
      </c>
      <c r="AX12" s="228">
        <v>658</v>
      </c>
      <c r="AY12" s="228">
        <v>-122</v>
      </c>
      <c r="AZ12" s="229">
        <v>-0.18459999999999999</v>
      </c>
      <c r="BA12" s="228">
        <v>737</v>
      </c>
      <c r="BB12" s="228">
        <v>735</v>
      </c>
      <c r="BC12" s="228">
        <v>1</v>
      </c>
      <c r="BD12" s="229">
        <v>1.8E-3</v>
      </c>
      <c r="BE12" s="228">
        <v>11</v>
      </c>
      <c r="BF12" s="228">
        <v>20</v>
      </c>
      <c r="BG12" s="228">
        <v>-9</v>
      </c>
      <c r="BH12" s="229">
        <v>-0.45779999999999998</v>
      </c>
      <c r="BI12" s="230">
        <v>1345</v>
      </c>
      <c r="BJ12" s="228">
        <v>898</v>
      </c>
      <c r="BK12" s="228">
        <v>447</v>
      </c>
      <c r="BL12" s="229">
        <v>0.49840000000000001</v>
      </c>
      <c r="BM12" s="228">
        <v>591</v>
      </c>
      <c r="BN12" s="228">
        <v>464</v>
      </c>
      <c r="BO12" s="228">
        <v>127</v>
      </c>
      <c r="BP12" s="229">
        <v>0.27389999999999998</v>
      </c>
      <c r="BQ12" s="230">
        <v>3220</v>
      </c>
      <c r="BR12" s="230">
        <v>2775</v>
      </c>
      <c r="BS12" s="228">
        <v>445</v>
      </c>
      <c r="BT12" s="229">
        <v>0.1605</v>
      </c>
      <c r="BU12" s="230">
        <v>4638055</v>
      </c>
      <c r="BV12" s="230">
        <v>3114055</v>
      </c>
      <c r="BW12" s="230">
        <v>1524000</v>
      </c>
      <c r="BX12" s="229">
        <v>0.4894</v>
      </c>
      <c r="BY12" s="230">
        <v>3263</v>
      </c>
      <c r="BZ12" s="230">
        <v>3365</v>
      </c>
      <c r="CA12" s="228">
        <v>-102</v>
      </c>
      <c r="CB12" s="229">
        <v>-3.04E-2</v>
      </c>
      <c r="CC12" s="228">
        <v>229</v>
      </c>
      <c r="CD12" s="228">
        <v>487</v>
      </c>
      <c r="CE12" s="228">
        <v>-258</v>
      </c>
      <c r="CF12" s="229">
        <v>-0.5302</v>
      </c>
      <c r="CG12" s="230">
        <v>3048</v>
      </c>
      <c r="CH12" s="230">
        <v>2666</v>
      </c>
      <c r="CI12" s="228">
        <v>381</v>
      </c>
      <c r="CJ12" s="229">
        <v>0.14299999999999999</v>
      </c>
      <c r="CK12" s="228">
        <v>215</v>
      </c>
      <c r="CL12" s="228">
        <v>212</v>
      </c>
      <c r="CM12" s="228">
        <v>3</v>
      </c>
      <c r="CN12" s="229">
        <v>1.5599999999999999E-2</v>
      </c>
      <c r="CO12" s="228">
        <v>335</v>
      </c>
      <c r="CP12" s="228">
        <v>778</v>
      </c>
      <c r="CQ12" s="228">
        <v>-444</v>
      </c>
      <c r="CR12" s="229">
        <v>-0.57010000000000005</v>
      </c>
      <c r="CS12" s="228">
        <v>325</v>
      </c>
      <c r="CT12" s="228">
        <v>492</v>
      </c>
      <c r="CU12" s="228">
        <v>-167</v>
      </c>
      <c r="CV12" s="229">
        <v>-0.3397</v>
      </c>
      <c r="CW12" s="230">
        <v>3922</v>
      </c>
      <c r="CX12" s="230">
        <v>4636</v>
      </c>
      <c r="CY12" s="228">
        <v>-713</v>
      </c>
      <c r="CZ12" s="229">
        <v>-0.15390000000000001</v>
      </c>
      <c r="DA12" s="228">
        <v>26.5</v>
      </c>
      <c r="DB12" s="228">
        <v>27.96</v>
      </c>
      <c r="DC12" s="228">
        <v>-1.46</v>
      </c>
      <c r="DD12" s="228">
        <v>-1.46</v>
      </c>
      <c r="DE12" s="228">
        <v>36.18</v>
      </c>
      <c r="DF12" s="228">
        <v>36.19</v>
      </c>
      <c r="DG12" s="228">
        <v>-9.68</v>
      </c>
      <c r="DH12" s="228">
        <v>-0.01</v>
      </c>
      <c r="DI12" s="228">
        <v>27.24</v>
      </c>
      <c r="DJ12" s="228">
        <v>28.45</v>
      </c>
      <c r="DK12" s="228">
        <v>-1.21</v>
      </c>
      <c r="DL12" s="228">
        <v>-1.21</v>
      </c>
      <c r="DM12" s="228">
        <v>24.67</v>
      </c>
      <c r="DN12" s="228">
        <v>26.99</v>
      </c>
      <c r="DO12" s="228">
        <v>-2.3199999999999998</v>
      </c>
      <c r="DP12" s="228">
        <v>-2.3199999999999998</v>
      </c>
      <c r="DQ12" s="228">
        <v>0.97</v>
      </c>
      <c r="DR12" s="228">
        <v>0.63</v>
      </c>
      <c r="DS12" s="228">
        <v>0.34</v>
      </c>
      <c r="DT12" s="229">
        <v>0.53969999999999996</v>
      </c>
      <c r="DU12" s="228">
        <v>500</v>
      </c>
      <c r="DV12" s="228">
        <v>510</v>
      </c>
      <c r="DW12" s="228">
        <v>0.44</v>
      </c>
      <c r="DX12" s="228">
        <v>0.52</v>
      </c>
      <c r="DY12" s="228">
        <v>-0.08</v>
      </c>
      <c r="DZ12" s="229">
        <v>-0.15379999999999999</v>
      </c>
      <c r="EA12" s="229">
        <v>0.9345</v>
      </c>
      <c r="EB12" s="230">
        <v>63778500</v>
      </c>
      <c r="EC12" s="229">
        <v>5.5999999999999999E-3</v>
      </c>
      <c r="ED12" s="229">
        <v>0.9345</v>
      </c>
      <c r="EE12" s="228">
        <v>1.81</v>
      </c>
      <c r="EF12" s="229">
        <v>4.0000000000000001E-3</v>
      </c>
      <c r="EG12" s="230">
        <v>1572808</v>
      </c>
      <c r="EH12" s="230">
        <v>1383700</v>
      </c>
      <c r="EI12" s="229">
        <v>0.13669999999999999</v>
      </c>
      <c r="EJ12" s="229">
        <v>0.33910000000000001</v>
      </c>
      <c r="EK12" s="231">
        <v>1403.31</v>
      </c>
      <c r="EL12" s="228">
        <v>626.79</v>
      </c>
      <c r="EM12" s="231">
        <v>1279.47</v>
      </c>
      <c r="EN12" s="228">
        <v>300.10000000000002</v>
      </c>
      <c r="EO12" s="231">
        <v>3309.57</v>
      </c>
      <c r="EP12" s="231">
        <v>2754.93</v>
      </c>
      <c r="EQ12" s="228">
        <v>554.64</v>
      </c>
      <c r="ER12" s="229">
        <v>0.20130000000000001</v>
      </c>
      <c r="ES12" s="228">
        <v>347.1</v>
      </c>
      <c r="ET12" s="228">
        <v>334.22</v>
      </c>
      <c r="EU12" s="231">
        <v>3263.73</v>
      </c>
      <c r="EV12" s="231">
        <v>97233107</v>
      </c>
      <c r="EW12" s="231">
        <v>3945.05</v>
      </c>
      <c r="EX12" s="231">
        <v>4608.32</v>
      </c>
      <c r="EY12" s="228">
        <v>-663.27</v>
      </c>
      <c r="EZ12" s="229">
        <v>-0.1439</v>
      </c>
      <c r="FA12" s="229">
        <v>0.89390000000000003</v>
      </c>
      <c r="FB12" s="227" t="s">
        <v>691</v>
      </c>
      <c r="FC12">
        <f t="shared" si="0"/>
        <v>3034</v>
      </c>
    </row>
    <row r="13" spans="1:159" ht="17.25" thickBot="1" x14ac:dyDescent="0.3">
      <c r="A13" s="226">
        <v>46168</v>
      </c>
      <c r="B13" s="227" t="s">
        <v>175</v>
      </c>
      <c r="C13" s="227" t="s">
        <v>608</v>
      </c>
      <c r="D13" s="228">
        <v>2500</v>
      </c>
      <c r="E13" s="228">
        <v>0</v>
      </c>
      <c r="F13" s="228">
        <v>346.2</v>
      </c>
      <c r="G13" s="228">
        <v>349.1</v>
      </c>
      <c r="H13" s="228">
        <v>-2.9</v>
      </c>
      <c r="I13" s="229">
        <v>-8.3000000000000001E-3</v>
      </c>
      <c r="J13" s="228">
        <v>344.45</v>
      </c>
      <c r="K13" s="228">
        <v>346.45</v>
      </c>
      <c r="L13" s="228">
        <v>-2</v>
      </c>
      <c r="M13" s="229">
        <v>-5.7999999999999996E-3</v>
      </c>
      <c r="N13" s="228">
        <v>344.6</v>
      </c>
      <c r="O13" s="228">
        <v>347.1</v>
      </c>
      <c r="P13" s="228">
        <v>-2.5</v>
      </c>
      <c r="Q13" s="229">
        <v>-7.1999999999999998E-3</v>
      </c>
      <c r="R13" s="228">
        <v>346.2</v>
      </c>
      <c r="S13" s="228">
        <v>349.1</v>
      </c>
      <c r="T13" s="228">
        <v>-2.9</v>
      </c>
      <c r="U13" s="229">
        <v>-8.3000000000000001E-3</v>
      </c>
      <c r="V13" s="228">
        <v>346.9</v>
      </c>
      <c r="W13" s="228">
        <v>349.8</v>
      </c>
      <c r="X13" s="228">
        <v>-2.9</v>
      </c>
      <c r="Y13" s="229">
        <v>-8.3000000000000001E-3</v>
      </c>
      <c r="Z13" s="228">
        <v>1.75</v>
      </c>
      <c r="AA13" s="228">
        <v>0.65</v>
      </c>
      <c r="AB13" s="228">
        <v>1.1000000000000001</v>
      </c>
      <c r="AC13" s="229">
        <v>5.1000000000000004E-3</v>
      </c>
      <c r="AD13" s="228">
        <v>0.15</v>
      </c>
      <c r="AE13" s="228">
        <v>0.65</v>
      </c>
      <c r="AF13" s="228">
        <v>-0.5</v>
      </c>
      <c r="AG13" s="229">
        <v>4.0000000000000002E-4</v>
      </c>
      <c r="AH13" s="228">
        <v>1.75</v>
      </c>
      <c r="AI13" s="228">
        <v>2.65</v>
      </c>
      <c r="AJ13" s="228">
        <v>-0.9</v>
      </c>
      <c r="AK13" s="229">
        <v>5.1000000000000004E-3</v>
      </c>
      <c r="AL13" s="228">
        <v>2.4500000000000002</v>
      </c>
      <c r="AM13" s="228">
        <v>3.35</v>
      </c>
      <c r="AN13" s="228">
        <v>-0.9</v>
      </c>
      <c r="AO13" s="229">
        <v>7.1000000000000004E-3</v>
      </c>
      <c r="AP13" s="228">
        <v>346.19</v>
      </c>
      <c r="AQ13" s="228">
        <v>347.78</v>
      </c>
      <c r="AR13" s="228">
        <v>0</v>
      </c>
      <c r="AS13" s="228">
        <v>692</v>
      </c>
      <c r="AT13" s="228">
        <v>787</v>
      </c>
      <c r="AU13" s="228">
        <v>-95</v>
      </c>
      <c r="AV13" s="229">
        <v>-0.1203</v>
      </c>
      <c r="AW13" s="228">
        <v>265</v>
      </c>
      <c r="AX13" s="228">
        <v>344</v>
      </c>
      <c r="AY13" s="228">
        <v>-79</v>
      </c>
      <c r="AZ13" s="229">
        <v>-0.2293</v>
      </c>
      <c r="BA13" s="228">
        <v>419</v>
      </c>
      <c r="BB13" s="228">
        <v>435</v>
      </c>
      <c r="BC13" s="228">
        <v>-16</v>
      </c>
      <c r="BD13" s="229">
        <v>-3.6600000000000001E-2</v>
      </c>
      <c r="BE13" s="228">
        <v>8</v>
      </c>
      <c r="BF13" s="228">
        <v>8</v>
      </c>
      <c r="BG13" s="228">
        <v>0</v>
      </c>
      <c r="BH13" s="229">
        <v>1.0800000000000001E-2</v>
      </c>
      <c r="BI13" s="228">
        <v>860</v>
      </c>
      <c r="BJ13" s="230">
        <v>2077</v>
      </c>
      <c r="BK13" s="230">
        <v>-1217</v>
      </c>
      <c r="BL13" s="229">
        <v>-0.58609999999999995</v>
      </c>
      <c r="BM13" s="228">
        <v>645</v>
      </c>
      <c r="BN13" s="230">
        <v>1198</v>
      </c>
      <c r="BO13" s="228">
        <v>-553</v>
      </c>
      <c r="BP13" s="229">
        <v>-0.46129999999999999</v>
      </c>
      <c r="BQ13" s="230">
        <v>2198</v>
      </c>
      <c r="BR13" s="230">
        <v>4062</v>
      </c>
      <c r="BS13" s="230">
        <v>-1865</v>
      </c>
      <c r="BT13" s="229">
        <v>-0.45910000000000001</v>
      </c>
      <c r="BU13" s="230">
        <v>7273024</v>
      </c>
      <c r="BV13" s="230">
        <v>9027428</v>
      </c>
      <c r="BW13" s="230">
        <v>-1754404</v>
      </c>
      <c r="BX13" s="229">
        <v>-0.1943</v>
      </c>
      <c r="BY13" s="228">
        <v>734</v>
      </c>
      <c r="BZ13" s="230">
        <v>1028</v>
      </c>
      <c r="CA13" s="228">
        <v>-295</v>
      </c>
      <c r="CB13" s="229">
        <v>-0.28639999999999999</v>
      </c>
      <c r="CC13" s="228">
        <v>219</v>
      </c>
      <c r="CD13" s="228">
        <v>353</v>
      </c>
      <c r="CE13" s="228">
        <v>-134</v>
      </c>
      <c r="CF13" s="229">
        <v>-0.37940000000000002</v>
      </c>
      <c r="CG13" s="228">
        <v>716</v>
      </c>
      <c r="CH13" s="228">
        <v>661</v>
      </c>
      <c r="CI13" s="228">
        <v>55</v>
      </c>
      <c r="CJ13" s="229">
        <v>8.3400000000000002E-2</v>
      </c>
      <c r="CK13" s="228">
        <v>17</v>
      </c>
      <c r="CL13" s="228">
        <v>14</v>
      </c>
      <c r="CM13" s="228">
        <v>3</v>
      </c>
      <c r="CN13" s="229">
        <v>0.22700000000000001</v>
      </c>
      <c r="CO13" s="228">
        <v>323</v>
      </c>
      <c r="CP13" s="228">
        <v>720</v>
      </c>
      <c r="CQ13" s="228">
        <v>-397</v>
      </c>
      <c r="CR13" s="229">
        <v>-0.55169999999999997</v>
      </c>
      <c r="CS13" s="228">
        <v>287</v>
      </c>
      <c r="CT13" s="228">
        <v>652</v>
      </c>
      <c r="CU13" s="228">
        <v>-365</v>
      </c>
      <c r="CV13" s="229">
        <v>-0.55930000000000002</v>
      </c>
      <c r="CW13" s="230">
        <v>1344</v>
      </c>
      <c r="CX13" s="230">
        <v>2400</v>
      </c>
      <c r="CY13" s="230">
        <v>-1057</v>
      </c>
      <c r="CZ13" s="229">
        <v>-0.44019999999999998</v>
      </c>
      <c r="DA13" s="228">
        <v>38.94</v>
      </c>
      <c r="DB13" s="228">
        <v>41.15</v>
      </c>
      <c r="DC13" s="228">
        <v>-2.21</v>
      </c>
      <c r="DD13" s="228">
        <v>-2.21</v>
      </c>
      <c r="DE13" s="228">
        <v>56.4</v>
      </c>
      <c r="DF13" s="228">
        <v>56.53</v>
      </c>
      <c r="DG13" s="228">
        <v>-17.46</v>
      </c>
      <c r="DH13" s="228">
        <v>-0.13</v>
      </c>
      <c r="DI13" s="228">
        <v>38.11</v>
      </c>
      <c r="DJ13" s="228">
        <v>40.64</v>
      </c>
      <c r="DK13" s="228">
        <v>-2.5299999999999998</v>
      </c>
      <c r="DL13" s="228">
        <v>-2.5299999999999998</v>
      </c>
      <c r="DM13" s="228">
        <v>39.880000000000003</v>
      </c>
      <c r="DN13" s="228">
        <v>42.29</v>
      </c>
      <c r="DO13" s="228">
        <v>-2.41</v>
      </c>
      <c r="DP13" s="228">
        <v>-2.41</v>
      </c>
      <c r="DQ13" s="228">
        <v>0.89</v>
      </c>
      <c r="DR13" s="228">
        <v>0.9</v>
      </c>
      <c r="DS13" s="228">
        <v>-0.01</v>
      </c>
      <c r="DT13" s="229">
        <v>-1.11E-2</v>
      </c>
      <c r="DU13" s="228">
        <v>350</v>
      </c>
      <c r="DV13" s="228">
        <v>300</v>
      </c>
      <c r="DW13" s="228">
        <v>0.75</v>
      </c>
      <c r="DX13" s="228">
        <v>0.57999999999999996</v>
      </c>
      <c r="DY13" s="228">
        <v>0.17</v>
      </c>
      <c r="DZ13" s="229">
        <v>0.29310000000000003</v>
      </c>
      <c r="EA13" s="229">
        <v>0.77010000000000001</v>
      </c>
      <c r="EB13" s="230">
        <v>19507500</v>
      </c>
      <c r="EC13" s="229">
        <v>4.5999999999999999E-3</v>
      </c>
      <c r="ED13" s="229">
        <v>0.77010000000000001</v>
      </c>
      <c r="EE13" s="228">
        <v>1.59</v>
      </c>
      <c r="EF13" s="229">
        <v>4.5999999999999999E-3</v>
      </c>
      <c r="EG13" s="230">
        <v>2688649</v>
      </c>
      <c r="EH13" s="230">
        <v>3399852</v>
      </c>
      <c r="EI13" s="229">
        <v>-0.2092</v>
      </c>
      <c r="EJ13" s="229">
        <v>0.36969999999999997</v>
      </c>
      <c r="EK13" s="228">
        <v>893.46</v>
      </c>
      <c r="EL13" s="228">
        <v>618.59</v>
      </c>
      <c r="EM13" s="228">
        <v>694.45</v>
      </c>
      <c r="EN13" s="228">
        <v>89.2</v>
      </c>
      <c r="EO13" s="231">
        <v>2206.4899999999998</v>
      </c>
      <c r="EP13" s="231">
        <v>4083.84</v>
      </c>
      <c r="EQ13" s="231">
        <v>-1877.34</v>
      </c>
      <c r="ER13" s="229">
        <v>-0.4597</v>
      </c>
      <c r="ES13" s="228">
        <v>329.18</v>
      </c>
      <c r="ET13" s="228">
        <v>263.52</v>
      </c>
      <c r="EU13" s="228">
        <v>733.72</v>
      </c>
      <c r="EV13" s="231">
        <v>96940911</v>
      </c>
      <c r="EW13" s="231">
        <v>1326.42</v>
      </c>
      <c r="EX13" s="231">
        <v>2342.98</v>
      </c>
      <c r="EY13" s="231">
        <v>-1016.56</v>
      </c>
      <c r="EZ13" s="229">
        <v>-0.43390000000000001</v>
      </c>
      <c r="FA13" s="229">
        <v>0.40039999999999998</v>
      </c>
      <c r="FB13" s="227" t="s">
        <v>567</v>
      </c>
      <c r="FC13">
        <f t="shared" si="0"/>
        <v>515</v>
      </c>
    </row>
    <row r="14" spans="1:159" ht="17.25" thickBot="1" x14ac:dyDescent="0.3">
      <c r="A14" s="226">
        <v>46168</v>
      </c>
      <c r="B14" s="227" t="s">
        <v>227</v>
      </c>
      <c r="C14" s="227" t="s">
        <v>597</v>
      </c>
      <c r="D14" s="228">
        <v>350</v>
      </c>
      <c r="E14" s="228">
        <v>0</v>
      </c>
      <c r="F14" s="231">
        <v>1884</v>
      </c>
      <c r="G14" s="231">
        <v>1908.7</v>
      </c>
      <c r="H14" s="228">
        <v>-24.7</v>
      </c>
      <c r="I14" s="229">
        <v>-1.29E-2</v>
      </c>
      <c r="J14" s="231">
        <v>1874.1</v>
      </c>
      <c r="K14" s="231">
        <v>1898.6</v>
      </c>
      <c r="L14" s="228">
        <v>-24.5</v>
      </c>
      <c r="M14" s="229">
        <v>-1.29E-2</v>
      </c>
      <c r="N14" s="231">
        <v>1869.5</v>
      </c>
      <c r="O14" s="231">
        <v>1896.9</v>
      </c>
      <c r="P14" s="228">
        <v>-27.4</v>
      </c>
      <c r="Q14" s="229">
        <v>-1.44E-2</v>
      </c>
      <c r="R14" s="231">
        <v>1884</v>
      </c>
      <c r="S14" s="231">
        <v>1908.7</v>
      </c>
      <c r="T14" s="228">
        <v>-24.7</v>
      </c>
      <c r="U14" s="229">
        <v>-1.29E-2</v>
      </c>
      <c r="V14" s="231">
        <v>1894.5</v>
      </c>
      <c r="W14" s="231">
        <v>1921.4</v>
      </c>
      <c r="X14" s="228">
        <v>-26.9</v>
      </c>
      <c r="Y14" s="229">
        <v>-1.4E-2</v>
      </c>
      <c r="Z14" s="228">
        <v>9.9</v>
      </c>
      <c r="AA14" s="228">
        <v>-1.7</v>
      </c>
      <c r="AB14" s="228">
        <v>11.6</v>
      </c>
      <c r="AC14" s="229">
        <v>5.3E-3</v>
      </c>
      <c r="AD14" s="228">
        <v>-4.5999999999999996</v>
      </c>
      <c r="AE14" s="228">
        <v>-1.7</v>
      </c>
      <c r="AF14" s="228">
        <v>-2.9</v>
      </c>
      <c r="AG14" s="229">
        <v>-2.5000000000000001E-3</v>
      </c>
      <c r="AH14" s="228">
        <v>9.9</v>
      </c>
      <c r="AI14" s="228">
        <v>10.1</v>
      </c>
      <c r="AJ14" s="228">
        <v>-0.2</v>
      </c>
      <c r="AK14" s="229">
        <v>5.3E-3</v>
      </c>
      <c r="AL14" s="228">
        <v>20.399999999999999</v>
      </c>
      <c r="AM14" s="228">
        <v>22.8</v>
      </c>
      <c r="AN14" s="228">
        <v>-2.4</v>
      </c>
      <c r="AO14" s="229">
        <v>1.09E-2</v>
      </c>
      <c r="AP14" s="231">
        <v>1873.43</v>
      </c>
      <c r="AQ14" s="231">
        <v>1885.39</v>
      </c>
      <c r="AR14" s="228">
        <v>0</v>
      </c>
      <c r="AS14" s="228">
        <v>461</v>
      </c>
      <c r="AT14" s="228">
        <v>476</v>
      </c>
      <c r="AU14" s="228">
        <v>-15</v>
      </c>
      <c r="AV14" s="229">
        <v>-3.2000000000000001E-2</v>
      </c>
      <c r="AW14" s="228">
        <v>167</v>
      </c>
      <c r="AX14" s="228">
        <v>224</v>
      </c>
      <c r="AY14" s="228">
        <v>-57</v>
      </c>
      <c r="AZ14" s="229">
        <v>-0.2535</v>
      </c>
      <c r="BA14" s="228">
        <v>291</v>
      </c>
      <c r="BB14" s="228">
        <v>250</v>
      </c>
      <c r="BC14" s="228">
        <v>41</v>
      </c>
      <c r="BD14" s="229">
        <v>0.1633</v>
      </c>
      <c r="BE14" s="228">
        <v>2</v>
      </c>
      <c r="BF14" s="228">
        <v>2</v>
      </c>
      <c r="BG14" s="228">
        <v>1</v>
      </c>
      <c r="BH14" s="229">
        <v>0.43480000000000002</v>
      </c>
      <c r="BI14" s="228">
        <v>410</v>
      </c>
      <c r="BJ14" s="228">
        <v>568</v>
      </c>
      <c r="BK14" s="228">
        <v>-158</v>
      </c>
      <c r="BL14" s="229">
        <v>-0.2787</v>
      </c>
      <c r="BM14" s="228">
        <v>359</v>
      </c>
      <c r="BN14" s="228">
        <v>264</v>
      </c>
      <c r="BO14" s="228">
        <v>95</v>
      </c>
      <c r="BP14" s="229">
        <v>0.36070000000000002</v>
      </c>
      <c r="BQ14" s="230">
        <v>1229</v>
      </c>
      <c r="BR14" s="230">
        <v>1308</v>
      </c>
      <c r="BS14" s="228">
        <v>-78</v>
      </c>
      <c r="BT14" s="229">
        <v>-5.9900000000000002E-2</v>
      </c>
      <c r="BU14" s="230">
        <v>1419356</v>
      </c>
      <c r="BV14" s="230">
        <v>639314</v>
      </c>
      <c r="BW14" s="230">
        <v>780042</v>
      </c>
      <c r="BX14" s="229">
        <v>1.2201</v>
      </c>
      <c r="BY14" s="230">
        <v>1038</v>
      </c>
      <c r="BZ14" s="230">
        <v>1075</v>
      </c>
      <c r="CA14" s="228">
        <v>-38</v>
      </c>
      <c r="CB14" s="229">
        <v>-3.5099999999999999E-2</v>
      </c>
      <c r="CC14" s="228">
        <v>49</v>
      </c>
      <c r="CD14" s="228">
        <v>131</v>
      </c>
      <c r="CE14" s="228">
        <v>-82</v>
      </c>
      <c r="CF14" s="229">
        <v>-0.62460000000000004</v>
      </c>
      <c r="CG14" s="230">
        <v>1028</v>
      </c>
      <c r="CH14" s="228">
        <v>936</v>
      </c>
      <c r="CI14" s="228">
        <v>92</v>
      </c>
      <c r="CJ14" s="229">
        <v>9.8100000000000007E-2</v>
      </c>
      <c r="CK14" s="228">
        <v>10</v>
      </c>
      <c r="CL14" s="228">
        <v>8</v>
      </c>
      <c r="CM14" s="228">
        <v>2</v>
      </c>
      <c r="CN14" s="229">
        <v>0.2049</v>
      </c>
      <c r="CO14" s="228">
        <v>82</v>
      </c>
      <c r="CP14" s="228">
        <v>380</v>
      </c>
      <c r="CQ14" s="228">
        <v>-297</v>
      </c>
      <c r="CR14" s="229">
        <v>-0.78269999999999995</v>
      </c>
      <c r="CS14" s="228">
        <v>97</v>
      </c>
      <c r="CT14" s="228">
        <v>227</v>
      </c>
      <c r="CU14" s="228">
        <v>-130</v>
      </c>
      <c r="CV14" s="229">
        <v>-0.57210000000000005</v>
      </c>
      <c r="CW14" s="230">
        <v>1217</v>
      </c>
      <c r="CX14" s="230">
        <v>1681</v>
      </c>
      <c r="CY14" s="228">
        <v>-464</v>
      </c>
      <c r="CZ14" s="229">
        <v>-0.2762</v>
      </c>
      <c r="DA14" s="228">
        <v>25.04</v>
      </c>
      <c r="DB14" s="228">
        <v>25.43</v>
      </c>
      <c r="DC14" s="228">
        <v>-0.39</v>
      </c>
      <c r="DD14" s="228">
        <v>-0.39</v>
      </c>
      <c r="DE14" s="228">
        <v>35.69</v>
      </c>
      <c r="DF14" s="228">
        <v>35.74</v>
      </c>
      <c r="DG14" s="228">
        <v>-10.65</v>
      </c>
      <c r="DH14" s="228">
        <v>-0.05</v>
      </c>
      <c r="DI14" s="228">
        <v>24.95</v>
      </c>
      <c r="DJ14" s="228">
        <v>25.43</v>
      </c>
      <c r="DK14" s="228">
        <v>-0.48</v>
      </c>
      <c r="DL14" s="228">
        <v>-0.48</v>
      </c>
      <c r="DM14" s="228">
        <v>25.14</v>
      </c>
      <c r="DN14" s="228">
        <v>25.42</v>
      </c>
      <c r="DO14" s="228">
        <v>-0.28000000000000003</v>
      </c>
      <c r="DP14" s="228">
        <v>-0.28000000000000003</v>
      </c>
      <c r="DQ14" s="228">
        <v>1.18</v>
      </c>
      <c r="DR14" s="228">
        <v>0.6</v>
      </c>
      <c r="DS14" s="228">
        <v>0.57999999999999996</v>
      </c>
      <c r="DT14" s="229">
        <v>0.9667</v>
      </c>
      <c r="DU14" s="231">
        <v>1900</v>
      </c>
      <c r="DV14" s="231">
        <v>1900</v>
      </c>
      <c r="DW14" s="228">
        <v>0.88</v>
      </c>
      <c r="DX14" s="228">
        <v>0.46</v>
      </c>
      <c r="DY14" s="228">
        <v>0.42</v>
      </c>
      <c r="DZ14" s="229">
        <v>0.91300000000000003</v>
      </c>
      <c r="EA14" s="229">
        <v>0.95469999999999999</v>
      </c>
      <c r="EB14" s="230">
        <v>5010950</v>
      </c>
      <c r="EC14" s="229">
        <v>7.7999999999999996E-3</v>
      </c>
      <c r="ED14" s="229">
        <v>0.95469999999999999</v>
      </c>
      <c r="EE14" s="228">
        <v>11.96</v>
      </c>
      <c r="EF14" s="229">
        <v>6.4000000000000003E-3</v>
      </c>
      <c r="EG14" s="230">
        <v>930664</v>
      </c>
      <c r="EH14" s="230">
        <v>411212</v>
      </c>
      <c r="EI14" s="229">
        <v>1.2632000000000001</v>
      </c>
      <c r="EJ14" s="229">
        <v>0.65569999999999995</v>
      </c>
      <c r="EK14" s="228">
        <v>425.37</v>
      </c>
      <c r="EL14" s="228">
        <v>359.71</v>
      </c>
      <c r="EM14" s="228">
        <v>459.88</v>
      </c>
      <c r="EN14" s="228">
        <v>62.58</v>
      </c>
      <c r="EO14" s="231">
        <v>1244.96</v>
      </c>
      <c r="EP14" s="231">
        <v>1344.31</v>
      </c>
      <c r="EQ14" s="228">
        <v>-99.35</v>
      </c>
      <c r="ER14" s="229">
        <v>-7.3899999999999993E-2</v>
      </c>
      <c r="ES14" s="228">
        <v>85.2</v>
      </c>
      <c r="ET14" s="228">
        <v>97.53</v>
      </c>
      <c r="EU14" s="231">
        <v>1037.6199999999999</v>
      </c>
      <c r="EV14" s="231">
        <v>29871221</v>
      </c>
      <c r="EW14" s="231">
        <v>1220.3499999999999</v>
      </c>
      <c r="EX14" s="231">
        <v>1716.23</v>
      </c>
      <c r="EY14" s="228">
        <v>-495.88</v>
      </c>
      <c r="EZ14" s="229">
        <v>-0.28889999999999999</v>
      </c>
      <c r="FA14" s="229">
        <v>0.2162</v>
      </c>
      <c r="FB14" s="227" t="s">
        <v>567</v>
      </c>
      <c r="FC14">
        <f t="shared" si="0"/>
        <v>989</v>
      </c>
    </row>
    <row r="15" spans="1:159" ht="17.25" thickBot="1" x14ac:dyDescent="0.3">
      <c r="A15" s="226">
        <v>46168</v>
      </c>
      <c r="B15" s="227" t="s">
        <v>170</v>
      </c>
      <c r="C15" s="227" t="s">
        <v>165</v>
      </c>
      <c r="D15" s="228">
        <v>125</v>
      </c>
      <c r="E15" s="228">
        <v>0</v>
      </c>
      <c r="F15" s="231">
        <v>8315</v>
      </c>
      <c r="G15" s="231">
        <v>8448.5</v>
      </c>
      <c r="H15" s="228">
        <v>-133.5</v>
      </c>
      <c r="I15" s="229">
        <v>-1.5800000000000002E-2</v>
      </c>
      <c r="J15" s="231">
        <v>8258.5</v>
      </c>
      <c r="K15" s="231">
        <v>8404</v>
      </c>
      <c r="L15" s="228">
        <v>-145.5</v>
      </c>
      <c r="M15" s="229">
        <v>-1.7299999999999999E-2</v>
      </c>
      <c r="N15" s="231">
        <v>8268.5</v>
      </c>
      <c r="O15" s="231">
        <v>8398.5</v>
      </c>
      <c r="P15" s="228">
        <v>-130</v>
      </c>
      <c r="Q15" s="229">
        <v>-1.55E-2</v>
      </c>
      <c r="R15" s="231">
        <v>8315</v>
      </c>
      <c r="S15" s="231">
        <v>8448.5</v>
      </c>
      <c r="T15" s="228">
        <v>-133.5</v>
      </c>
      <c r="U15" s="229">
        <v>-1.5800000000000002E-2</v>
      </c>
      <c r="V15" s="231">
        <v>8364</v>
      </c>
      <c r="W15" s="231">
        <v>8506</v>
      </c>
      <c r="X15" s="228">
        <v>-142</v>
      </c>
      <c r="Y15" s="229">
        <v>-1.67E-2</v>
      </c>
      <c r="Z15" s="228">
        <v>56.5</v>
      </c>
      <c r="AA15" s="228">
        <v>-5.5</v>
      </c>
      <c r="AB15" s="228">
        <v>62</v>
      </c>
      <c r="AC15" s="229">
        <v>6.7999999999999996E-3</v>
      </c>
      <c r="AD15" s="228">
        <v>10</v>
      </c>
      <c r="AE15" s="228">
        <v>-5.5</v>
      </c>
      <c r="AF15" s="228">
        <v>15.5</v>
      </c>
      <c r="AG15" s="229">
        <v>1.1999999999999999E-3</v>
      </c>
      <c r="AH15" s="228">
        <v>56.5</v>
      </c>
      <c r="AI15" s="228">
        <v>44.5</v>
      </c>
      <c r="AJ15" s="228">
        <v>12</v>
      </c>
      <c r="AK15" s="229">
        <v>6.7999999999999996E-3</v>
      </c>
      <c r="AL15" s="228">
        <v>105.5</v>
      </c>
      <c r="AM15" s="228">
        <v>102</v>
      </c>
      <c r="AN15" s="228">
        <v>3.5</v>
      </c>
      <c r="AO15" s="229">
        <v>1.2800000000000001E-2</v>
      </c>
      <c r="AP15" s="231">
        <v>8285.41</v>
      </c>
      <c r="AQ15" s="231">
        <v>8343.17</v>
      </c>
      <c r="AR15" s="228">
        <v>0</v>
      </c>
      <c r="AS15" s="228">
        <v>509</v>
      </c>
      <c r="AT15" s="228">
        <v>763</v>
      </c>
      <c r="AU15" s="228">
        <v>-254</v>
      </c>
      <c r="AV15" s="229">
        <v>-0.33250000000000002</v>
      </c>
      <c r="AW15" s="228">
        <v>182</v>
      </c>
      <c r="AX15" s="228">
        <v>374</v>
      </c>
      <c r="AY15" s="228">
        <v>-192</v>
      </c>
      <c r="AZ15" s="229">
        <v>-0.51280000000000003</v>
      </c>
      <c r="BA15" s="228">
        <v>319</v>
      </c>
      <c r="BB15" s="228">
        <v>382</v>
      </c>
      <c r="BC15" s="228">
        <v>-63</v>
      </c>
      <c r="BD15" s="229">
        <v>-0.1653</v>
      </c>
      <c r="BE15" s="228">
        <v>8</v>
      </c>
      <c r="BF15" s="228">
        <v>7</v>
      </c>
      <c r="BG15" s="228">
        <v>1</v>
      </c>
      <c r="BH15" s="229">
        <v>0.19400000000000001</v>
      </c>
      <c r="BI15" s="230">
        <v>1232</v>
      </c>
      <c r="BJ15" s="230">
        <v>2287</v>
      </c>
      <c r="BK15" s="230">
        <v>-1054</v>
      </c>
      <c r="BL15" s="229">
        <v>-0.46110000000000001</v>
      </c>
      <c r="BM15" s="230">
        <v>1222</v>
      </c>
      <c r="BN15" s="230">
        <v>1868</v>
      </c>
      <c r="BO15" s="228">
        <v>-646</v>
      </c>
      <c r="BP15" s="229">
        <v>-0.3458</v>
      </c>
      <c r="BQ15" s="230">
        <v>2963</v>
      </c>
      <c r="BR15" s="230">
        <v>4917</v>
      </c>
      <c r="BS15" s="230">
        <v>-1954</v>
      </c>
      <c r="BT15" s="229">
        <v>-0.39729999999999999</v>
      </c>
      <c r="BU15" s="230">
        <v>326826</v>
      </c>
      <c r="BV15" s="230">
        <v>380738</v>
      </c>
      <c r="BW15" s="230">
        <v>-53912</v>
      </c>
      <c r="BX15" s="229">
        <v>-0.1416</v>
      </c>
      <c r="BY15" s="230">
        <v>1540</v>
      </c>
      <c r="BZ15" s="230">
        <v>1851</v>
      </c>
      <c r="CA15" s="228">
        <v>-311</v>
      </c>
      <c r="CB15" s="229">
        <v>-0.16800000000000001</v>
      </c>
      <c r="CC15" s="228">
        <v>253</v>
      </c>
      <c r="CD15" s="228">
        <v>311</v>
      </c>
      <c r="CE15" s="228">
        <v>-58</v>
      </c>
      <c r="CF15" s="229">
        <v>-0.18559999999999999</v>
      </c>
      <c r="CG15" s="230">
        <v>1361</v>
      </c>
      <c r="CH15" s="230">
        <v>1361</v>
      </c>
      <c r="CI15" s="228">
        <v>-1</v>
      </c>
      <c r="CJ15" s="229">
        <v>-4.0000000000000002E-4</v>
      </c>
      <c r="CK15" s="228">
        <v>179</v>
      </c>
      <c r="CL15" s="228">
        <v>179</v>
      </c>
      <c r="CM15" s="228">
        <v>0</v>
      </c>
      <c r="CN15" s="229">
        <v>2.3E-3</v>
      </c>
      <c r="CO15" s="228">
        <v>451</v>
      </c>
      <c r="CP15" s="230">
        <v>1063</v>
      </c>
      <c r="CQ15" s="228">
        <v>-612</v>
      </c>
      <c r="CR15" s="229">
        <v>-0.57599999999999996</v>
      </c>
      <c r="CS15" s="228">
        <v>282</v>
      </c>
      <c r="CT15" s="230">
        <v>1148</v>
      </c>
      <c r="CU15" s="228">
        <v>-866</v>
      </c>
      <c r="CV15" s="229">
        <v>-0.75429999999999997</v>
      </c>
      <c r="CW15" s="230">
        <v>2273</v>
      </c>
      <c r="CX15" s="230">
        <v>4062</v>
      </c>
      <c r="CY15" s="230">
        <v>-1789</v>
      </c>
      <c r="CZ15" s="229">
        <v>-0.4405</v>
      </c>
      <c r="DA15" s="228">
        <v>20.21</v>
      </c>
      <c r="DB15" s="228">
        <v>21.4</v>
      </c>
      <c r="DC15" s="228">
        <v>-1.19</v>
      </c>
      <c r="DD15" s="228">
        <v>-1.19</v>
      </c>
      <c r="DE15" s="228">
        <v>24.97</v>
      </c>
      <c r="DF15" s="228">
        <v>24.93</v>
      </c>
      <c r="DG15" s="228">
        <v>-4.76</v>
      </c>
      <c r="DH15" s="228">
        <v>0.04</v>
      </c>
      <c r="DI15" s="228">
        <v>20.010000000000002</v>
      </c>
      <c r="DJ15" s="228">
        <v>20.9</v>
      </c>
      <c r="DK15" s="228">
        <v>-0.89</v>
      </c>
      <c r="DL15" s="228">
        <v>-0.89</v>
      </c>
      <c r="DM15" s="228">
        <v>20.46</v>
      </c>
      <c r="DN15" s="228">
        <v>22.26</v>
      </c>
      <c r="DO15" s="228">
        <v>-1.8</v>
      </c>
      <c r="DP15" s="228">
        <v>-1.8</v>
      </c>
      <c r="DQ15" s="228">
        <v>0.63</v>
      </c>
      <c r="DR15" s="228">
        <v>1.08</v>
      </c>
      <c r="DS15" s="228">
        <v>-0.45</v>
      </c>
      <c r="DT15" s="229">
        <v>-0.41670000000000001</v>
      </c>
      <c r="DU15" s="231">
        <v>8500</v>
      </c>
      <c r="DV15" s="231">
        <v>8000</v>
      </c>
      <c r="DW15" s="228">
        <v>0.99</v>
      </c>
      <c r="DX15" s="228">
        <v>0.82</v>
      </c>
      <c r="DY15" s="228">
        <v>0.17</v>
      </c>
      <c r="DZ15" s="229">
        <v>0.20730000000000001</v>
      </c>
      <c r="EA15" s="229">
        <v>0.85880000000000001</v>
      </c>
      <c r="EB15" s="230">
        <v>1852375</v>
      </c>
      <c r="EC15" s="229">
        <v>5.5999999999999999E-3</v>
      </c>
      <c r="ED15" s="229">
        <v>0.85880000000000001</v>
      </c>
      <c r="EE15" s="228">
        <v>57.76</v>
      </c>
      <c r="EF15" s="229">
        <v>7.0000000000000001E-3</v>
      </c>
      <c r="EG15" s="230">
        <v>176521</v>
      </c>
      <c r="EH15" s="230">
        <v>257347</v>
      </c>
      <c r="EI15" s="229">
        <v>-0.31409999999999999</v>
      </c>
      <c r="EJ15" s="229">
        <v>0.54010000000000002</v>
      </c>
      <c r="EK15" s="231">
        <v>1271.58</v>
      </c>
      <c r="EL15" s="231">
        <v>1198.1199999999999</v>
      </c>
      <c r="EM15" s="228">
        <v>509.91</v>
      </c>
      <c r="EN15" s="228">
        <v>95.61</v>
      </c>
      <c r="EO15" s="231">
        <v>2979.6</v>
      </c>
      <c r="EP15" s="231">
        <v>4967.76</v>
      </c>
      <c r="EQ15" s="231">
        <v>-1988.16</v>
      </c>
      <c r="ER15" s="229">
        <v>-0.4002</v>
      </c>
      <c r="ES15" s="228">
        <v>465.07</v>
      </c>
      <c r="ET15" s="228">
        <v>273.35000000000002</v>
      </c>
      <c r="EU15" s="231">
        <v>1541.2</v>
      </c>
      <c r="EV15" s="231">
        <v>15524629</v>
      </c>
      <c r="EW15" s="231">
        <v>2279.62</v>
      </c>
      <c r="EX15" s="231">
        <v>4047.82</v>
      </c>
      <c r="EY15" s="231">
        <v>-1768.2</v>
      </c>
      <c r="EZ15" s="229">
        <v>-0.43680000000000002</v>
      </c>
      <c r="FA15" s="229">
        <v>0.17610000000000001</v>
      </c>
      <c r="FB15" s="227" t="s">
        <v>567</v>
      </c>
      <c r="FC15">
        <f t="shared" si="0"/>
        <v>1287</v>
      </c>
    </row>
    <row r="16" spans="1:159" ht="17.25" thickBot="1" x14ac:dyDescent="0.3">
      <c r="A16" s="226">
        <v>46168</v>
      </c>
      <c r="B16" s="227" t="s">
        <v>162</v>
      </c>
      <c r="C16" s="227" t="s">
        <v>167</v>
      </c>
      <c r="D16" s="228">
        <v>5000</v>
      </c>
      <c r="E16" s="228">
        <v>0</v>
      </c>
      <c r="F16" s="228">
        <v>160.74</v>
      </c>
      <c r="G16" s="228">
        <v>164</v>
      </c>
      <c r="H16" s="228">
        <v>-3.26</v>
      </c>
      <c r="I16" s="229">
        <v>-1.9900000000000001E-2</v>
      </c>
      <c r="J16" s="228">
        <v>160.54</v>
      </c>
      <c r="K16" s="228">
        <v>164.08</v>
      </c>
      <c r="L16" s="228">
        <v>-3.54</v>
      </c>
      <c r="M16" s="229">
        <v>-2.1600000000000001E-2</v>
      </c>
      <c r="N16" s="228">
        <v>160.74</v>
      </c>
      <c r="O16" s="228">
        <v>164.17</v>
      </c>
      <c r="P16" s="228">
        <v>-3.43</v>
      </c>
      <c r="Q16" s="229">
        <v>-2.0899999999999998E-2</v>
      </c>
      <c r="R16" s="228">
        <v>160.74</v>
      </c>
      <c r="S16" s="228">
        <v>164</v>
      </c>
      <c r="T16" s="228">
        <v>-3.26</v>
      </c>
      <c r="U16" s="229">
        <v>-1.9900000000000001E-2</v>
      </c>
      <c r="V16" s="228">
        <v>161</v>
      </c>
      <c r="W16" s="228">
        <v>164.39</v>
      </c>
      <c r="X16" s="228">
        <v>-3.39</v>
      </c>
      <c r="Y16" s="229">
        <v>-2.06E-2</v>
      </c>
      <c r="Z16" s="228">
        <v>0.2</v>
      </c>
      <c r="AA16" s="228">
        <v>0.09</v>
      </c>
      <c r="AB16" s="228">
        <v>0.11</v>
      </c>
      <c r="AC16" s="229">
        <v>1.1999999999999999E-3</v>
      </c>
      <c r="AD16" s="228">
        <v>0.2</v>
      </c>
      <c r="AE16" s="228">
        <v>0.09</v>
      </c>
      <c r="AF16" s="228">
        <v>0.11</v>
      </c>
      <c r="AG16" s="229">
        <v>1.1999999999999999E-3</v>
      </c>
      <c r="AH16" s="228">
        <v>0.2</v>
      </c>
      <c r="AI16" s="228">
        <v>-0.08</v>
      </c>
      <c r="AJ16" s="228">
        <v>0.28000000000000003</v>
      </c>
      <c r="AK16" s="229">
        <v>1.1999999999999999E-3</v>
      </c>
      <c r="AL16" s="228">
        <v>0.46</v>
      </c>
      <c r="AM16" s="228">
        <v>0.31</v>
      </c>
      <c r="AN16" s="228">
        <v>0.15</v>
      </c>
      <c r="AO16" s="229">
        <v>2.8999999999999998E-3</v>
      </c>
      <c r="AP16" s="228">
        <v>161.43</v>
      </c>
      <c r="AQ16" s="228">
        <v>161.44999999999999</v>
      </c>
      <c r="AR16" s="228">
        <v>0</v>
      </c>
      <c r="AS16" s="230">
        <v>1366</v>
      </c>
      <c r="AT16" s="230">
        <v>2549</v>
      </c>
      <c r="AU16" s="230">
        <v>-1183</v>
      </c>
      <c r="AV16" s="229">
        <v>-0.4642</v>
      </c>
      <c r="AW16" s="228">
        <v>545</v>
      </c>
      <c r="AX16" s="230">
        <v>1115</v>
      </c>
      <c r="AY16" s="228">
        <v>-570</v>
      </c>
      <c r="AZ16" s="229">
        <v>-0.51139999999999997</v>
      </c>
      <c r="BA16" s="228">
        <v>787</v>
      </c>
      <c r="BB16" s="230">
        <v>1394</v>
      </c>
      <c r="BC16" s="228">
        <v>-607</v>
      </c>
      <c r="BD16" s="229">
        <v>-0.43530000000000002</v>
      </c>
      <c r="BE16" s="228">
        <v>34</v>
      </c>
      <c r="BF16" s="228">
        <v>40</v>
      </c>
      <c r="BG16" s="228">
        <v>-6</v>
      </c>
      <c r="BH16" s="229">
        <v>-0.15970000000000001</v>
      </c>
      <c r="BI16" s="230">
        <v>1215</v>
      </c>
      <c r="BJ16" s="230">
        <v>4081</v>
      </c>
      <c r="BK16" s="230">
        <v>-2865</v>
      </c>
      <c r="BL16" s="229">
        <v>-0.70220000000000005</v>
      </c>
      <c r="BM16" s="228">
        <v>782</v>
      </c>
      <c r="BN16" s="230">
        <v>1628</v>
      </c>
      <c r="BO16" s="228">
        <v>-845</v>
      </c>
      <c r="BP16" s="229">
        <v>-0.51929999999999998</v>
      </c>
      <c r="BQ16" s="230">
        <v>3364</v>
      </c>
      <c r="BR16" s="230">
        <v>8258</v>
      </c>
      <c r="BS16" s="230">
        <v>-4894</v>
      </c>
      <c r="BT16" s="229">
        <v>-0.5927</v>
      </c>
      <c r="BU16" s="230">
        <v>25020082</v>
      </c>
      <c r="BV16" s="230">
        <v>31872795</v>
      </c>
      <c r="BW16" s="230">
        <v>-6852713</v>
      </c>
      <c r="BX16" s="229">
        <v>-0.215</v>
      </c>
      <c r="BY16" s="230">
        <v>2790</v>
      </c>
      <c r="BZ16" s="230">
        <v>2992</v>
      </c>
      <c r="CA16" s="228">
        <v>-202</v>
      </c>
      <c r="CB16" s="229">
        <v>-6.7599999999999993E-2</v>
      </c>
      <c r="CC16" s="228">
        <v>270</v>
      </c>
      <c r="CD16" s="228">
        <v>615</v>
      </c>
      <c r="CE16" s="228">
        <v>-345</v>
      </c>
      <c r="CF16" s="229">
        <v>-0.56069999999999998</v>
      </c>
      <c r="CG16" s="230">
        <v>2696</v>
      </c>
      <c r="CH16" s="230">
        <v>2303</v>
      </c>
      <c r="CI16" s="228">
        <v>392</v>
      </c>
      <c r="CJ16" s="229">
        <v>0.1704</v>
      </c>
      <c r="CK16" s="228">
        <v>94</v>
      </c>
      <c r="CL16" s="228">
        <v>74</v>
      </c>
      <c r="CM16" s="228">
        <v>21</v>
      </c>
      <c r="CN16" s="229">
        <v>0.28170000000000001</v>
      </c>
      <c r="CO16" s="228">
        <v>759</v>
      </c>
      <c r="CP16" s="230">
        <v>1630</v>
      </c>
      <c r="CQ16" s="228">
        <v>-870</v>
      </c>
      <c r="CR16" s="229">
        <v>-0.53410000000000002</v>
      </c>
      <c r="CS16" s="228">
        <v>682</v>
      </c>
      <c r="CT16" s="230">
        <v>1218</v>
      </c>
      <c r="CU16" s="228">
        <v>-536</v>
      </c>
      <c r="CV16" s="229">
        <v>-0.44040000000000001</v>
      </c>
      <c r="CW16" s="230">
        <v>4231</v>
      </c>
      <c r="CX16" s="230">
        <v>5840</v>
      </c>
      <c r="CY16" s="230">
        <v>-1609</v>
      </c>
      <c r="CZ16" s="229">
        <v>-0.27550000000000002</v>
      </c>
      <c r="DA16" s="228">
        <v>38.35</v>
      </c>
      <c r="DB16" s="228">
        <v>39.25</v>
      </c>
      <c r="DC16" s="228">
        <v>-0.9</v>
      </c>
      <c r="DD16" s="228">
        <v>-0.9</v>
      </c>
      <c r="DE16" s="228">
        <v>42.46</v>
      </c>
      <c r="DF16" s="228">
        <v>42.46</v>
      </c>
      <c r="DG16" s="228">
        <v>-4.1100000000000003</v>
      </c>
      <c r="DH16" s="228">
        <v>0</v>
      </c>
      <c r="DI16" s="228">
        <v>38.61</v>
      </c>
      <c r="DJ16" s="228">
        <v>39.549999999999997</v>
      </c>
      <c r="DK16" s="228">
        <v>-0.94</v>
      </c>
      <c r="DL16" s="228">
        <v>-0.94</v>
      </c>
      <c r="DM16" s="228">
        <v>37.880000000000003</v>
      </c>
      <c r="DN16" s="228">
        <v>38.630000000000003</v>
      </c>
      <c r="DO16" s="228">
        <v>-0.75</v>
      </c>
      <c r="DP16" s="228">
        <v>-0.75</v>
      </c>
      <c r="DQ16" s="228">
        <v>0.9</v>
      </c>
      <c r="DR16" s="228">
        <v>0.75</v>
      </c>
      <c r="DS16" s="228">
        <v>0.15</v>
      </c>
      <c r="DT16" s="229">
        <v>0.2</v>
      </c>
      <c r="DU16" s="228">
        <v>170</v>
      </c>
      <c r="DV16" s="228">
        <v>160</v>
      </c>
      <c r="DW16" s="228">
        <v>0.64</v>
      </c>
      <c r="DX16" s="228">
        <v>0.4</v>
      </c>
      <c r="DY16" s="228">
        <v>0.24</v>
      </c>
      <c r="DZ16" s="229">
        <v>0.6</v>
      </c>
      <c r="EA16" s="229">
        <v>0.91169999999999995</v>
      </c>
      <c r="EB16" s="230">
        <v>147870000</v>
      </c>
      <c r="EC16" s="229">
        <v>0</v>
      </c>
      <c r="ED16" s="229">
        <v>0.91169999999999995</v>
      </c>
      <c r="EE16" s="228">
        <v>0.02</v>
      </c>
      <c r="EF16" s="229">
        <v>1E-4</v>
      </c>
      <c r="EG16" s="230">
        <v>14189144</v>
      </c>
      <c r="EH16" s="230">
        <v>12981406</v>
      </c>
      <c r="EI16" s="229">
        <v>9.2999999999999999E-2</v>
      </c>
      <c r="EJ16" s="229">
        <v>0.56710000000000005</v>
      </c>
      <c r="EK16" s="231">
        <v>1319.15</v>
      </c>
      <c r="EL16" s="228">
        <v>802.67</v>
      </c>
      <c r="EM16" s="231">
        <v>1371.78</v>
      </c>
      <c r="EN16" s="228">
        <v>204.01</v>
      </c>
      <c r="EO16" s="231">
        <v>3493.6</v>
      </c>
      <c r="EP16" s="231">
        <v>8585.2000000000007</v>
      </c>
      <c r="EQ16" s="231">
        <v>-5091.6000000000004</v>
      </c>
      <c r="ER16" s="229">
        <v>-0.59309999999999996</v>
      </c>
      <c r="ES16" s="228">
        <v>814.8</v>
      </c>
      <c r="ET16" s="228">
        <v>693</v>
      </c>
      <c r="EU16" s="231">
        <v>2790.12</v>
      </c>
      <c r="EV16" s="231">
        <v>423779104</v>
      </c>
      <c r="EW16" s="231">
        <v>4297.91</v>
      </c>
      <c r="EX16" s="231">
        <v>6040.19</v>
      </c>
      <c r="EY16" s="231">
        <v>-1742.28</v>
      </c>
      <c r="EZ16" s="229">
        <v>-0.28839999999999999</v>
      </c>
      <c r="FA16" s="229">
        <v>0.62109999999999999</v>
      </c>
      <c r="FB16" s="227" t="s">
        <v>567</v>
      </c>
      <c r="FC16">
        <f t="shared" si="0"/>
        <v>2520</v>
      </c>
    </row>
    <row r="17" spans="1:159" ht="17.25" thickBot="1" x14ac:dyDescent="0.3">
      <c r="A17" s="226">
        <v>46168</v>
      </c>
      <c r="B17" s="227" t="s">
        <v>168</v>
      </c>
      <c r="C17" s="227" t="s">
        <v>169</v>
      </c>
      <c r="D17" s="228">
        <v>250</v>
      </c>
      <c r="E17" s="228">
        <v>0</v>
      </c>
      <c r="F17" s="231">
        <v>2646.4</v>
      </c>
      <c r="G17" s="231">
        <v>2654</v>
      </c>
      <c r="H17" s="228">
        <v>-7.6</v>
      </c>
      <c r="I17" s="229">
        <v>-2.8999999999999998E-3</v>
      </c>
      <c r="J17" s="231">
        <v>2647</v>
      </c>
      <c r="K17" s="231">
        <v>2657.8</v>
      </c>
      <c r="L17" s="228">
        <v>-10.8</v>
      </c>
      <c r="M17" s="229">
        <v>-4.1000000000000003E-3</v>
      </c>
      <c r="N17" s="231">
        <v>2650.2</v>
      </c>
      <c r="O17" s="231">
        <v>2657.8</v>
      </c>
      <c r="P17" s="228">
        <v>-7.6</v>
      </c>
      <c r="Q17" s="229">
        <v>-2.8999999999999998E-3</v>
      </c>
      <c r="R17" s="231">
        <v>2646.4</v>
      </c>
      <c r="S17" s="231">
        <v>2654</v>
      </c>
      <c r="T17" s="228">
        <v>-7.6</v>
      </c>
      <c r="U17" s="229">
        <v>-2.8999999999999998E-3</v>
      </c>
      <c r="V17" s="231">
        <v>2657.9</v>
      </c>
      <c r="W17" s="231">
        <v>2669.5</v>
      </c>
      <c r="X17" s="228">
        <v>-11.6</v>
      </c>
      <c r="Y17" s="229">
        <v>-4.3E-3</v>
      </c>
      <c r="Z17" s="228">
        <v>-0.6</v>
      </c>
      <c r="AA17" s="228">
        <v>0</v>
      </c>
      <c r="AB17" s="228">
        <v>-0.6</v>
      </c>
      <c r="AC17" s="229">
        <v>-2.0000000000000001E-4</v>
      </c>
      <c r="AD17" s="228">
        <v>3.2</v>
      </c>
      <c r="AE17" s="228">
        <v>0</v>
      </c>
      <c r="AF17" s="228">
        <v>3.2</v>
      </c>
      <c r="AG17" s="229">
        <v>1.1999999999999999E-3</v>
      </c>
      <c r="AH17" s="228">
        <v>-0.6</v>
      </c>
      <c r="AI17" s="228">
        <v>-3.8</v>
      </c>
      <c r="AJ17" s="228">
        <v>3.2</v>
      </c>
      <c r="AK17" s="229">
        <v>-2.0000000000000001E-4</v>
      </c>
      <c r="AL17" s="228">
        <v>10.9</v>
      </c>
      <c r="AM17" s="228">
        <v>11.7</v>
      </c>
      <c r="AN17" s="228">
        <v>-0.8</v>
      </c>
      <c r="AO17" s="229">
        <v>4.1000000000000003E-3</v>
      </c>
      <c r="AP17" s="231">
        <v>2654.45</v>
      </c>
      <c r="AQ17" s="231">
        <v>2653.52</v>
      </c>
      <c r="AR17" s="228">
        <v>0</v>
      </c>
      <c r="AS17" s="230">
        <v>1031</v>
      </c>
      <c r="AT17" s="230">
        <v>1896</v>
      </c>
      <c r="AU17" s="228">
        <v>-865</v>
      </c>
      <c r="AV17" s="229">
        <v>-0.45610000000000001</v>
      </c>
      <c r="AW17" s="228">
        <v>471</v>
      </c>
      <c r="AX17" s="228">
        <v>903</v>
      </c>
      <c r="AY17" s="228">
        <v>-432</v>
      </c>
      <c r="AZ17" s="229">
        <v>-0.47860000000000003</v>
      </c>
      <c r="BA17" s="228">
        <v>556</v>
      </c>
      <c r="BB17" s="228">
        <v>987</v>
      </c>
      <c r="BC17" s="228">
        <v>-431</v>
      </c>
      <c r="BD17" s="229">
        <v>-0.43669999999999998</v>
      </c>
      <c r="BE17" s="228">
        <v>5</v>
      </c>
      <c r="BF17" s="228">
        <v>7</v>
      </c>
      <c r="BG17" s="228">
        <v>-2</v>
      </c>
      <c r="BH17" s="229">
        <v>-0.29809999999999998</v>
      </c>
      <c r="BI17" s="230">
        <v>1495</v>
      </c>
      <c r="BJ17" s="230">
        <v>3916</v>
      </c>
      <c r="BK17" s="230">
        <v>-2421</v>
      </c>
      <c r="BL17" s="229">
        <v>-0.61819999999999997</v>
      </c>
      <c r="BM17" s="228">
        <v>927</v>
      </c>
      <c r="BN17" s="230">
        <v>2351</v>
      </c>
      <c r="BO17" s="230">
        <v>-1425</v>
      </c>
      <c r="BP17" s="229">
        <v>-0.60589999999999999</v>
      </c>
      <c r="BQ17" s="230">
        <v>3453</v>
      </c>
      <c r="BR17" s="230">
        <v>8163</v>
      </c>
      <c r="BS17" s="230">
        <v>-4711</v>
      </c>
      <c r="BT17" s="229">
        <v>-0.57699999999999996</v>
      </c>
      <c r="BU17" s="230">
        <v>498230</v>
      </c>
      <c r="BV17" s="230">
        <v>843872</v>
      </c>
      <c r="BW17" s="230">
        <v>-345642</v>
      </c>
      <c r="BX17" s="229">
        <v>-0.40960000000000002</v>
      </c>
      <c r="BY17" s="230">
        <v>2973</v>
      </c>
      <c r="BZ17" s="230">
        <v>3495</v>
      </c>
      <c r="CA17" s="228">
        <v>-522</v>
      </c>
      <c r="CB17" s="229">
        <v>-0.14940000000000001</v>
      </c>
      <c r="CC17" s="228">
        <v>669</v>
      </c>
      <c r="CD17" s="228">
        <v>877</v>
      </c>
      <c r="CE17" s="228">
        <v>-208</v>
      </c>
      <c r="CF17" s="229">
        <v>-0.2369</v>
      </c>
      <c r="CG17" s="230">
        <v>2923</v>
      </c>
      <c r="CH17" s="230">
        <v>2570</v>
      </c>
      <c r="CI17" s="228">
        <v>353</v>
      </c>
      <c r="CJ17" s="229">
        <v>0.13730000000000001</v>
      </c>
      <c r="CK17" s="228">
        <v>50</v>
      </c>
      <c r="CL17" s="228">
        <v>48</v>
      </c>
      <c r="CM17" s="228">
        <v>2</v>
      </c>
      <c r="CN17" s="229">
        <v>3.6999999999999998E-2</v>
      </c>
      <c r="CO17" s="228">
        <v>488</v>
      </c>
      <c r="CP17" s="230">
        <v>1946</v>
      </c>
      <c r="CQ17" s="230">
        <v>-1459</v>
      </c>
      <c r="CR17" s="229">
        <v>-0.74950000000000006</v>
      </c>
      <c r="CS17" s="228">
        <v>334</v>
      </c>
      <c r="CT17" s="230">
        <v>1249</v>
      </c>
      <c r="CU17" s="228">
        <v>-915</v>
      </c>
      <c r="CV17" s="229">
        <v>-0.73250000000000004</v>
      </c>
      <c r="CW17" s="230">
        <v>3795</v>
      </c>
      <c r="CX17" s="230">
        <v>6690</v>
      </c>
      <c r="CY17" s="230">
        <v>-2896</v>
      </c>
      <c r="CZ17" s="229">
        <v>-0.43280000000000002</v>
      </c>
      <c r="DA17" s="228">
        <v>29.03</v>
      </c>
      <c r="DB17" s="228">
        <v>29.66</v>
      </c>
      <c r="DC17" s="228">
        <v>-0.63</v>
      </c>
      <c r="DD17" s="228">
        <v>-0.63</v>
      </c>
      <c r="DE17" s="228">
        <v>29.27</v>
      </c>
      <c r="DF17" s="228">
        <v>29.33</v>
      </c>
      <c r="DG17" s="228">
        <v>-0.24</v>
      </c>
      <c r="DH17" s="228">
        <v>-0.06</v>
      </c>
      <c r="DI17" s="228">
        <v>28.71</v>
      </c>
      <c r="DJ17" s="228">
        <v>29.58</v>
      </c>
      <c r="DK17" s="228">
        <v>-0.87</v>
      </c>
      <c r="DL17" s="228">
        <v>-0.87</v>
      </c>
      <c r="DM17" s="228">
        <v>29.5</v>
      </c>
      <c r="DN17" s="228">
        <v>29.83</v>
      </c>
      <c r="DO17" s="228">
        <v>-0.33</v>
      </c>
      <c r="DP17" s="228">
        <v>-0.33</v>
      </c>
      <c r="DQ17" s="228">
        <v>0.68</v>
      </c>
      <c r="DR17" s="228">
        <v>0.64</v>
      </c>
      <c r="DS17" s="228">
        <v>0.04</v>
      </c>
      <c r="DT17" s="229">
        <v>6.25E-2</v>
      </c>
      <c r="DU17" s="231">
        <v>2660</v>
      </c>
      <c r="DV17" s="231">
        <v>2600</v>
      </c>
      <c r="DW17" s="228">
        <v>0.62</v>
      </c>
      <c r="DX17" s="228">
        <v>0.6</v>
      </c>
      <c r="DY17" s="228">
        <v>0.02</v>
      </c>
      <c r="DZ17" s="229">
        <v>3.3300000000000003E-2</v>
      </c>
      <c r="EA17" s="229">
        <v>0.81630000000000003</v>
      </c>
      <c r="EB17" s="230">
        <v>9893750</v>
      </c>
      <c r="EC17" s="229">
        <v>-1.4E-3</v>
      </c>
      <c r="ED17" s="229">
        <v>0.81630000000000003</v>
      </c>
      <c r="EE17" s="228">
        <v>-0.93</v>
      </c>
      <c r="EF17" s="229">
        <v>-4.0000000000000002E-4</v>
      </c>
      <c r="EG17" s="230">
        <v>280153</v>
      </c>
      <c r="EH17" s="230">
        <v>419679</v>
      </c>
      <c r="EI17" s="229">
        <v>-0.33250000000000002</v>
      </c>
      <c r="EJ17" s="229">
        <v>0.56230000000000002</v>
      </c>
      <c r="EK17" s="231">
        <v>1546.24</v>
      </c>
      <c r="EL17" s="228">
        <v>917.74</v>
      </c>
      <c r="EM17" s="231">
        <v>1034.3900000000001</v>
      </c>
      <c r="EN17" s="228">
        <v>184.82</v>
      </c>
      <c r="EO17" s="231">
        <v>3498.38</v>
      </c>
      <c r="EP17" s="231">
        <v>8260.11</v>
      </c>
      <c r="EQ17" s="231">
        <v>-4761.7299999999996</v>
      </c>
      <c r="ER17" s="229">
        <v>-0.57650000000000001</v>
      </c>
      <c r="ES17" s="228">
        <v>510.23</v>
      </c>
      <c r="ET17" s="228">
        <v>317.83</v>
      </c>
      <c r="EU17" s="231">
        <v>2973.18</v>
      </c>
      <c r="EV17" s="231">
        <v>62818628</v>
      </c>
      <c r="EW17" s="231">
        <v>3801.24</v>
      </c>
      <c r="EX17" s="231">
        <v>6623.99</v>
      </c>
      <c r="EY17" s="231">
        <v>-2822.75</v>
      </c>
      <c r="EZ17" s="229">
        <v>-0.42609999999999998</v>
      </c>
      <c r="FA17" s="229">
        <v>0.2283</v>
      </c>
      <c r="FB17" s="227" t="s">
        <v>567</v>
      </c>
      <c r="FC17">
        <f t="shared" si="0"/>
        <v>2304</v>
      </c>
    </row>
    <row r="18" spans="1:159" ht="17.25" thickBot="1" x14ac:dyDescent="0.3">
      <c r="A18" s="226">
        <v>46168</v>
      </c>
      <c r="B18" s="227" t="s">
        <v>184</v>
      </c>
      <c r="C18" s="227" t="s">
        <v>503</v>
      </c>
      <c r="D18" s="228">
        <v>425</v>
      </c>
      <c r="E18" s="228">
        <v>0</v>
      </c>
      <c r="F18" s="231">
        <v>1565.7</v>
      </c>
      <c r="G18" s="231">
        <v>1547.9</v>
      </c>
      <c r="H18" s="228">
        <v>17.8</v>
      </c>
      <c r="I18" s="229">
        <v>1.15E-2</v>
      </c>
      <c r="J18" s="231">
        <v>1578.8</v>
      </c>
      <c r="K18" s="231">
        <v>1552.3</v>
      </c>
      <c r="L18" s="228">
        <v>26.5</v>
      </c>
      <c r="M18" s="229">
        <v>1.7100000000000001E-2</v>
      </c>
      <c r="N18" s="231">
        <v>1583.2</v>
      </c>
      <c r="O18" s="231">
        <v>1559.2</v>
      </c>
      <c r="P18" s="228">
        <v>24</v>
      </c>
      <c r="Q18" s="229">
        <v>1.54E-2</v>
      </c>
      <c r="R18" s="231">
        <v>1565.7</v>
      </c>
      <c r="S18" s="231">
        <v>1547.9</v>
      </c>
      <c r="T18" s="228">
        <v>17.8</v>
      </c>
      <c r="U18" s="229">
        <v>1.15E-2</v>
      </c>
      <c r="V18" s="231">
        <v>1545.1</v>
      </c>
      <c r="W18" s="231">
        <v>1526.3</v>
      </c>
      <c r="X18" s="228">
        <v>18.8</v>
      </c>
      <c r="Y18" s="229">
        <v>1.23E-2</v>
      </c>
      <c r="Z18" s="228">
        <v>-13.1</v>
      </c>
      <c r="AA18" s="228">
        <v>6.9</v>
      </c>
      <c r="AB18" s="228">
        <v>-20</v>
      </c>
      <c r="AC18" s="229">
        <v>-8.3000000000000001E-3</v>
      </c>
      <c r="AD18" s="228">
        <v>4.4000000000000004</v>
      </c>
      <c r="AE18" s="228">
        <v>6.9</v>
      </c>
      <c r="AF18" s="228">
        <v>-2.5</v>
      </c>
      <c r="AG18" s="229">
        <v>2.8E-3</v>
      </c>
      <c r="AH18" s="228">
        <v>-13.1</v>
      </c>
      <c r="AI18" s="228">
        <v>-4.4000000000000004</v>
      </c>
      <c r="AJ18" s="228">
        <v>-8.6999999999999993</v>
      </c>
      <c r="AK18" s="229">
        <v>-8.3000000000000001E-3</v>
      </c>
      <c r="AL18" s="228">
        <v>-33.700000000000003</v>
      </c>
      <c r="AM18" s="228">
        <v>-26</v>
      </c>
      <c r="AN18" s="228">
        <v>-7.7</v>
      </c>
      <c r="AO18" s="229">
        <v>-2.1299999999999999E-2</v>
      </c>
      <c r="AP18" s="231">
        <v>1571.42</v>
      </c>
      <c r="AQ18" s="231">
        <v>1552.11</v>
      </c>
      <c r="AR18" s="228">
        <v>0</v>
      </c>
      <c r="AS18" s="228">
        <v>671</v>
      </c>
      <c r="AT18" s="228">
        <v>730</v>
      </c>
      <c r="AU18" s="228">
        <v>-59</v>
      </c>
      <c r="AV18" s="229">
        <v>-8.0699999999999994E-2</v>
      </c>
      <c r="AW18" s="228">
        <v>312</v>
      </c>
      <c r="AX18" s="228">
        <v>325</v>
      </c>
      <c r="AY18" s="228">
        <v>-13</v>
      </c>
      <c r="AZ18" s="229">
        <v>-3.8899999999999997E-2</v>
      </c>
      <c r="BA18" s="228">
        <v>350</v>
      </c>
      <c r="BB18" s="228">
        <v>394</v>
      </c>
      <c r="BC18" s="228">
        <v>-45</v>
      </c>
      <c r="BD18" s="229">
        <v>-0.1129</v>
      </c>
      <c r="BE18" s="228">
        <v>9</v>
      </c>
      <c r="BF18" s="228">
        <v>10</v>
      </c>
      <c r="BG18" s="228">
        <v>-2</v>
      </c>
      <c r="BH18" s="229">
        <v>-0.16669999999999999</v>
      </c>
      <c r="BI18" s="228">
        <v>685</v>
      </c>
      <c r="BJ18" s="230">
        <v>1150</v>
      </c>
      <c r="BK18" s="228">
        <v>-466</v>
      </c>
      <c r="BL18" s="229">
        <v>-0.40500000000000003</v>
      </c>
      <c r="BM18" s="228">
        <v>372</v>
      </c>
      <c r="BN18" s="228">
        <v>515</v>
      </c>
      <c r="BO18" s="228">
        <v>-143</v>
      </c>
      <c r="BP18" s="229">
        <v>-0.27710000000000001</v>
      </c>
      <c r="BQ18" s="230">
        <v>1727</v>
      </c>
      <c r="BR18" s="230">
        <v>2395</v>
      </c>
      <c r="BS18" s="228">
        <v>-667</v>
      </c>
      <c r="BT18" s="229">
        <v>-0.2787</v>
      </c>
      <c r="BU18" s="230">
        <v>644832</v>
      </c>
      <c r="BV18" s="230">
        <v>445474</v>
      </c>
      <c r="BW18" s="230">
        <v>199358</v>
      </c>
      <c r="BX18" s="229">
        <v>0.44750000000000001</v>
      </c>
      <c r="BY18" s="230">
        <v>1135</v>
      </c>
      <c r="BZ18" s="230">
        <v>1432</v>
      </c>
      <c r="CA18" s="228">
        <v>-297</v>
      </c>
      <c r="CB18" s="229">
        <v>-0.2074</v>
      </c>
      <c r="CC18" s="228">
        <v>185</v>
      </c>
      <c r="CD18" s="228">
        <v>285</v>
      </c>
      <c r="CE18" s="228">
        <v>-100</v>
      </c>
      <c r="CF18" s="229">
        <v>-0.35139999999999999</v>
      </c>
      <c r="CG18" s="230">
        <v>1100</v>
      </c>
      <c r="CH18" s="230">
        <v>1115</v>
      </c>
      <c r="CI18" s="228">
        <v>-15</v>
      </c>
      <c r="CJ18" s="229">
        <v>-1.34E-2</v>
      </c>
      <c r="CK18" s="228">
        <v>35</v>
      </c>
      <c r="CL18" s="228">
        <v>31</v>
      </c>
      <c r="CM18" s="228">
        <v>3</v>
      </c>
      <c r="CN18" s="229">
        <v>0.10150000000000001</v>
      </c>
      <c r="CO18" s="228">
        <v>221</v>
      </c>
      <c r="CP18" s="228">
        <v>471</v>
      </c>
      <c r="CQ18" s="228">
        <v>-251</v>
      </c>
      <c r="CR18" s="229">
        <v>-0.53159999999999996</v>
      </c>
      <c r="CS18" s="228">
        <v>126</v>
      </c>
      <c r="CT18" s="228">
        <v>375</v>
      </c>
      <c r="CU18" s="228">
        <v>-249</v>
      </c>
      <c r="CV18" s="229">
        <v>-0.66459999999999997</v>
      </c>
      <c r="CW18" s="230">
        <v>1482</v>
      </c>
      <c r="CX18" s="230">
        <v>2279</v>
      </c>
      <c r="CY18" s="228">
        <v>-797</v>
      </c>
      <c r="CZ18" s="229">
        <v>-0.3498</v>
      </c>
      <c r="DA18" s="228">
        <v>29.38</v>
      </c>
      <c r="DB18" s="228">
        <v>29.23</v>
      </c>
      <c r="DC18" s="228">
        <v>0.15</v>
      </c>
      <c r="DD18" s="228">
        <v>0.15</v>
      </c>
      <c r="DE18" s="228">
        <v>36.340000000000003</v>
      </c>
      <c r="DF18" s="228">
        <v>36.36</v>
      </c>
      <c r="DG18" s="228">
        <v>-6.96</v>
      </c>
      <c r="DH18" s="228">
        <v>-0.02</v>
      </c>
      <c r="DI18" s="228">
        <v>29.49</v>
      </c>
      <c r="DJ18" s="228">
        <v>29.17</v>
      </c>
      <c r="DK18" s="228">
        <v>0.32</v>
      </c>
      <c r="DL18" s="228">
        <v>0.32</v>
      </c>
      <c r="DM18" s="228">
        <v>29.13</v>
      </c>
      <c r="DN18" s="228">
        <v>29.35</v>
      </c>
      <c r="DO18" s="228">
        <v>-0.22</v>
      </c>
      <c r="DP18" s="228">
        <v>-0.22</v>
      </c>
      <c r="DQ18" s="228">
        <v>0.56999999999999995</v>
      </c>
      <c r="DR18" s="228">
        <v>0.8</v>
      </c>
      <c r="DS18" s="228">
        <v>-0.23</v>
      </c>
      <c r="DT18" s="229">
        <v>-0.28749999999999998</v>
      </c>
      <c r="DU18" s="231">
        <v>1600</v>
      </c>
      <c r="DV18" s="231">
        <v>1500</v>
      </c>
      <c r="DW18" s="228">
        <v>0.54</v>
      </c>
      <c r="DX18" s="228">
        <v>0.45</v>
      </c>
      <c r="DY18" s="228">
        <v>0.09</v>
      </c>
      <c r="DZ18" s="229">
        <v>0.2</v>
      </c>
      <c r="EA18" s="229">
        <v>0.85980000000000001</v>
      </c>
      <c r="EB18" s="230">
        <v>7325300</v>
      </c>
      <c r="EC18" s="229">
        <v>-1.11E-2</v>
      </c>
      <c r="ED18" s="229">
        <v>0.85980000000000001</v>
      </c>
      <c r="EE18" s="228">
        <v>-19.309999999999999</v>
      </c>
      <c r="EF18" s="229">
        <v>-1.23E-2</v>
      </c>
      <c r="EG18" s="230">
        <v>265094</v>
      </c>
      <c r="EH18" s="230">
        <v>163148</v>
      </c>
      <c r="EI18" s="229">
        <v>0.62490000000000001</v>
      </c>
      <c r="EJ18" s="229">
        <v>0.41110000000000002</v>
      </c>
      <c r="EK18" s="228">
        <v>706.8</v>
      </c>
      <c r="EL18" s="228">
        <v>360.37</v>
      </c>
      <c r="EM18" s="228">
        <v>668.52</v>
      </c>
      <c r="EN18" s="228">
        <v>138.72999999999999</v>
      </c>
      <c r="EO18" s="231">
        <v>1735.69</v>
      </c>
      <c r="EP18" s="231">
        <v>2406.0500000000002</v>
      </c>
      <c r="EQ18" s="228">
        <v>-670.37</v>
      </c>
      <c r="ER18" s="229">
        <v>-0.27860000000000001</v>
      </c>
      <c r="ES18" s="228">
        <v>226.34</v>
      </c>
      <c r="ET18" s="228">
        <v>117.47</v>
      </c>
      <c r="EU18" s="231">
        <v>1134.69</v>
      </c>
      <c r="EV18" s="231">
        <v>17577908</v>
      </c>
      <c r="EW18" s="231">
        <v>1478.5</v>
      </c>
      <c r="EX18" s="231">
        <v>2249.52</v>
      </c>
      <c r="EY18" s="228">
        <v>-771.02</v>
      </c>
      <c r="EZ18" s="229">
        <v>-0.3427</v>
      </c>
      <c r="FA18" s="229">
        <v>0.53839999999999999</v>
      </c>
      <c r="FB18" s="227" t="s">
        <v>691</v>
      </c>
      <c r="FC18">
        <f t="shared" si="0"/>
        <v>950</v>
      </c>
    </row>
    <row r="19" spans="1:159" ht="17.25" thickBot="1" x14ac:dyDescent="0.3">
      <c r="A19" s="226">
        <v>46168</v>
      </c>
      <c r="B19" s="227" t="s">
        <v>172</v>
      </c>
      <c r="C19" s="227" t="s">
        <v>495</v>
      </c>
      <c r="D19" s="228">
        <v>1000</v>
      </c>
      <c r="E19" s="228">
        <v>0</v>
      </c>
      <c r="F19" s="231">
        <v>1021</v>
      </c>
      <c r="G19" s="231">
        <v>1008</v>
      </c>
      <c r="H19" s="228">
        <v>13</v>
      </c>
      <c r="I19" s="229">
        <v>1.29E-2</v>
      </c>
      <c r="J19" s="231">
        <v>1011.8</v>
      </c>
      <c r="K19" s="228">
        <v>999.3</v>
      </c>
      <c r="L19" s="228">
        <v>12.5</v>
      </c>
      <c r="M19" s="229">
        <v>1.2500000000000001E-2</v>
      </c>
      <c r="N19" s="231">
        <v>1010.7</v>
      </c>
      <c r="O19" s="231">
        <v>1000.9</v>
      </c>
      <c r="P19" s="228">
        <v>9.8000000000000007</v>
      </c>
      <c r="Q19" s="229">
        <v>9.7999999999999997E-3</v>
      </c>
      <c r="R19" s="231">
        <v>1021</v>
      </c>
      <c r="S19" s="231">
        <v>1008</v>
      </c>
      <c r="T19" s="228">
        <v>13</v>
      </c>
      <c r="U19" s="229">
        <v>1.29E-2</v>
      </c>
      <c r="V19" s="231">
        <v>1026.8</v>
      </c>
      <c r="W19" s="231">
        <v>1011.4</v>
      </c>
      <c r="X19" s="228">
        <v>15.4</v>
      </c>
      <c r="Y19" s="229">
        <v>1.52E-2</v>
      </c>
      <c r="Z19" s="228">
        <v>9.1999999999999993</v>
      </c>
      <c r="AA19" s="228">
        <v>1.6</v>
      </c>
      <c r="AB19" s="228">
        <v>7.6</v>
      </c>
      <c r="AC19" s="229">
        <v>9.1000000000000004E-3</v>
      </c>
      <c r="AD19" s="228">
        <v>-1.1000000000000001</v>
      </c>
      <c r="AE19" s="228">
        <v>1.6</v>
      </c>
      <c r="AF19" s="228">
        <v>-2.7</v>
      </c>
      <c r="AG19" s="229">
        <v>-1.1000000000000001E-3</v>
      </c>
      <c r="AH19" s="228">
        <v>9.1999999999999993</v>
      </c>
      <c r="AI19" s="228">
        <v>8.6999999999999993</v>
      </c>
      <c r="AJ19" s="228">
        <v>0.5</v>
      </c>
      <c r="AK19" s="229">
        <v>9.1000000000000004E-3</v>
      </c>
      <c r="AL19" s="228">
        <v>15</v>
      </c>
      <c r="AM19" s="228">
        <v>12.1</v>
      </c>
      <c r="AN19" s="228">
        <v>2.9</v>
      </c>
      <c r="AO19" s="229">
        <v>1.4800000000000001E-2</v>
      </c>
      <c r="AP19" s="231">
        <v>1008.47</v>
      </c>
      <c r="AQ19" s="231">
        <v>1016.68</v>
      </c>
      <c r="AR19" s="228">
        <v>0</v>
      </c>
      <c r="AS19" s="228">
        <v>916</v>
      </c>
      <c r="AT19" s="230">
        <v>1979</v>
      </c>
      <c r="AU19" s="230">
        <v>-1063</v>
      </c>
      <c r="AV19" s="229">
        <v>-0.53700000000000003</v>
      </c>
      <c r="AW19" s="228">
        <v>353</v>
      </c>
      <c r="AX19" s="228">
        <v>971</v>
      </c>
      <c r="AY19" s="228">
        <v>-618</v>
      </c>
      <c r="AZ19" s="229">
        <v>-0.63670000000000004</v>
      </c>
      <c r="BA19" s="228">
        <v>556</v>
      </c>
      <c r="BB19" s="230">
        <v>1001</v>
      </c>
      <c r="BC19" s="228">
        <v>-446</v>
      </c>
      <c r="BD19" s="229">
        <v>-0.44490000000000002</v>
      </c>
      <c r="BE19" s="228">
        <v>8</v>
      </c>
      <c r="BF19" s="228">
        <v>7</v>
      </c>
      <c r="BG19" s="228">
        <v>1</v>
      </c>
      <c r="BH19" s="229">
        <v>0.16919999999999999</v>
      </c>
      <c r="BI19" s="228">
        <v>640</v>
      </c>
      <c r="BJ19" s="230">
        <v>1451</v>
      </c>
      <c r="BK19" s="228">
        <v>-811</v>
      </c>
      <c r="BL19" s="229">
        <v>-0.55910000000000004</v>
      </c>
      <c r="BM19" s="228">
        <v>415</v>
      </c>
      <c r="BN19" s="228">
        <v>743</v>
      </c>
      <c r="BO19" s="228">
        <v>-329</v>
      </c>
      <c r="BP19" s="229">
        <v>-0.44219999999999998</v>
      </c>
      <c r="BQ19" s="230">
        <v>1970</v>
      </c>
      <c r="BR19" s="230">
        <v>4173</v>
      </c>
      <c r="BS19" s="230">
        <v>-2202</v>
      </c>
      <c r="BT19" s="229">
        <v>-0.52780000000000005</v>
      </c>
      <c r="BU19" s="230">
        <v>2729414</v>
      </c>
      <c r="BV19" s="230">
        <v>1555275</v>
      </c>
      <c r="BW19" s="230">
        <v>1174139</v>
      </c>
      <c r="BX19" s="229">
        <v>0.75490000000000002</v>
      </c>
      <c r="BY19" s="230">
        <v>2579</v>
      </c>
      <c r="BZ19" s="230">
        <v>2663</v>
      </c>
      <c r="CA19" s="228">
        <v>-84</v>
      </c>
      <c r="CB19" s="229">
        <v>-3.1399999999999997E-2</v>
      </c>
      <c r="CC19" s="228">
        <v>113</v>
      </c>
      <c r="CD19" s="228">
        <v>334</v>
      </c>
      <c r="CE19" s="228">
        <v>-221</v>
      </c>
      <c r="CF19" s="229">
        <v>-0.66190000000000004</v>
      </c>
      <c r="CG19" s="230">
        <v>2505</v>
      </c>
      <c r="CH19" s="230">
        <v>2257</v>
      </c>
      <c r="CI19" s="228">
        <v>248</v>
      </c>
      <c r="CJ19" s="229">
        <v>0.10970000000000001</v>
      </c>
      <c r="CK19" s="228">
        <v>74</v>
      </c>
      <c r="CL19" s="228">
        <v>72</v>
      </c>
      <c r="CM19" s="228">
        <v>2</v>
      </c>
      <c r="CN19" s="229">
        <v>3.27E-2</v>
      </c>
      <c r="CO19" s="228">
        <v>224</v>
      </c>
      <c r="CP19" s="228">
        <v>736</v>
      </c>
      <c r="CQ19" s="228">
        <v>-512</v>
      </c>
      <c r="CR19" s="229">
        <v>-0.69550000000000001</v>
      </c>
      <c r="CS19" s="228">
        <v>234</v>
      </c>
      <c r="CT19" s="228">
        <v>634</v>
      </c>
      <c r="CU19" s="228">
        <v>-400</v>
      </c>
      <c r="CV19" s="229">
        <v>-0.63049999999999995</v>
      </c>
      <c r="CW19" s="230">
        <v>3038</v>
      </c>
      <c r="CX19" s="230">
        <v>4033</v>
      </c>
      <c r="CY19" s="228">
        <v>-996</v>
      </c>
      <c r="CZ19" s="229">
        <v>-0.24679999999999999</v>
      </c>
      <c r="DA19" s="228">
        <v>26.06</v>
      </c>
      <c r="DB19" s="228">
        <v>26.87</v>
      </c>
      <c r="DC19" s="228">
        <v>-0.81</v>
      </c>
      <c r="DD19" s="228">
        <v>-0.81</v>
      </c>
      <c r="DE19" s="228">
        <v>37.39</v>
      </c>
      <c r="DF19" s="228">
        <v>37.450000000000003</v>
      </c>
      <c r="DG19" s="228">
        <v>-11.33</v>
      </c>
      <c r="DH19" s="228">
        <v>-0.06</v>
      </c>
      <c r="DI19" s="228">
        <v>25.61</v>
      </c>
      <c r="DJ19" s="228">
        <v>26.93</v>
      </c>
      <c r="DK19" s="228">
        <v>-1.32</v>
      </c>
      <c r="DL19" s="228">
        <v>-1.32</v>
      </c>
      <c r="DM19" s="228">
        <v>26.74</v>
      </c>
      <c r="DN19" s="228">
        <v>26.74</v>
      </c>
      <c r="DO19" s="228">
        <v>0</v>
      </c>
      <c r="DP19" s="228">
        <v>0</v>
      </c>
      <c r="DQ19" s="228">
        <v>1.04</v>
      </c>
      <c r="DR19" s="228">
        <v>0.86</v>
      </c>
      <c r="DS19" s="228">
        <v>0.18</v>
      </c>
      <c r="DT19" s="229">
        <v>0.20930000000000001</v>
      </c>
      <c r="DU19" s="231">
        <v>1100</v>
      </c>
      <c r="DV19" s="231">
        <v>1000</v>
      </c>
      <c r="DW19" s="228">
        <v>0.65</v>
      </c>
      <c r="DX19" s="228">
        <v>0.51</v>
      </c>
      <c r="DY19" s="228">
        <v>0.14000000000000001</v>
      </c>
      <c r="DZ19" s="229">
        <v>0.27450000000000002</v>
      </c>
      <c r="EA19" s="229">
        <v>0.95809999999999995</v>
      </c>
      <c r="EB19" s="230">
        <v>22813000</v>
      </c>
      <c r="EC19" s="229">
        <v>1.0200000000000001E-2</v>
      </c>
      <c r="ED19" s="229">
        <v>0.95809999999999995</v>
      </c>
      <c r="EE19" s="228">
        <v>8.2100000000000009</v>
      </c>
      <c r="EF19" s="229">
        <v>8.0999999999999996E-3</v>
      </c>
      <c r="EG19" s="230">
        <v>1147915</v>
      </c>
      <c r="EH19" s="230">
        <v>771127</v>
      </c>
      <c r="EI19" s="229">
        <v>0.48859999999999998</v>
      </c>
      <c r="EJ19" s="229">
        <v>0.42059999999999997</v>
      </c>
      <c r="EK19" s="228">
        <v>654.38</v>
      </c>
      <c r="EL19" s="228">
        <v>406.08</v>
      </c>
      <c r="EM19" s="228">
        <v>909.57</v>
      </c>
      <c r="EN19" s="228">
        <v>116.24</v>
      </c>
      <c r="EO19" s="231">
        <v>1970.03</v>
      </c>
      <c r="EP19" s="231">
        <v>4125.12</v>
      </c>
      <c r="EQ19" s="231">
        <v>-2155.1</v>
      </c>
      <c r="ER19" s="229">
        <v>-0.52239999999999998</v>
      </c>
      <c r="ES19" s="228">
        <v>227.55</v>
      </c>
      <c r="ET19" s="228">
        <v>223.64</v>
      </c>
      <c r="EU19" s="231">
        <v>2579.5700000000002</v>
      </c>
      <c r="EV19" s="231">
        <v>86532345</v>
      </c>
      <c r="EW19" s="231">
        <v>3030.76</v>
      </c>
      <c r="EX19" s="231">
        <v>3980.22</v>
      </c>
      <c r="EY19" s="228">
        <v>-949.46</v>
      </c>
      <c r="EZ19" s="229">
        <v>-0.23849999999999999</v>
      </c>
      <c r="FA19" s="229">
        <v>0.34379999999999999</v>
      </c>
      <c r="FB19" s="227" t="s">
        <v>691</v>
      </c>
      <c r="FC19">
        <f t="shared" si="0"/>
        <v>2466</v>
      </c>
    </row>
    <row r="20" spans="1:159" ht="17.25" thickBot="1" x14ac:dyDescent="0.3">
      <c r="A20" s="226">
        <v>46168</v>
      </c>
      <c r="B20" s="227" t="s">
        <v>170</v>
      </c>
      <c r="C20" s="227" t="s">
        <v>171</v>
      </c>
      <c r="D20" s="228">
        <v>550</v>
      </c>
      <c r="E20" s="228">
        <v>0</v>
      </c>
      <c r="F20" s="231">
        <v>1474.2</v>
      </c>
      <c r="G20" s="231">
        <v>1467.2</v>
      </c>
      <c r="H20" s="228">
        <v>7</v>
      </c>
      <c r="I20" s="229">
        <v>4.7999999999999996E-3</v>
      </c>
      <c r="J20" s="231">
        <v>1461.2</v>
      </c>
      <c r="K20" s="231">
        <v>1454.6</v>
      </c>
      <c r="L20" s="228">
        <v>6.6</v>
      </c>
      <c r="M20" s="229">
        <v>4.4999999999999997E-3</v>
      </c>
      <c r="N20" s="231">
        <v>1464.4</v>
      </c>
      <c r="O20" s="231">
        <v>1460.6</v>
      </c>
      <c r="P20" s="228">
        <v>3.8</v>
      </c>
      <c r="Q20" s="229">
        <v>2.5999999999999999E-3</v>
      </c>
      <c r="R20" s="231">
        <v>1474.2</v>
      </c>
      <c r="S20" s="231">
        <v>1467.2</v>
      </c>
      <c r="T20" s="228">
        <v>7</v>
      </c>
      <c r="U20" s="229">
        <v>4.7999999999999996E-3</v>
      </c>
      <c r="V20" s="231">
        <v>1481.7</v>
      </c>
      <c r="W20" s="231">
        <v>1474.3</v>
      </c>
      <c r="X20" s="228">
        <v>7.4</v>
      </c>
      <c r="Y20" s="229">
        <v>5.0000000000000001E-3</v>
      </c>
      <c r="Z20" s="228">
        <v>13</v>
      </c>
      <c r="AA20" s="228">
        <v>6</v>
      </c>
      <c r="AB20" s="228">
        <v>7</v>
      </c>
      <c r="AC20" s="229">
        <v>8.8999999999999999E-3</v>
      </c>
      <c r="AD20" s="228">
        <v>3.2</v>
      </c>
      <c r="AE20" s="228">
        <v>6</v>
      </c>
      <c r="AF20" s="228">
        <v>-2.8</v>
      </c>
      <c r="AG20" s="229">
        <v>2.2000000000000001E-3</v>
      </c>
      <c r="AH20" s="228">
        <v>13</v>
      </c>
      <c r="AI20" s="228">
        <v>12.6</v>
      </c>
      <c r="AJ20" s="228">
        <v>0.4</v>
      </c>
      <c r="AK20" s="229">
        <v>8.8999999999999999E-3</v>
      </c>
      <c r="AL20" s="228">
        <v>20.5</v>
      </c>
      <c r="AM20" s="228">
        <v>19.7</v>
      </c>
      <c r="AN20" s="228">
        <v>0.8</v>
      </c>
      <c r="AO20" s="229">
        <v>1.4E-2</v>
      </c>
      <c r="AP20" s="231">
        <v>1458.84</v>
      </c>
      <c r="AQ20" s="231">
        <v>1467.25</v>
      </c>
      <c r="AR20" s="228">
        <v>0</v>
      </c>
      <c r="AS20" s="228">
        <v>592</v>
      </c>
      <c r="AT20" s="230">
        <v>1071</v>
      </c>
      <c r="AU20" s="228">
        <v>-479</v>
      </c>
      <c r="AV20" s="229">
        <v>-0.44729999999999998</v>
      </c>
      <c r="AW20" s="228">
        <v>191</v>
      </c>
      <c r="AX20" s="228">
        <v>447</v>
      </c>
      <c r="AY20" s="228">
        <v>-255</v>
      </c>
      <c r="AZ20" s="229">
        <v>-0.57140000000000002</v>
      </c>
      <c r="BA20" s="228">
        <v>398</v>
      </c>
      <c r="BB20" s="228">
        <v>619</v>
      </c>
      <c r="BC20" s="228">
        <v>-220</v>
      </c>
      <c r="BD20" s="229">
        <v>-0.35599999999999998</v>
      </c>
      <c r="BE20" s="228">
        <v>2</v>
      </c>
      <c r="BF20" s="228">
        <v>5</v>
      </c>
      <c r="BG20" s="228">
        <v>-3</v>
      </c>
      <c r="BH20" s="229">
        <v>-0.65080000000000005</v>
      </c>
      <c r="BI20" s="228">
        <v>734</v>
      </c>
      <c r="BJ20" s="230">
        <v>1596</v>
      </c>
      <c r="BK20" s="228">
        <v>-862</v>
      </c>
      <c r="BL20" s="229">
        <v>-0.54010000000000002</v>
      </c>
      <c r="BM20" s="228">
        <v>378</v>
      </c>
      <c r="BN20" s="228">
        <v>713</v>
      </c>
      <c r="BO20" s="228">
        <v>-335</v>
      </c>
      <c r="BP20" s="229">
        <v>-0.46989999999999998</v>
      </c>
      <c r="BQ20" s="230">
        <v>1704</v>
      </c>
      <c r="BR20" s="230">
        <v>3380</v>
      </c>
      <c r="BS20" s="230">
        <v>-1676</v>
      </c>
      <c r="BT20" s="229">
        <v>-0.49590000000000001</v>
      </c>
      <c r="BU20" s="230">
        <v>966104</v>
      </c>
      <c r="BV20" s="230">
        <v>2769418</v>
      </c>
      <c r="BW20" s="230">
        <v>-1803314</v>
      </c>
      <c r="BX20" s="229">
        <v>-0.6512</v>
      </c>
      <c r="BY20" s="230">
        <v>2661</v>
      </c>
      <c r="BZ20" s="230">
        <v>2871</v>
      </c>
      <c r="CA20" s="228">
        <v>-210</v>
      </c>
      <c r="CB20" s="229">
        <v>-7.3099999999999998E-2</v>
      </c>
      <c r="CC20" s="228">
        <v>247</v>
      </c>
      <c r="CD20" s="228">
        <v>358</v>
      </c>
      <c r="CE20" s="228">
        <v>-111</v>
      </c>
      <c r="CF20" s="229">
        <v>-0.31030000000000002</v>
      </c>
      <c r="CG20" s="230">
        <v>2653</v>
      </c>
      <c r="CH20" s="230">
        <v>2505</v>
      </c>
      <c r="CI20" s="228">
        <v>148</v>
      </c>
      <c r="CJ20" s="229">
        <v>5.9299999999999999E-2</v>
      </c>
      <c r="CK20" s="228">
        <v>8</v>
      </c>
      <c r="CL20" s="228">
        <v>8</v>
      </c>
      <c r="CM20" s="228">
        <v>0</v>
      </c>
      <c r="CN20" s="229">
        <v>1.01E-2</v>
      </c>
      <c r="CO20" s="228">
        <v>417</v>
      </c>
      <c r="CP20" s="228">
        <v>772</v>
      </c>
      <c r="CQ20" s="228">
        <v>-356</v>
      </c>
      <c r="CR20" s="229">
        <v>-0.46060000000000001</v>
      </c>
      <c r="CS20" s="228">
        <v>223</v>
      </c>
      <c r="CT20" s="228">
        <v>499</v>
      </c>
      <c r="CU20" s="228">
        <v>-276</v>
      </c>
      <c r="CV20" s="229">
        <v>-0.5534</v>
      </c>
      <c r="CW20" s="230">
        <v>3301</v>
      </c>
      <c r="CX20" s="230">
        <v>4142</v>
      </c>
      <c r="CY20" s="228">
        <v>-842</v>
      </c>
      <c r="CZ20" s="229">
        <v>-0.20319999999999999</v>
      </c>
      <c r="DA20" s="228">
        <v>24.76</v>
      </c>
      <c r="DB20" s="228">
        <v>25.04</v>
      </c>
      <c r="DC20" s="228">
        <v>-0.28000000000000003</v>
      </c>
      <c r="DD20" s="228">
        <v>-0.28000000000000003</v>
      </c>
      <c r="DE20" s="228">
        <v>33.51</v>
      </c>
      <c r="DF20" s="228">
        <v>33.590000000000003</v>
      </c>
      <c r="DG20" s="228">
        <v>-8.75</v>
      </c>
      <c r="DH20" s="228">
        <v>-0.08</v>
      </c>
      <c r="DI20" s="228">
        <v>24.93</v>
      </c>
      <c r="DJ20" s="228">
        <v>25.11</v>
      </c>
      <c r="DK20" s="228">
        <v>-0.18</v>
      </c>
      <c r="DL20" s="228">
        <v>-0.18</v>
      </c>
      <c r="DM20" s="228">
        <v>24.4</v>
      </c>
      <c r="DN20" s="228">
        <v>24.89</v>
      </c>
      <c r="DO20" s="228">
        <v>-0.49</v>
      </c>
      <c r="DP20" s="228">
        <v>-0.49</v>
      </c>
      <c r="DQ20" s="228">
        <v>0.53</v>
      </c>
      <c r="DR20" s="228">
        <v>0.65</v>
      </c>
      <c r="DS20" s="228">
        <v>-0.12</v>
      </c>
      <c r="DT20" s="229">
        <v>-0.18459999999999999</v>
      </c>
      <c r="DU20" s="231">
        <v>1600</v>
      </c>
      <c r="DV20" s="231">
        <v>1400</v>
      </c>
      <c r="DW20" s="228">
        <v>0.51</v>
      </c>
      <c r="DX20" s="228">
        <v>0.45</v>
      </c>
      <c r="DY20" s="228">
        <v>0.06</v>
      </c>
      <c r="DZ20" s="229">
        <v>0.1333</v>
      </c>
      <c r="EA20" s="229">
        <v>0.91500000000000004</v>
      </c>
      <c r="EB20" s="230">
        <v>17043950</v>
      </c>
      <c r="EC20" s="229">
        <v>6.7000000000000002E-3</v>
      </c>
      <c r="ED20" s="229">
        <v>0.91500000000000004</v>
      </c>
      <c r="EE20" s="228">
        <v>8.41</v>
      </c>
      <c r="EF20" s="229">
        <v>5.7999999999999996E-3</v>
      </c>
      <c r="EG20" s="230">
        <v>485437</v>
      </c>
      <c r="EH20" s="230">
        <v>1575921</v>
      </c>
      <c r="EI20" s="229">
        <v>-0.69199999999999995</v>
      </c>
      <c r="EJ20" s="229">
        <v>0.50249999999999995</v>
      </c>
      <c r="EK20" s="228">
        <v>759.6</v>
      </c>
      <c r="EL20" s="228">
        <v>366.77</v>
      </c>
      <c r="EM20" s="228">
        <v>587.78</v>
      </c>
      <c r="EN20" s="228">
        <v>139.31</v>
      </c>
      <c r="EO20" s="231">
        <v>1714.14</v>
      </c>
      <c r="EP20" s="231">
        <v>3404.97</v>
      </c>
      <c r="EQ20" s="231">
        <v>-1690.83</v>
      </c>
      <c r="ER20" s="229">
        <v>-0.49659999999999999</v>
      </c>
      <c r="ES20" s="228">
        <v>436.72</v>
      </c>
      <c r="ET20" s="228">
        <v>216.61</v>
      </c>
      <c r="EU20" s="231">
        <v>2661.2</v>
      </c>
      <c r="EV20" s="231">
        <v>41977935</v>
      </c>
      <c r="EW20" s="231">
        <v>3314.53</v>
      </c>
      <c r="EX20" s="231">
        <v>4139.43</v>
      </c>
      <c r="EY20" s="228">
        <v>-824.9</v>
      </c>
      <c r="EZ20" s="229">
        <v>-0.1993</v>
      </c>
      <c r="FA20" s="229">
        <v>0.5333</v>
      </c>
      <c r="FB20" s="227" t="s">
        <v>691</v>
      </c>
      <c r="FC20">
        <f t="shared" si="0"/>
        <v>2414</v>
      </c>
    </row>
    <row r="21" spans="1:159" ht="17.25" thickBot="1" x14ac:dyDescent="0.3">
      <c r="A21" s="226">
        <v>46168</v>
      </c>
      <c r="B21" s="227" t="s">
        <v>172</v>
      </c>
      <c r="C21" s="227" t="s">
        <v>173</v>
      </c>
      <c r="D21" s="228">
        <v>625</v>
      </c>
      <c r="E21" s="228">
        <v>0</v>
      </c>
      <c r="F21" s="231">
        <v>1307</v>
      </c>
      <c r="G21" s="231">
        <v>1318.3</v>
      </c>
      <c r="H21" s="228">
        <v>-11.3</v>
      </c>
      <c r="I21" s="229">
        <v>-8.6E-3</v>
      </c>
      <c r="J21" s="231">
        <v>1299.3</v>
      </c>
      <c r="K21" s="231">
        <v>1311.2</v>
      </c>
      <c r="L21" s="228">
        <v>-11.9</v>
      </c>
      <c r="M21" s="229">
        <v>-9.1000000000000004E-3</v>
      </c>
      <c r="N21" s="231">
        <v>1295.8</v>
      </c>
      <c r="O21" s="231">
        <v>1308.8</v>
      </c>
      <c r="P21" s="228">
        <v>-13</v>
      </c>
      <c r="Q21" s="229">
        <v>-9.9000000000000008E-3</v>
      </c>
      <c r="R21" s="231">
        <v>1307</v>
      </c>
      <c r="S21" s="231">
        <v>1318.3</v>
      </c>
      <c r="T21" s="228">
        <v>-11.3</v>
      </c>
      <c r="U21" s="229">
        <v>-8.6E-3</v>
      </c>
      <c r="V21" s="231">
        <v>1313.8</v>
      </c>
      <c r="W21" s="231">
        <v>1325.8</v>
      </c>
      <c r="X21" s="228">
        <v>-12</v>
      </c>
      <c r="Y21" s="229">
        <v>-9.1000000000000004E-3</v>
      </c>
      <c r="Z21" s="228">
        <v>7.7</v>
      </c>
      <c r="AA21" s="228">
        <v>-2.4</v>
      </c>
      <c r="AB21" s="228">
        <v>10.1</v>
      </c>
      <c r="AC21" s="229">
        <v>5.8999999999999999E-3</v>
      </c>
      <c r="AD21" s="228">
        <v>-3.5</v>
      </c>
      <c r="AE21" s="228">
        <v>-2.4</v>
      </c>
      <c r="AF21" s="228">
        <v>-1.1000000000000001</v>
      </c>
      <c r="AG21" s="229">
        <v>-2.7000000000000001E-3</v>
      </c>
      <c r="AH21" s="228">
        <v>7.7</v>
      </c>
      <c r="AI21" s="228">
        <v>7.1</v>
      </c>
      <c r="AJ21" s="228">
        <v>0.6</v>
      </c>
      <c r="AK21" s="229">
        <v>5.8999999999999999E-3</v>
      </c>
      <c r="AL21" s="228">
        <v>14.5</v>
      </c>
      <c r="AM21" s="228">
        <v>14.6</v>
      </c>
      <c r="AN21" s="228">
        <v>-0.1</v>
      </c>
      <c r="AO21" s="229">
        <v>1.12E-2</v>
      </c>
      <c r="AP21" s="231">
        <v>1300.06</v>
      </c>
      <c r="AQ21" s="231">
        <v>1310.0899999999999</v>
      </c>
      <c r="AR21" s="228">
        <v>0</v>
      </c>
      <c r="AS21" s="230">
        <v>2446</v>
      </c>
      <c r="AT21" s="230">
        <v>2908</v>
      </c>
      <c r="AU21" s="228">
        <v>-462</v>
      </c>
      <c r="AV21" s="229">
        <v>-0.15890000000000001</v>
      </c>
      <c r="AW21" s="228">
        <v>944</v>
      </c>
      <c r="AX21" s="230">
        <v>1463</v>
      </c>
      <c r="AY21" s="228">
        <v>-519</v>
      </c>
      <c r="AZ21" s="229">
        <v>-0.35489999999999999</v>
      </c>
      <c r="BA21" s="230">
        <v>1489</v>
      </c>
      <c r="BB21" s="230">
        <v>1432</v>
      </c>
      <c r="BC21" s="228">
        <v>58</v>
      </c>
      <c r="BD21" s="229">
        <v>4.0300000000000002E-2</v>
      </c>
      <c r="BE21" s="228">
        <v>13</v>
      </c>
      <c r="BF21" s="228">
        <v>13</v>
      </c>
      <c r="BG21" s="228">
        <v>0</v>
      </c>
      <c r="BH21" s="229">
        <v>-3.6999999999999998E-2</v>
      </c>
      <c r="BI21" s="230">
        <v>3274</v>
      </c>
      <c r="BJ21" s="230">
        <v>9213</v>
      </c>
      <c r="BK21" s="230">
        <v>-5939</v>
      </c>
      <c r="BL21" s="229">
        <v>-0.64459999999999995</v>
      </c>
      <c r="BM21" s="230">
        <v>2479</v>
      </c>
      <c r="BN21" s="230">
        <v>3600</v>
      </c>
      <c r="BO21" s="230">
        <v>-1121</v>
      </c>
      <c r="BP21" s="229">
        <v>-0.3115</v>
      </c>
      <c r="BQ21" s="230">
        <v>8199</v>
      </c>
      <c r="BR21" s="230">
        <v>15721</v>
      </c>
      <c r="BS21" s="230">
        <v>-7523</v>
      </c>
      <c r="BT21" s="229">
        <v>-0.47849999999999998</v>
      </c>
      <c r="BU21" s="230">
        <v>6569417</v>
      </c>
      <c r="BV21" s="230">
        <v>5830253</v>
      </c>
      <c r="BW21" s="230">
        <v>739164</v>
      </c>
      <c r="BX21" s="229">
        <v>0.1268</v>
      </c>
      <c r="BY21" s="230">
        <v>8691</v>
      </c>
      <c r="BZ21" s="230">
        <v>9349</v>
      </c>
      <c r="CA21" s="228">
        <v>-658</v>
      </c>
      <c r="CB21" s="229">
        <v>-7.0400000000000004E-2</v>
      </c>
      <c r="CC21" s="228">
        <v>875</v>
      </c>
      <c r="CD21" s="230">
        <v>1115</v>
      </c>
      <c r="CE21" s="228">
        <v>-240</v>
      </c>
      <c r="CF21" s="229">
        <v>-0.21510000000000001</v>
      </c>
      <c r="CG21" s="230">
        <v>7580</v>
      </c>
      <c r="CH21" s="230">
        <v>7127</v>
      </c>
      <c r="CI21" s="228">
        <v>453</v>
      </c>
      <c r="CJ21" s="229">
        <v>6.3600000000000004E-2</v>
      </c>
      <c r="CK21" s="230">
        <v>1111</v>
      </c>
      <c r="CL21" s="230">
        <v>1108</v>
      </c>
      <c r="CM21" s="228">
        <v>3</v>
      </c>
      <c r="CN21" s="229">
        <v>2.8E-3</v>
      </c>
      <c r="CO21" s="228">
        <v>625</v>
      </c>
      <c r="CP21" s="230">
        <v>2401</v>
      </c>
      <c r="CQ21" s="230">
        <v>-1777</v>
      </c>
      <c r="CR21" s="229">
        <v>-0.7399</v>
      </c>
      <c r="CS21" s="228">
        <v>531</v>
      </c>
      <c r="CT21" s="230">
        <v>1756</v>
      </c>
      <c r="CU21" s="230">
        <v>-1224</v>
      </c>
      <c r="CV21" s="229">
        <v>-0.69740000000000002</v>
      </c>
      <c r="CW21" s="230">
        <v>9847</v>
      </c>
      <c r="CX21" s="230">
        <v>13506</v>
      </c>
      <c r="CY21" s="230">
        <v>-3659</v>
      </c>
      <c r="CZ21" s="229">
        <v>-0.27089999999999997</v>
      </c>
      <c r="DA21" s="228">
        <v>21.03</v>
      </c>
      <c r="DB21" s="228">
        <v>21.81</v>
      </c>
      <c r="DC21" s="228">
        <v>-0.78</v>
      </c>
      <c r="DD21" s="228">
        <v>-0.78</v>
      </c>
      <c r="DE21" s="228">
        <v>29.71</v>
      </c>
      <c r="DF21" s="228">
        <v>29.76</v>
      </c>
      <c r="DG21" s="228">
        <v>-8.68</v>
      </c>
      <c r="DH21" s="228">
        <v>-0.05</v>
      </c>
      <c r="DI21" s="228">
        <v>20.79</v>
      </c>
      <c r="DJ21" s="228">
        <v>21.43</v>
      </c>
      <c r="DK21" s="228">
        <v>-0.64</v>
      </c>
      <c r="DL21" s="228">
        <v>-0.64</v>
      </c>
      <c r="DM21" s="228">
        <v>21.36</v>
      </c>
      <c r="DN21" s="228">
        <v>22.41</v>
      </c>
      <c r="DO21" s="228">
        <v>-1.05</v>
      </c>
      <c r="DP21" s="228">
        <v>-1.05</v>
      </c>
      <c r="DQ21" s="228">
        <v>0.85</v>
      </c>
      <c r="DR21" s="228">
        <v>0.73</v>
      </c>
      <c r="DS21" s="228">
        <v>0.12</v>
      </c>
      <c r="DT21" s="229">
        <v>0.16439999999999999</v>
      </c>
      <c r="DU21" s="231">
        <v>1280</v>
      </c>
      <c r="DV21" s="231">
        <v>1280</v>
      </c>
      <c r="DW21" s="228">
        <v>0.76</v>
      </c>
      <c r="DX21" s="228">
        <v>0.39</v>
      </c>
      <c r="DY21" s="228">
        <v>0.37</v>
      </c>
      <c r="DZ21" s="229">
        <v>0.94869999999999999</v>
      </c>
      <c r="EA21" s="229">
        <v>0.90849999999999997</v>
      </c>
      <c r="EB21" s="230">
        <v>63002500</v>
      </c>
      <c r="EC21" s="229">
        <v>8.6E-3</v>
      </c>
      <c r="ED21" s="229">
        <v>0.90849999999999997</v>
      </c>
      <c r="EE21" s="228">
        <v>10.029999999999999</v>
      </c>
      <c r="EF21" s="229">
        <v>7.7000000000000002E-3</v>
      </c>
      <c r="EG21" s="230">
        <v>2490710</v>
      </c>
      <c r="EH21" s="230">
        <v>4235258</v>
      </c>
      <c r="EI21" s="229">
        <v>-0.41189999999999999</v>
      </c>
      <c r="EJ21" s="229">
        <v>0.37909999999999999</v>
      </c>
      <c r="EK21" s="231">
        <v>3334.32</v>
      </c>
      <c r="EL21" s="231">
        <v>2451.17</v>
      </c>
      <c r="EM21" s="231">
        <v>2444.7399999999998</v>
      </c>
      <c r="EN21" s="228">
        <v>407.36</v>
      </c>
      <c r="EO21" s="231">
        <v>8230.24</v>
      </c>
      <c r="EP21" s="231">
        <v>15777.01</v>
      </c>
      <c r="EQ21" s="231">
        <v>-7546.77</v>
      </c>
      <c r="ER21" s="229">
        <v>-0.4783</v>
      </c>
      <c r="ES21" s="228">
        <v>635.15</v>
      </c>
      <c r="ET21" s="228">
        <v>514.66999999999996</v>
      </c>
      <c r="EU21" s="231">
        <v>8696.59</v>
      </c>
      <c r="EV21" s="231">
        <v>331596880</v>
      </c>
      <c r="EW21" s="231">
        <v>9846.42</v>
      </c>
      <c r="EX21" s="231">
        <v>13533.24</v>
      </c>
      <c r="EY21" s="231">
        <v>-3686.82</v>
      </c>
      <c r="EZ21" s="229">
        <v>-0.27239999999999998</v>
      </c>
      <c r="FA21" s="229">
        <v>0.22720000000000001</v>
      </c>
      <c r="FB21" s="227" t="s">
        <v>567</v>
      </c>
      <c r="FC21">
        <f t="shared" si="0"/>
        <v>7816</v>
      </c>
    </row>
    <row r="22" spans="1:159" ht="17.25" thickBot="1" x14ac:dyDescent="0.3">
      <c r="A22" s="226">
        <v>46168</v>
      </c>
      <c r="B22" s="227" t="s">
        <v>162</v>
      </c>
      <c r="C22" s="227" t="s">
        <v>174</v>
      </c>
      <c r="D22" s="228">
        <v>75</v>
      </c>
      <c r="E22" s="228">
        <v>0</v>
      </c>
      <c r="F22" s="231">
        <v>10292</v>
      </c>
      <c r="G22" s="231">
        <v>10242.5</v>
      </c>
      <c r="H22" s="228">
        <v>49.5</v>
      </c>
      <c r="I22" s="229">
        <v>4.7999999999999996E-3</v>
      </c>
      <c r="J22" s="231">
        <v>10593</v>
      </c>
      <c r="K22" s="231">
        <v>10491</v>
      </c>
      <c r="L22" s="228">
        <v>102</v>
      </c>
      <c r="M22" s="229">
        <v>9.7000000000000003E-3</v>
      </c>
      <c r="N22" s="231">
        <v>10573</v>
      </c>
      <c r="O22" s="231">
        <v>10461</v>
      </c>
      <c r="P22" s="228">
        <v>112</v>
      </c>
      <c r="Q22" s="229">
        <v>1.0699999999999999E-2</v>
      </c>
      <c r="R22" s="231">
        <v>10292</v>
      </c>
      <c r="S22" s="231">
        <v>10242.5</v>
      </c>
      <c r="T22" s="228">
        <v>49.5</v>
      </c>
      <c r="U22" s="229">
        <v>4.7999999999999996E-3</v>
      </c>
      <c r="V22" s="231">
        <v>10130.5</v>
      </c>
      <c r="W22" s="231">
        <v>10147</v>
      </c>
      <c r="X22" s="228">
        <v>-16.5</v>
      </c>
      <c r="Y22" s="229">
        <v>-1.6000000000000001E-3</v>
      </c>
      <c r="Z22" s="228">
        <v>-301</v>
      </c>
      <c r="AA22" s="228">
        <v>-30</v>
      </c>
      <c r="AB22" s="228">
        <v>-271</v>
      </c>
      <c r="AC22" s="229">
        <v>-2.8400000000000002E-2</v>
      </c>
      <c r="AD22" s="228">
        <v>-20</v>
      </c>
      <c r="AE22" s="228">
        <v>-30</v>
      </c>
      <c r="AF22" s="228">
        <v>10</v>
      </c>
      <c r="AG22" s="229">
        <v>-1.9E-3</v>
      </c>
      <c r="AH22" s="228">
        <v>-301</v>
      </c>
      <c r="AI22" s="228">
        <v>-248.5</v>
      </c>
      <c r="AJ22" s="228">
        <v>-52.5</v>
      </c>
      <c r="AK22" s="229">
        <v>-2.8400000000000002E-2</v>
      </c>
      <c r="AL22" s="228">
        <v>-462.5</v>
      </c>
      <c r="AM22" s="228">
        <v>-344</v>
      </c>
      <c r="AN22" s="228">
        <v>-118.5</v>
      </c>
      <c r="AO22" s="229">
        <v>-4.3700000000000003E-2</v>
      </c>
      <c r="AP22" s="231">
        <v>10546</v>
      </c>
      <c r="AQ22" s="231">
        <v>10298.41</v>
      </c>
      <c r="AR22" s="228">
        <v>0</v>
      </c>
      <c r="AS22" s="230">
        <v>1344</v>
      </c>
      <c r="AT22" s="230">
        <v>1960</v>
      </c>
      <c r="AU22" s="228">
        <v>-617</v>
      </c>
      <c r="AV22" s="229">
        <v>-0.3145</v>
      </c>
      <c r="AW22" s="228">
        <v>591</v>
      </c>
      <c r="AX22" s="228">
        <v>883</v>
      </c>
      <c r="AY22" s="228">
        <v>-292</v>
      </c>
      <c r="AZ22" s="229">
        <v>-0.3306</v>
      </c>
      <c r="BA22" s="228">
        <v>739</v>
      </c>
      <c r="BB22" s="230">
        <v>1065</v>
      </c>
      <c r="BC22" s="228">
        <v>-326</v>
      </c>
      <c r="BD22" s="229">
        <v>-0.30609999999999998</v>
      </c>
      <c r="BE22" s="228">
        <v>14</v>
      </c>
      <c r="BF22" s="228">
        <v>12</v>
      </c>
      <c r="BG22" s="228">
        <v>2</v>
      </c>
      <c r="BH22" s="229">
        <v>0.129</v>
      </c>
      <c r="BI22" s="230">
        <v>3292</v>
      </c>
      <c r="BJ22" s="230">
        <v>6923</v>
      </c>
      <c r="BK22" s="230">
        <v>-3631</v>
      </c>
      <c r="BL22" s="229">
        <v>-0.52439999999999998</v>
      </c>
      <c r="BM22" s="230">
        <v>1235</v>
      </c>
      <c r="BN22" s="230">
        <v>4448</v>
      </c>
      <c r="BO22" s="230">
        <v>-3213</v>
      </c>
      <c r="BP22" s="229">
        <v>-0.72240000000000004</v>
      </c>
      <c r="BQ22" s="230">
        <v>5871</v>
      </c>
      <c r="BR22" s="230">
        <v>13331</v>
      </c>
      <c r="BS22" s="230">
        <v>-7460</v>
      </c>
      <c r="BT22" s="229">
        <v>-0.55959999999999999</v>
      </c>
      <c r="BU22" s="230">
        <v>570808</v>
      </c>
      <c r="BV22" s="230">
        <v>583665</v>
      </c>
      <c r="BW22" s="230">
        <v>-12857</v>
      </c>
      <c r="BX22" s="229">
        <v>-2.1999999999999999E-2</v>
      </c>
      <c r="BY22" s="230">
        <v>2481</v>
      </c>
      <c r="BZ22" s="230">
        <v>2842</v>
      </c>
      <c r="CA22" s="228">
        <v>-361</v>
      </c>
      <c r="CB22" s="229">
        <v>-0.12709999999999999</v>
      </c>
      <c r="CC22" s="228">
        <v>484</v>
      </c>
      <c r="CD22" s="228">
        <v>771</v>
      </c>
      <c r="CE22" s="228">
        <v>-287</v>
      </c>
      <c r="CF22" s="229">
        <v>-0.37259999999999999</v>
      </c>
      <c r="CG22" s="230">
        <v>2454</v>
      </c>
      <c r="CH22" s="230">
        <v>2047</v>
      </c>
      <c r="CI22" s="228">
        <v>407</v>
      </c>
      <c r="CJ22" s="229">
        <v>0.19889999999999999</v>
      </c>
      <c r="CK22" s="228">
        <v>27</v>
      </c>
      <c r="CL22" s="228">
        <v>25</v>
      </c>
      <c r="CM22" s="228">
        <v>2</v>
      </c>
      <c r="CN22" s="229">
        <v>9.4E-2</v>
      </c>
      <c r="CO22" s="228">
        <v>851</v>
      </c>
      <c r="CP22" s="230">
        <v>2308</v>
      </c>
      <c r="CQ22" s="230">
        <v>-1457</v>
      </c>
      <c r="CR22" s="229">
        <v>-0.63139999999999996</v>
      </c>
      <c r="CS22" s="228">
        <v>392</v>
      </c>
      <c r="CT22" s="230">
        <v>1391</v>
      </c>
      <c r="CU22" s="228">
        <v>-999</v>
      </c>
      <c r="CV22" s="229">
        <v>-0.71809999999999996</v>
      </c>
      <c r="CW22" s="230">
        <v>3724</v>
      </c>
      <c r="CX22" s="230">
        <v>6541</v>
      </c>
      <c r="CY22" s="230">
        <v>-2817</v>
      </c>
      <c r="CZ22" s="229">
        <v>-0.43070000000000003</v>
      </c>
      <c r="DA22" s="228">
        <v>23.18</v>
      </c>
      <c r="DB22" s="228">
        <v>24.11</v>
      </c>
      <c r="DC22" s="228">
        <v>-0.93</v>
      </c>
      <c r="DD22" s="228">
        <v>-0.93</v>
      </c>
      <c r="DE22" s="228">
        <v>29.99</v>
      </c>
      <c r="DF22" s="228">
        <v>30.04</v>
      </c>
      <c r="DG22" s="228">
        <v>-6.81</v>
      </c>
      <c r="DH22" s="228">
        <v>-0.05</v>
      </c>
      <c r="DI22" s="228">
        <v>23.36</v>
      </c>
      <c r="DJ22" s="228">
        <v>24.44</v>
      </c>
      <c r="DK22" s="228">
        <v>-1.08</v>
      </c>
      <c r="DL22" s="228">
        <v>-1.08</v>
      </c>
      <c r="DM22" s="228">
        <v>22.76</v>
      </c>
      <c r="DN22" s="228">
        <v>23.41</v>
      </c>
      <c r="DO22" s="228">
        <v>-0.65</v>
      </c>
      <c r="DP22" s="228">
        <v>-0.65</v>
      </c>
      <c r="DQ22" s="228">
        <v>0.46</v>
      </c>
      <c r="DR22" s="228">
        <v>0.6</v>
      </c>
      <c r="DS22" s="228">
        <v>-0.14000000000000001</v>
      </c>
      <c r="DT22" s="229">
        <v>-0.23330000000000001</v>
      </c>
      <c r="DU22" s="231">
        <v>10400</v>
      </c>
      <c r="DV22" s="231">
        <v>10000</v>
      </c>
      <c r="DW22" s="228">
        <v>0.38</v>
      </c>
      <c r="DX22" s="228">
        <v>0.64</v>
      </c>
      <c r="DY22" s="228">
        <v>-0.26</v>
      </c>
      <c r="DZ22" s="229">
        <v>-0.40629999999999999</v>
      </c>
      <c r="EA22" s="229">
        <v>0.83689999999999998</v>
      </c>
      <c r="EB22" s="230">
        <v>2012700</v>
      </c>
      <c r="EC22" s="229">
        <v>-2.6599999999999999E-2</v>
      </c>
      <c r="ED22" s="229">
        <v>0.83689999999999998</v>
      </c>
      <c r="EE22" s="228">
        <v>-247.59</v>
      </c>
      <c r="EF22" s="229">
        <v>-2.35E-2</v>
      </c>
      <c r="EG22" s="230">
        <v>301565</v>
      </c>
      <c r="EH22" s="230">
        <v>269195</v>
      </c>
      <c r="EI22" s="229">
        <v>0.1202</v>
      </c>
      <c r="EJ22" s="229">
        <v>0.52829999999999999</v>
      </c>
      <c r="EK22" s="231">
        <v>3447.17</v>
      </c>
      <c r="EL22" s="231">
        <v>1234.48</v>
      </c>
      <c r="EM22" s="231">
        <v>1358.62</v>
      </c>
      <c r="EN22" s="228">
        <v>170.12</v>
      </c>
      <c r="EO22" s="231">
        <v>6040.27</v>
      </c>
      <c r="EP22" s="231">
        <v>13674.72</v>
      </c>
      <c r="EQ22" s="231">
        <v>-7634.45</v>
      </c>
      <c r="ER22" s="229">
        <v>-0.55830000000000002</v>
      </c>
      <c r="ES22" s="228">
        <v>883.31</v>
      </c>
      <c r="ET22" s="228">
        <v>377.43</v>
      </c>
      <c r="EU22" s="231">
        <v>2480.54</v>
      </c>
      <c r="EV22" s="231">
        <v>12553818</v>
      </c>
      <c r="EW22" s="231">
        <v>3741.28</v>
      </c>
      <c r="EX22" s="231">
        <v>6549.25</v>
      </c>
      <c r="EY22" s="231">
        <v>-2807.97</v>
      </c>
      <c r="EZ22" s="229">
        <v>-0.42870000000000003</v>
      </c>
      <c r="FA22" s="229">
        <v>0.28820000000000001</v>
      </c>
      <c r="FB22" s="227" t="s">
        <v>691</v>
      </c>
      <c r="FC22">
        <f t="shared" si="0"/>
        <v>1997</v>
      </c>
    </row>
    <row r="23" spans="1:159" ht="17.25" thickBot="1" x14ac:dyDescent="0.3">
      <c r="A23" s="226">
        <v>46168</v>
      </c>
      <c r="B23" s="227" t="s">
        <v>175</v>
      </c>
      <c r="C23" s="227" t="s">
        <v>176</v>
      </c>
      <c r="D23" s="228">
        <v>250</v>
      </c>
      <c r="E23" s="228">
        <v>0</v>
      </c>
      <c r="F23" s="231">
        <v>1810.6</v>
      </c>
      <c r="G23" s="231">
        <v>1818.2</v>
      </c>
      <c r="H23" s="228">
        <v>-7.6</v>
      </c>
      <c r="I23" s="229">
        <v>-4.1999999999999997E-3</v>
      </c>
      <c r="J23" s="231">
        <v>1800.7</v>
      </c>
      <c r="K23" s="231">
        <v>1807.4</v>
      </c>
      <c r="L23" s="228">
        <v>-6.7</v>
      </c>
      <c r="M23" s="229">
        <v>-3.7000000000000002E-3</v>
      </c>
      <c r="N23" s="231">
        <v>1798.3</v>
      </c>
      <c r="O23" s="231">
        <v>1806.2</v>
      </c>
      <c r="P23" s="228">
        <v>-7.9</v>
      </c>
      <c r="Q23" s="229">
        <v>-4.4000000000000003E-3</v>
      </c>
      <c r="R23" s="231">
        <v>1810.6</v>
      </c>
      <c r="S23" s="231">
        <v>1818.2</v>
      </c>
      <c r="T23" s="228">
        <v>-7.6</v>
      </c>
      <c r="U23" s="229">
        <v>-4.1999999999999997E-3</v>
      </c>
      <c r="V23" s="231">
        <v>1822.6</v>
      </c>
      <c r="W23" s="231">
        <v>1830.5</v>
      </c>
      <c r="X23" s="228">
        <v>-7.9</v>
      </c>
      <c r="Y23" s="229">
        <v>-4.3E-3</v>
      </c>
      <c r="Z23" s="228">
        <v>9.9</v>
      </c>
      <c r="AA23" s="228">
        <v>-1.2</v>
      </c>
      <c r="AB23" s="228">
        <v>11.1</v>
      </c>
      <c r="AC23" s="229">
        <v>5.4999999999999997E-3</v>
      </c>
      <c r="AD23" s="228">
        <v>-2.4</v>
      </c>
      <c r="AE23" s="228">
        <v>-1.2</v>
      </c>
      <c r="AF23" s="228">
        <v>-1.2</v>
      </c>
      <c r="AG23" s="229">
        <v>-1.2999999999999999E-3</v>
      </c>
      <c r="AH23" s="228">
        <v>9.9</v>
      </c>
      <c r="AI23" s="228">
        <v>10.8</v>
      </c>
      <c r="AJ23" s="228">
        <v>-0.9</v>
      </c>
      <c r="AK23" s="229">
        <v>5.4999999999999997E-3</v>
      </c>
      <c r="AL23" s="228">
        <v>21.9</v>
      </c>
      <c r="AM23" s="228">
        <v>23.1</v>
      </c>
      <c r="AN23" s="228">
        <v>-1.2</v>
      </c>
      <c r="AO23" s="229">
        <v>1.2200000000000001E-2</v>
      </c>
      <c r="AP23" s="231">
        <v>1801.1</v>
      </c>
      <c r="AQ23" s="231">
        <v>1814.89</v>
      </c>
      <c r="AR23" s="228">
        <v>0</v>
      </c>
      <c r="AS23" s="228">
        <v>489</v>
      </c>
      <c r="AT23" s="230">
        <v>1157</v>
      </c>
      <c r="AU23" s="228">
        <v>-668</v>
      </c>
      <c r="AV23" s="229">
        <v>-0.57750000000000001</v>
      </c>
      <c r="AW23" s="228">
        <v>255</v>
      </c>
      <c r="AX23" s="228">
        <v>611</v>
      </c>
      <c r="AY23" s="228">
        <v>-356</v>
      </c>
      <c r="AZ23" s="229">
        <v>-0.58220000000000005</v>
      </c>
      <c r="BA23" s="228">
        <v>231</v>
      </c>
      <c r="BB23" s="228">
        <v>539</v>
      </c>
      <c r="BC23" s="228">
        <v>-309</v>
      </c>
      <c r="BD23" s="229">
        <v>-0.57250000000000001</v>
      </c>
      <c r="BE23" s="228">
        <v>3</v>
      </c>
      <c r="BF23" s="228">
        <v>6</v>
      </c>
      <c r="BG23" s="228">
        <v>-3</v>
      </c>
      <c r="BH23" s="229">
        <v>-0.54349999999999998</v>
      </c>
      <c r="BI23" s="228">
        <v>699</v>
      </c>
      <c r="BJ23" s="230">
        <v>1727</v>
      </c>
      <c r="BK23" s="230">
        <v>-1028</v>
      </c>
      <c r="BL23" s="229">
        <v>-0.59519999999999995</v>
      </c>
      <c r="BM23" s="228">
        <v>428</v>
      </c>
      <c r="BN23" s="230">
        <v>1205</v>
      </c>
      <c r="BO23" s="228">
        <v>-777</v>
      </c>
      <c r="BP23" s="229">
        <v>-0.64470000000000005</v>
      </c>
      <c r="BQ23" s="230">
        <v>1616</v>
      </c>
      <c r="BR23" s="230">
        <v>4089</v>
      </c>
      <c r="BS23" s="230">
        <v>-2473</v>
      </c>
      <c r="BT23" s="229">
        <v>-0.6048</v>
      </c>
      <c r="BU23" s="230">
        <v>831648</v>
      </c>
      <c r="BV23" s="230">
        <v>474942</v>
      </c>
      <c r="BW23" s="230">
        <v>356706</v>
      </c>
      <c r="BX23" s="229">
        <v>0.75109999999999999</v>
      </c>
      <c r="BY23" s="230">
        <v>1997</v>
      </c>
      <c r="BZ23" s="230">
        <v>2187</v>
      </c>
      <c r="CA23" s="228">
        <v>-190</v>
      </c>
      <c r="CB23" s="229">
        <v>-8.6900000000000005E-2</v>
      </c>
      <c r="CC23" s="228">
        <v>292</v>
      </c>
      <c r="CD23" s="228">
        <v>310</v>
      </c>
      <c r="CE23" s="228">
        <v>-18</v>
      </c>
      <c r="CF23" s="229">
        <v>-5.8400000000000001E-2</v>
      </c>
      <c r="CG23" s="230">
        <v>1674</v>
      </c>
      <c r="CH23" s="230">
        <v>1556</v>
      </c>
      <c r="CI23" s="228">
        <v>119</v>
      </c>
      <c r="CJ23" s="229">
        <v>7.6200000000000004E-2</v>
      </c>
      <c r="CK23" s="228">
        <v>323</v>
      </c>
      <c r="CL23" s="228">
        <v>321</v>
      </c>
      <c r="CM23" s="228">
        <v>2</v>
      </c>
      <c r="CN23" s="229">
        <v>4.8999999999999998E-3</v>
      </c>
      <c r="CO23" s="228">
        <v>257</v>
      </c>
      <c r="CP23" s="230">
        <v>1130</v>
      </c>
      <c r="CQ23" s="228">
        <v>-874</v>
      </c>
      <c r="CR23" s="229">
        <v>-0.77280000000000004</v>
      </c>
      <c r="CS23" s="228">
        <v>293</v>
      </c>
      <c r="CT23" s="228">
        <v>658</v>
      </c>
      <c r="CU23" s="228">
        <v>-365</v>
      </c>
      <c r="CV23" s="229">
        <v>-0.55479999999999996</v>
      </c>
      <c r="CW23" s="230">
        <v>2547</v>
      </c>
      <c r="CX23" s="230">
        <v>3975</v>
      </c>
      <c r="CY23" s="230">
        <v>-1429</v>
      </c>
      <c r="CZ23" s="229">
        <v>-0.3594</v>
      </c>
      <c r="DA23" s="228">
        <v>22.33</v>
      </c>
      <c r="DB23" s="228">
        <v>23.19</v>
      </c>
      <c r="DC23" s="228">
        <v>-0.86</v>
      </c>
      <c r="DD23" s="228">
        <v>-0.86</v>
      </c>
      <c r="DE23" s="228">
        <v>30.07</v>
      </c>
      <c r="DF23" s="228">
        <v>30.14</v>
      </c>
      <c r="DG23" s="228">
        <v>-7.74</v>
      </c>
      <c r="DH23" s="228">
        <v>-7.0000000000000007E-2</v>
      </c>
      <c r="DI23" s="228">
        <v>21.58</v>
      </c>
      <c r="DJ23" s="228">
        <v>22.64</v>
      </c>
      <c r="DK23" s="228">
        <v>-1.06</v>
      </c>
      <c r="DL23" s="228">
        <v>-1.06</v>
      </c>
      <c r="DM23" s="228">
        <v>23.25</v>
      </c>
      <c r="DN23" s="228">
        <v>24.02</v>
      </c>
      <c r="DO23" s="228">
        <v>-0.77</v>
      </c>
      <c r="DP23" s="228">
        <v>-0.77</v>
      </c>
      <c r="DQ23" s="228">
        <v>1.1399999999999999</v>
      </c>
      <c r="DR23" s="228">
        <v>0.57999999999999996</v>
      </c>
      <c r="DS23" s="228">
        <v>0.56000000000000005</v>
      </c>
      <c r="DT23" s="229">
        <v>0.96550000000000002</v>
      </c>
      <c r="DU23" s="231">
        <v>1860</v>
      </c>
      <c r="DV23" s="231">
        <v>1700</v>
      </c>
      <c r="DW23" s="228">
        <v>0.61</v>
      </c>
      <c r="DX23" s="228">
        <v>0.7</v>
      </c>
      <c r="DY23" s="228">
        <v>-0.09</v>
      </c>
      <c r="DZ23" s="229">
        <v>-0.12859999999999999</v>
      </c>
      <c r="EA23" s="229">
        <v>0.87239999999999995</v>
      </c>
      <c r="EB23" s="230">
        <v>10366100</v>
      </c>
      <c r="EC23" s="229">
        <v>6.7999999999999996E-3</v>
      </c>
      <c r="ED23" s="229">
        <v>0.87239999999999995</v>
      </c>
      <c r="EE23" s="228">
        <v>13.79</v>
      </c>
      <c r="EF23" s="229">
        <v>7.7000000000000002E-3</v>
      </c>
      <c r="EG23" s="230">
        <v>452899</v>
      </c>
      <c r="EH23" s="230">
        <v>188578</v>
      </c>
      <c r="EI23" s="229">
        <v>1.4016999999999999</v>
      </c>
      <c r="EJ23" s="229">
        <v>0.54459999999999997</v>
      </c>
      <c r="EK23" s="228">
        <v>722.09</v>
      </c>
      <c r="EL23" s="228">
        <v>434.69</v>
      </c>
      <c r="EM23" s="228">
        <v>488.49</v>
      </c>
      <c r="EN23" s="228">
        <v>174.68</v>
      </c>
      <c r="EO23" s="231">
        <v>1645.27</v>
      </c>
      <c r="EP23" s="231">
        <v>4082.83</v>
      </c>
      <c r="EQ23" s="231">
        <v>-2437.56</v>
      </c>
      <c r="ER23" s="229">
        <v>-0.59699999999999998</v>
      </c>
      <c r="ES23" s="228">
        <v>262.27</v>
      </c>
      <c r="ET23" s="228">
        <v>290.31</v>
      </c>
      <c r="EU23" s="231">
        <v>1999.19</v>
      </c>
      <c r="EV23" s="231">
        <v>65784745</v>
      </c>
      <c r="EW23" s="231">
        <v>2551.77</v>
      </c>
      <c r="EX23" s="231">
        <v>3975.29</v>
      </c>
      <c r="EY23" s="231">
        <v>-1423.52</v>
      </c>
      <c r="EZ23" s="229">
        <v>-0.35809999999999997</v>
      </c>
      <c r="FA23" s="229">
        <v>0.21379999999999999</v>
      </c>
      <c r="FB23" s="227" t="s">
        <v>567</v>
      </c>
      <c r="FC23">
        <f t="shared" si="0"/>
        <v>1705</v>
      </c>
    </row>
    <row r="24" spans="1:159" ht="17.25" thickBot="1" x14ac:dyDescent="0.3">
      <c r="A24" s="226">
        <v>46168</v>
      </c>
      <c r="B24" s="227" t="s">
        <v>175</v>
      </c>
      <c r="C24" s="227" t="s">
        <v>687</v>
      </c>
      <c r="D24" s="228">
        <v>50</v>
      </c>
      <c r="E24" s="228">
        <v>0</v>
      </c>
      <c r="F24" s="231">
        <v>10629</v>
      </c>
      <c r="G24" s="231">
        <v>10612</v>
      </c>
      <c r="H24" s="228">
        <v>17</v>
      </c>
      <c r="I24" s="229">
        <v>1.6000000000000001E-3</v>
      </c>
      <c r="J24" s="231">
        <v>10705</v>
      </c>
      <c r="K24" s="231">
        <v>10642</v>
      </c>
      <c r="L24" s="228">
        <v>63</v>
      </c>
      <c r="M24" s="229">
        <v>5.8999999999999999E-3</v>
      </c>
      <c r="N24" s="231">
        <v>10686</v>
      </c>
      <c r="O24" s="231">
        <v>10680</v>
      </c>
      <c r="P24" s="228">
        <v>6</v>
      </c>
      <c r="Q24" s="229">
        <v>5.9999999999999995E-4</v>
      </c>
      <c r="R24" s="231">
        <v>10629</v>
      </c>
      <c r="S24" s="231">
        <v>10612</v>
      </c>
      <c r="T24" s="228">
        <v>17</v>
      </c>
      <c r="U24" s="229">
        <v>1.6000000000000001E-3</v>
      </c>
      <c r="V24" s="231">
        <v>10676</v>
      </c>
      <c r="W24" s="231">
        <v>10640</v>
      </c>
      <c r="X24" s="228">
        <v>36</v>
      </c>
      <c r="Y24" s="229">
        <v>3.3999999999999998E-3</v>
      </c>
      <c r="Z24" s="228">
        <v>-76</v>
      </c>
      <c r="AA24" s="228">
        <v>38</v>
      </c>
      <c r="AB24" s="228">
        <v>-114</v>
      </c>
      <c r="AC24" s="229">
        <v>-7.1000000000000004E-3</v>
      </c>
      <c r="AD24" s="228">
        <v>-19</v>
      </c>
      <c r="AE24" s="228">
        <v>38</v>
      </c>
      <c r="AF24" s="228">
        <v>-57</v>
      </c>
      <c r="AG24" s="229">
        <v>-1.8E-3</v>
      </c>
      <c r="AH24" s="228">
        <v>-76</v>
      </c>
      <c r="AI24" s="228">
        <v>-30</v>
      </c>
      <c r="AJ24" s="228">
        <v>-46</v>
      </c>
      <c r="AK24" s="229">
        <v>-7.1000000000000004E-3</v>
      </c>
      <c r="AL24" s="228">
        <v>-29</v>
      </c>
      <c r="AM24" s="228">
        <v>-2</v>
      </c>
      <c r="AN24" s="228">
        <v>-27</v>
      </c>
      <c r="AO24" s="229">
        <v>-2.7000000000000001E-3</v>
      </c>
      <c r="AP24" s="231">
        <v>10787.37</v>
      </c>
      <c r="AQ24" s="231">
        <v>10705.15</v>
      </c>
      <c r="AR24" s="228">
        <v>0</v>
      </c>
      <c r="AS24" s="228">
        <v>158</v>
      </c>
      <c r="AT24" s="228">
        <v>239</v>
      </c>
      <c r="AU24" s="228">
        <v>-81</v>
      </c>
      <c r="AV24" s="229">
        <v>-0.33800000000000002</v>
      </c>
      <c r="AW24" s="228">
        <v>77</v>
      </c>
      <c r="AX24" s="228">
        <v>116</v>
      </c>
      <c r="AY24" s="228">
        <v>-40</v>
      </c>
      <c r="AZ24" s="229">
        <v>-0.34260000000000002</v>
      </c>
      <c r="BA24" s="228">
        <v>81</v>
      </c>
      <c r="BB24" s="228">
        <v>122</v>
      </c>
      <c r="BC24" s="228">
        <v>-41</v>
      </c>
      <c r="BD24" s="229">
        <v>-0.33510000000000001</v>
      </c>
      <c r="BE24" s="228">
        <v>1</v>
      </c>
      <c r="BF24" s="228">
        <v>1</v>
      </c>
      <c r="BG24" s="228">
        <v>0</v>
      </c>
      <c r="BH24" s="229">
        <v>0</v>
      </c>
      <c r="BI24" s="228">
        <v>190</v>
      </c>
      <c r="BJ24" s="228">
        <v>285</v>
      </c>
      <c r="BK24" s="228">
        <v>-95</v>
      </c>
      <c r="BL24" s="229">
        <v>-0.33310000000000001</v>
      </c>
      <c r="BM24" s="228">
        <v>140</v>
      </c>
      <c r="BN24" s="228">
        <v>251</v>
      </c>
      <c r="BO24" s="228">
        <v>-111</v>
      </c>
      <c r="BP24" s="229">
        <v>-0.441</v>
      </c>
      <c r="BQ24" s="228">
        <v>489</v>
      </c>
      <c r="BR24" s="228">
        <v>775</v>
      </c>
      <c r="BS24" s="228">
        <v>-287</v>
      </c>
      <c r="BT24" s="229">
        <v>-0.3695</v>
      </c>
      <c r="BU24" s="230">
        <v>48371</v>
      </c>
      <c r="BV24" s="230">
        <v>41370</v>
      </c>
      <c r="BW24" s="230">
        <v>7001</v>
      </c>
      <c r="BX24" s="229">
        <v>0.16919999999999999</v>
      </c>
      <c r="BY24" s="228">
        <v>291</v>
      </c>
      <c r="BZ24" s="228">
        <v>322</v>
      </c>
      <c r="CA24" s="228">
        <v>-31</v>
      </c>
      <c r="CB24" s="229">
        <v>-9.5899999999999999E-2</v>
      </c>
      <c r="CC24" s="228">
        <v>45</v>
      </c>
      <c r="CD24" s="228">
        <v>69</v>
      </c>
      <c r="CE24" s="228">
        <v>-23</v>
      </c>
      <c r="CF24" s="229">
        <v>-0.34</v>
      </c>
      <c r="CG24" s="228">
        <v>290</v>
      </c>
      <c r="CH24" s="228">
        <v>252</v>
      </c>
      <c r="CI24" s="228">
        <v>38</v>
      </c>
      <c r="CJ24" s="229">
        <v>0.14910000000000001</v>
      </c>
      <c r="CK24" s="228">
        <v>1</v>
      </c>
      <c r="CL24" s="228">
        <v>1</v>
      </c>
      <c r="CM24" s="228">
        <v>0</v>
      </c>
      <c r="CN24" s="229">
        <v>0.28570000000000001</v>
      </c>
      <c r="CO24" s="228">
        <v>19</v>
      </c>
      <c r="CP24" s="228">
        <v>90</v>
      </c>
      <c r="CQ24" s="228">
        <v>-72</v>
      </c>
      <c r="CR24" s="229">
        <v>-0.79490000000000005</v>
      </c>
      <c r="CS24" s="228">
        <v>13</v>
      </c>
      <c r="CT24" s="228">
        <v>54</v>
      </c>
      <c r="CU24" s="228">
        <v>-41</v>
      </c>
      <c r="CV24" s="229">
        <v>-0.75609999999999999</v>
      </c>
      <c r="CW24" s="228">
        <v>323</v>
      </c>
      <c r="CX24" s="228">
        <v>467</v>
      </c>
      <c r="CY24" s="228">
        <v>-144</v>
      </c>
      <c r="CZ24" s="229">
        <v>-0.30819999999999997</v>
      </c>
      <c r="DA24" s="228">
        <v>31.79</v>
      </c>
      <c r="DB24" s="228">
        <v>31.12</v>
      </c>
      <c r="DC24" s="228">
        <v>0.67</v>
      </c>
      <c r="DD24" s="228">
        <v>0.67</v>
      </c>
      <c r="DE24" s="228">
        <v>37.5</v>
      </c>
      <c r="DF24" s="228">
        <v>37.590000000000003</v>
      </c>
      <c r="DG24" s="228">
        <v>-5.71</v>
      </c>
      <c r="DH24" s="228">
        <v>-0.09</v>
      </c>
      <c r="DI24" s="228">
        <v>31.96</v>
      </c>
      <c r="DJ24" s="228">
        <v>30.57</v>
      </c>
      <c r="DK24" s="228">
        <v>1.39</v>
      </c>
      <c r="DL24" s="228">
        <v>1.39</v>
      </c>
      <c r="DM24" s="228">
        <v>30.74</v>
      </c>
      <c r="DN24" s="228">
        <v>32.020000000000003</v>
      </c>
      <c r="DO24" s="228">
        <v>-1.28</v>
      </c>
      <c r="DP24" s="228">
        <v>-1.28</v>
      </c>
      <c r="DQ24" s="228">
        <v>0.71</v>
      </c>
      <c r="DR24" s="228">
        <v>0.6</v>
      </c>
      <c r="DS24" s="228">
        <v>0.11</v>
      </c>
      <c r="DT24" s="229">
        <v>0.18329999999999999</v>
      </c>
      <c r="DU24" s="231">
        <v>11000</v>
      </c>
      <c r="DV24" s="231">
        <v>10500</v>
      </c>
      <c r="DW24" s="228">
        <v>0.74</v>
      </c>
      <c r="DX24" s="228">
        <v>0.88</v>
      </c>
      <c r="DY24" s="228">
        <v>-0.14000000000000001</v>
      </c>
      <c r="DZ24" s="229">
        <v>-0.15909999999999999</v>
      </c>
      <c r="EA24" s="229">
        <v>0.86509999999999998</v>
      </c>
      <c r="EB24" s="230">
        <v>238100</v>
      </c>
      <c r="EC24" s="229">
        <v>-5.3E-3</v>
      </c>
      <c r="ED24" s="229">
        <v>0.86509999999999998</v>
      </c>
      <c r="EE24" s="228">
        <v>-82.22</v>
      </c>
      <c r="EF24" s="229">
        <v>-7.6E-3</v>
      </c>
      <c r="EG24" s="230">
        <v>19253</v>
      </c>
      <c r="EH24" s="230">
        <v>21437</v>
      </c>
      <c r="EI24" s="229">
        <v>-0.1019</v>
      </c>
      <c r="EJ24" s="229">
        <v>0.39800000000000002</v>
      </c>
      <c r="EK24" s="228">
        <v>198.34</v>
      </c>
      <c r="EL24" s="228">
        <v>137.06</v>
      </c>
      <c r="EM24" s="228">
        <v>160.41999999999999</v>
      </c>
      <c r="EN24" s="228">
        <v>24.76</v>
      </c>
      <c r="EO24" s="228">
        <v>495.82</v>
      </c>
      <c r="EP24" s="228">
        <v>779.46</v>
      </c>
      <c r="EQ24" s="228">
        <v>-283.64</v>
      </c>
      <c r="ER24" s="229">
        <v>-0.3639</v>
      </c>
      <c r="ES24" s="228">
        <v>18.97</v>
      </c>
      <c r="ET24" s="228">
        <v>12.43</v>
      </c>
      <c r="EU24" s="228">
        <v>290.98</v>
      </c>
      <c r="EV24" s="231">
        <v>5401993</v>
      </c>
      <c r="EW24" s="228">
        <v>322.37</v>
      </c>
      <c r="EX24" s="228">
        <v>466.31</v>
      </c>
      <c r="EY24" s="228">
        <v>-143.94</v>
      </c>
      <c r="EZ24" s="229">
        <v>-0.30869999999999997</v>
      </c>
      <c r="FA24" s="229">
        <v>5.62E-2</v>
      </c>
      <c r="FB24" s="227" t="s">
        <v>691</v>
      </c>
      <c r="FC24">
        <f t="shared" si="0"/>
        <v>246</v>
      </c>
    </row>
    <row r="25" spans="1:159" ht="17.25" thickBot="1" x14ac:dyDescent="0.3">
      <c r="A25" s="226">
        <v>46168</v>
      </c>
      <c r="B25" s="227" t="s">
        <v>175</v>
      </c>
      <c r="C25" s="227" t="s">
        <v>177</v>
      </c>
      <c r="D25" s="228">
        <v>750</v>
      </c>
      <c r="E25" s="228">
        <v>0</v>
      </c>
      <c r="F25" s="228">
        <v>928.1</v>
      </c>
      <c r="G25" s="228">
        <v>943.4</v>
      </c>
      <c r="H25" s="228">
        <v>-15.3</v>
      </c>
      <c r="I25" s="229">
        <v>-1.6199999999999999E-2</v>
      </c>
      <c r="J25" s="228">
        <v>930.2</v>
      </c>
      <c r="K25" s="228">
        <v>941.9</v>
      </c>
      <c r="L25" s="228">
        <v>-11.7</v>
      </c>
      <c r="M25" s="229">
        <v>-1.24E-2</v>
      </c>
      <c r="N25" s="228">
        <v>928.55</v>
      </c>
      <c r="O25" s="228">
        <v>944.25</v>
      </c>
      <c r="P25" s="228">
        <v>-15.7</v>
      </c>
      <c r="Q25" s="229">
        <v>-1.66E-2</v>
      </c>
      <c r="R25" s="228">
        <v>928.1</v>
      </c>
      <c r="S25" s="228">
        <v>943.4</v>
      </c>
      <c r="T25" s="228">
        <v>-15.3</v>
      </c>
      <c r="U25" s="229">
        <v>-1.6199999999999999E-2</v>
      </c>
      <c r="V25" s="228">
        <v>934.9</v>
      </c>
      <c r="W25" s="228">
        <v>948.5</v>
      </c>
      <c r="X25" s="228">
        <v>-13.6</v>
      </c>
      <c r="Y25" s="229">
        <v>-1.43E-2</v>
      </c>
      <c r="Z25" s="228">
        <v>-2.1</v>
      </c>
      <c r="AA25" s="228">
        <v>2.35</v>
      </c>
      <c r="AB25" s="228">
        <v>-4.45</v>
      </c>
      <c r="AC25" s="229">
        <v>-2.3E-3</v>
      </c>
      <c r="AD25" s="228">
        <v>-1.65</v>
      </c>
      <c r="AE25" s="228">
        <v>2.35</v>
      </c>
      <c r="AF25" s="228">
        <v>-4</v>
      </c>
      <c r="AG25" s="229">
        <v>-1.8E-3</v>
      </c>
      <c r="AH25" s="228">
        <v>-2.1</v>
      </c>
      <c r="AI25" s="228">
        <v>1.5</v>
      </c>
      <c r="AJ25" s="228">
        <v>-3.6</v>
      </c>
      <c r="AK25" s="229">
        <v>-2.3E-3</v>
      </c>
      <c r="AL25" s="228">
        <v>4.7</v>
      </c>
      <c r="AM25" s="228">
        <v>6.6</v>
      </c>
      <c r="AN25" s="228">
        <v>-1.9</v>
      </c>
      <c r="AO25" s="229">
        <v>5.1000000000000004E-3</v>
      </c>
      <c r="AP25" s="228">
        <v>936.62</v>
      </c>
      <c r="AQ25" s="228">
        <v>936.34</v>
      </c>
      <c r="AR25" s="228">
        <v>0</v>
      </c>
      <c r="AS25" s="230">
        <v>1213</v>
      </c>
      <c r="AT25" s="230">
        <v>3080</v>
      </c>
      <c r="AU25" s="230">
        <v>-1867</v>
      </c>
      <c r="AV25" s="229">
        <v>-0.60629999999999995</v>
      </c>
      <c r="AW25" s="228">
        <v>309</v>
      </c>
      <c r="AX25" s="230">
        <v>1386</v>
      </c>
      <c r="AY25" s="230">
        <v>-1077</v>
      </c>
      <c r="AZ25" s="229">
        <v>-0.7772</v>
      </c>
      <c r="BA25" s="228">
        <v>881</v>
      </c>
      <c r="BB25" s="230">
        <v>1673</v>
      </c>
      <c r="BC25" s="228">
        <v>-792</v>
      </c>
      <c r="BD25" s="229">
        <v>-0.4733</v>
      </c>
      <c r="BE25" s="228">
        <v>22</v>
      </c>
      <c r="BF25" s="228">
        <v>21</v>
      </c>
      <c r="BG25" s="228">
        <v>2</v>
      </c>
      <c r="BH25" s="229">
        <v>8.3900000000000002E-2</v>
      </c>
      <c r="BI25" s="230">
        <v>2072</v>
      </c>
      <c r="BJ25" s="230">
        <v>3864</v>
      </c>
      <c r="BK25" s="230">
        <v>-1792</v>
      </c>
      <c r="BL25" s="229">
        <v>-0.46379999999999999</v>
      </c>
      <c r="BM25" s="230">
        <v>1133</v>
      </c>
      <c r="BN25" s="230">
        <v>2026</v>
      </c>
      <c r="BO25" s="228">
        <v>-893</v>
      </c>
      <c r="BP25" s="229">
        <v>-0.44059999999999999</v>
      </c>
      <c r="BQ25" s="230">
        <v>4418</v>
      </c>
      <c r="BR25" s="230">
        <v>8970</v>
      </c>
      <c r="BS25" s="230">
        <v>-4552</v>
      </c>
      <c r="BT25" s="229">
        <v>-0.50749999999999995</v>
      </c>
      <c r="BU25" s="230">
        <v>8872665</v>
      </c>
      <c r="BV25" s="230">
        <v>7291551</v>
      </c>
      <c r="BW25" s="230">
        <v>1581114</v>
      </c>
      <c r="BX25" s="229">
        <v>0.21679999999999999</v>
      </c>
      <c r="BY25" s="230">
        <v>6808</v>
      </c>
      <c r="BZ25" s="230">
        <v>6765</v>
      </c>
      <c r="CA25" s="228">
        <v>43</v>
      </c>
      <c r="CB25" s="229">
        <v>6.3E-3</v>
      </c>
      <c r="CC25" s="228">
        <v>111</v>
      </c>
      <c r="CD25" s="228">
        <v>241</v>
      </c>
      <c r="CE25" s="228">
        <v>-130</v>
      </c>
      <c r="CF25" s="229">
        <v>-0.53979999999999995</v>
      </c>
      <c r="CG25" s="230">
        <v>6687</v>
      </c>
      <c r="CH25" s="230">
        <v>6412</v>
      </c>
      <c r="CI25" s="228">
        <v>275</v>
      </c>
      <c r="CJ25" s="229">
        <v>4.2900000000000001E-2</v>
      </c>
      <c r="CK25" s="228">
        <v>121</v>
      </c>
      <c r="CL25" s="228">
        <v>113</v>
      </c>
      <c r="CM25" s="228">
        <v>8</v>
      </c>
      <c r="CN25" s="229">
        <v>7.0300000000000001E-2</v>
      </c>
      <c r="CO25" s="228">
        <v>740</v>
      </c>
      <c r="CP25" s="230">
        <v>1638</v>
      </c>
      <c r="CQ25" s="228">
        <v>-899</v>
      </c>
      <c r="CR25" s="229">
        <v>-0.54859999999999998</v>
      </c>
      <c r="CS25" s="228">
        <v>669</v>
      </c>
      <c r="CT25" s="230">
        <v>1221</v>
      </c>
      <c r="CU25" s="228">
        <v>-552</v>
      </c>
      <c r="CV25" s="229">
        <v>-0.45219999999999999</v>
      </c>
      <c r="CW25" s="230">
        <v>8216</v>
      </c>
      <c r="CX25" s="230">
        <v>9624</v>
      </c>
      <c r="CY25" s="230">
        <v>-1408</v>
      </c>
      <c r="CZ25" s="229">
        <v>-0.14630000000000001</v>
      </c>
      <c r="DA25" s="228">
        <v>25.96</v>
      </c>
      <c r="DB25" s="228">
        <v>26.28</v>
      </c>
      <c r="DC25" s="228">
        <v>-0.32</v>
      </c>
      <c r="DD25" s="228">
        <v>-0.32</v>
      </c>
      <c r="DE25" s="228">
        <v>35.159999999999997</v>
      </c>
      <c r="DF25" s="228">
        <v>35.200000000000003</v>
      </c>
      <c r="DG25" s="228">
        <v>-9.1999999999999993</v>
      </c>
      <c r="DH25" s="228">
        <v>-0.04</v>
      </c>
      <c r="DI25" s="228">
        <v>25.92</v>
      </c>
      <c r="DJ25" s="228">
        <v>26.21</v>
      </c>
      <c r="DK25" s="228">
        <v>-0.28999999999999998</v>
      </c>
      <c r="DL25" s="228">
        <v>-0.28999999999999998</v>
      </c>
      <c r="DM25" s="228">
        <v>26.03</v>
      </c>
      <c r="DN25" s="228">
        <v>26.39</v>
      </c>
      <c r="DO25" s="228">
        <v>-0.36</v>
      </c>
      <c r="DP25" s="228">
        <v>-0.36</v>
      </c>
      <c r="DQ25" s="228">
        <v>0.9</v>
      </c>
      <c r="DR25" s="228">
        <v>0.75</v>
      </c>
      <c r="DS25" s="228">
        <v>0.15</v>
      </c>
      <c r="DT25" s="229">
        <v>0.2</v>
      </c>
      <c r="DU25" s="228">
        <v>950</v>
      </c>
      <c r="DV25" s="228">
        <v>950</v>
      </c>
      <c r="DW25" s="228">
        <v>0.55000000000000004</v>
      </c>
      <c r="DX25" s="228">
        <v>0.52</v>
      </c>
      <c r="DY25" s="228">
        <v>0.03</v>
      </c>
      <c r="DZ25" s="229">
        <v>5.7700000000000001E-2</v>
      </c>
      <c r="EA25" s="229">
        <v>0.98399999999999999</v>
      </c>
      <c r="EB25" s="230">
        <v>70300500</v>
      </c>
      <c r="EC25" s="229">
        <v>-5.0000000000000001E-4</v>
      </c>
      <c r="ED25" s="229">
        <v>0.98399999999999999</v>
      </c>
      <c r="EE25" s="228">
        <v>-0.28000000000000003</v>
      </c>
      <c r="EF25" s="229">
        <v>-2.9999999999999997E-4</v>
      </c>
      <c r="EG25" s="230">
        <v>5240329</v>
      </c>
      <c r="EH25" s="230">
        <v>4090622</v>
      </c>
      <c r="EI25" s="229">
        <v>0.28110000000000002</v>
      </c>
      <c r="EJ25" s="229">
        <v>0.59060000000000001</v>
      </c>
      <c r="EK25" s="231">
        <v>2181.0100000000002</v>
      </c>
      <c r="EL25" s="231">
        <v>1141.49</v>
      </c>
      <c r="EM25" s="231">
        <v>1223.5999999999999</v>
      </c>
      <c r="EN25" s="228">
        <v>399.11</v>
      </c>
      <c r="EO25" s="231">
        <v>4546.1099999999997</v>
      </c>
      <c r="EP25" s="231">
        <v>9173.6200000000008</v>
      </c>
      <c r="EQ25" s="231">
        <v>-4627.51</v>
      </c>
      <c r="ER25" s="229">
        <v>-0.50439999999999996</v>
      </c>
      <c r="ES25" s="228">
        <v>763.21</v>
      </c>
      <c r="ET25" s="228">
        <v>667.25</v>
      </c>
      <c r="EU25" s="231">
        <v>6808.78</v>
      </c>
      <c r="EV25" s="231">
        <v>387962395</v>
      </c>
      <c r="EW25" s="231">
        <v>8239.24</v>
      </c>
      <c r="EX25" s="231">
        <v>9782.4699999999993</v>
      </c>
      <c r="EY25" s="231">
        <v>-1543.23</v>
      </c>
      <c r="EZ25" s="229">
        <v>-0.1578</v>
      </c>
      <c r="FA25" s="229">
        <v>0.22819999999999999</v>
      </c>
      <c r="FB25" s="227" t="s">
        <v>566</v>
      </c>
      <c r="FC25">
        <f t="shared" si="0"/>
        <v>6697</v>
      </c>
    </row>
    <row r="26" spans="1:159" ht="17.25" thickBot="1" x14ac:dyDescent="0.3">
      <c r="A26" s="226">
        <v>46168</v>
      </c>
      <c r="B26" s="227" t="s">
        <v>172</v>
      </c>
      <c r="C26" s="227" t="s">
        <v>179</v>
      </c>
      <c r="D26" s="228">
        <v>3600</v>
      </c>
      <c r="E26" s="228">
        <v>0</v>
      </c>
      <c r="F26" s="228">
        <v>202.22</v>
      </c>
      <c r="G26" s="228">
        <v>198.9</v>
      </c>
      <c r="H26" s="228">
        <v>3.32</v>
      </c>
      <c r="I26" s="229">
        <v>1.67E-2</v>
      </c>
      <c r="J26" s="228">
        <v>200.4</v>
      </c>
      <c r="K26" s="228">
        <v>196.97</v>
      </c>
      <c r="L26" s="228">
        <v>3.43</v>
      </c>
      <c r="M26" s="229">
        <v>1.7399999999999999E-2</v>
      </c>
      <c r="N26" s="228">
        <v>200.59</v>
      </c>
      <c r="O26" s="228">
        <v>197.52</v>
      </c>
      <c r="P26" s="228">
        <v>3.07</v>
      </c>
      <c r="Q26" s="229">
        <v>1.55E-2</v>
      </c>
      <c r="R26" s="228">
        <v>202.22</v>
      </c>
      <c r="S26" s="228">
        <v>198.9</v>
      </c>
      <c r="T26" s="228">
        <v>3.32</v>
      </c>
      <c r="U26" s="229">
        <v>1.67E-2</v>
      </c>
      <c r="V26" s="228">
        <v>203.84</v>
      </c>
      <c r="W26" s="228">
        <v>199.67</v>
      </c>
      <c r="X26" s="228">
        <v>4.17</v>
      </c>
      <c r="Y26" s="229">
        <v>2.0899999999999998E-2</v>
      </c>
      <c r="Z26" s="228">
        <v>1.82</v>
      </c>
      <c r="AA26" s="228">
        <v>0.55000000000000004</v>
      </c>
      <c r="AB26" s="228">
        <v>1.27</v>
      </c>
      <c r="AC26" s="229">
        <v>9.1000000000000004E-3</v>
      </c>
      <c r="AD26" s="228">
        <v>0.19</v>
      </c>
      <c r="AE26" s="228">
        <v>0.55000000000000004</v>
      </c>
      <c r="AF26" s="228">
        <v>-0.36</v>
      </c>
      <c r="AG26" s="229">
        <v>8.9999999999999998E-4</v>
      </c>
      <c r="AH26" s="228">
        <v>1.82</v>
      </c>
      <c r="AI26" s="228">
        <v>1.93</v>
      </c>
      <c r="AJ26" s="228">
        <v>-0.11</v>
      </c>
      <c r="AK26" s="229">
        <v>9.1000000000000004E-3</v>
      </c>
      <c r="AL26" s="228">
        <v>3.44</v>
      </c>
      <c r="AM26" s="228">
        <v>2.7</v>
      </c>
      <c r="AN26" s="228">
        <v>0.74</v>
      </c>
      <c r="AO26" s="229">
        <v>1.72E-2</v>
      </c>
      <c r="AP26" s="228">
        <v>201.42</v>
      </c>
      <c r="AQ26" s="228">
        <v>202.84</v>
      </c>
      <c r="AR26" s="228">
        <v>0</v>
      </c>
      <c r="AS26" s="228">
        <v>983</v>
      </c>
      <c r="AT26" s="230">
        <v>1412</v>
      </c>
      <c r="AU26" s="228">
        <v>-429</v>
      </c>
      <c r="AV26" s="229">
        <v>-0.30409999999999998</v>
      </c>
      <c r="AW26" s="228">
        <v>357</v>
      </c>
      <c r="AX26" s="228">
        <v>635</v>
      </c>
      <c r="AY26" s="228">
        <v>-278</v>
      </c>
      <c r="AZ26" s="229">
        <v>-0.43819999999999998</v>
      </c>
      <c r="BA26" s="228">
        <v>616</v>
      </c>
      <c r="BB26" s="228">
        <v>772</v>
      </c>
      <c r="BC26" s="228">
        <v>-156</v>
      </c>
      <c r="BD26" s="229">
        <v>-0.20169999999999999</v>
      </c>
      <c r="BE26" s="228">
        <v>10</v>
      </c>
      <c r="BF26" s="228">
        <v>6</v>
      </c>
      <c r="BG26" s="228">
        <v>4</v>
      </c>
      <c r="BH26" s="229">
        <v>0.78210000000000002</v>
      </c>
      <c r="BI26" s="230">
        <v>1391</v>
      </c>
      <c r="BJ26" s="228">
        <v>787</v>
      </c>
      <c r="BK26" s="228">
        <v>604</v>
      </c>
      <c r="BL26" s="229">
        <v>0.76790000000000003</v>
      </c>
      <c r="BM26" s="228">
        <v>457</v>
      </c>
      <c r="BN26" s="228">
        <v>297</v>
      </c>
      <c r="BO26" s="228">
        <v>160</v>
      </c>
      <c r="BP26" s="229">
        <v>0.53869999999999996</v>
      </c>
      <c r="BQ26" s="230">
        <v>2831</v>
      </c>
      <c r="BR26" s="230">
        <v>2496</v>
      </c>
      <c r="BS26" s="228">
        <v>335</v>
      </c>
      <c r="BT26" s="229">
        <v>0.1341</v>
      </c>
      <c r="BU26" s="230">
        <v>18677546</v>
      </c>
      <c r="BV26" s="230">
        <v>12175856</v>
      </c>
      <c r="BW26" s="230">
        <v>6501690</v>
      </c>
      <c r="BX26" s="229">
        <v>0.53400000000000003</v>
      </c>
      <c r="BY26" s="230">
        <v>2093</v>
      </c>
      <c r="BZ26" s="230">
        <v>2052</v>
      </c>
      <c r="CA26" s="228">
        <v>41</v>
      </c>
      <c r="CB26" s="229">
        <v>2.01E-2</v>
      </c>
      <c r="CC26" s="228">
        <v>69</v>
      </c>
      <c r="CD26" s="228">
        <v>221</v>
      </c>
      <c r="CE26" s="228">
        <v>-152</v>
      </c>
      <c r="CF26" s="229">
        <v>-0.68759999999999999</v>
      </c>
      <c r="CG26" s="230">
        <v>2067</v>
      </c>
      <c r="CH26" s="230">
        <v>1811</v>
      </c>
      <c r="CI26" s="228">
        <v>256</v>
      </c>
      <c r="CJ26" s="229">
        <v>0.1414</v>
      </c>
      <c r="CK26" s="228">
        <v>26</v>
      </c>
      <c r="CL26" s="228">
        <v>20</v>
      </c>
      <c r="CM26" s="228">
        <v>6</v>
      </c>
      <c r="CN26" s="229">
        <v>0.30659999999999998</v>
      </c>
      <c r="CO26" s="228">
        <v>373</v>
      </c>
      <c r="CP26" s="228">
        <v>758</v>
      </c>
      <c r="CQ26" s="228">
        <v>-385</v>
      </c>
      <c r="CR26" s="229">
        <v>-0.50749999999999995</v>
      </c>
      <c r="CS26" s="228">
        <v>226</v>
      </c>
      <c r="CT26" s="228">
        <v>497</v>
      </c>
      <c r="CU26" s="228">
        <v>-271</v>
      </c>
      <c r="CV26" s="229">
        <v>-0.54569999999999996</v>
      </c>
      <c r="CW26" s="230">
        <v>2692</v>
      </c>
      <c r="CX26" s="230">
        <v>3307</v>
      </c>
      <c r="CY26" s="228">
        <v>-615</v>
      </c>
      <c r="CZ26" s="229">
        <v>-0.18590000000000001</v>
      </c>
      <c r="DA26" s="228">
        <v>32.47</v>
      </c>
      <c r="DB26" s="228">
        <v>35.08</v>
      </c>
      <c r="DC26" s="228">
        <v>-2.61</v>
      </c>
      <c r="DD26" s="228">
        <v>-2.61</v>
      </c>
      <c r="DE26" s="228">
        <v>46.62</v>
      </c>
      <c r="DF26" s="228">
        <v>46.69</v>
      </c>
      <c r="DG26" s="228">
        <v>-14.15</v>
      </c>
      <c r="DH26" s="228">
        <v>-7.0000000000000007E-2</v>
      </c>
      <c r="DI26" s="228">
        <v>32.56</v>
      </c>
      <c r="DJ26" s="228">
        <v>35.43</v>
      </c>
      <c r="DK26" s="228">
        <v>-2.87</v>
      </c>
      <c r="DL26" s="228">
        <v>-2.87</v>
      </c>
      <c r="DM26" s="228">
        <v>32.159999999999997</v>
      </c>
      <c r="DN26" s="228">
        <v>34.31</v>
      </c>
      <c r="DO26" s="228">
        <v>-2.15</v>
      </c>
      <c r="DP26" s="228">
        <v>-2.15</v>
      </c>
      <c r="DQ26" s="228">
        <v>0.61</v>
      </c>
      <c r="DR26" s="228">
        <v>0.66</v>
      </c>
      <c r="DS26" s="228">
        <v>-0.05</v>
      </c>
      <c r="DT26" s="229">
        <v>-7.5800000000000006E-2</v>
      </c>
      <c r="DU26" s="228">
        <v>200</v>
      </c>
      <c r="DV26" s="228">
        <v>200</v>
      </c>
      <c r="DW26" s="228">
        <v>0.33</v>
      </c>
      <c r="DX26" s="228">
        <v>0.38</v>
      </c>
      <c r="DY26" s="228">
        <v>-0.05</v>
      </c>
      <c r="DZ26" s="229">
        <v>-0.13159999999999999</v>
      </c>
      <c r="EA26" s="229">
        <v>0.96809999999999996</v>
      </c>
      <c r="EB26" s="230">
        <v>90554400</v>
      </c>
      <c r="EC26" s="229">
        <v>8.0999999999999996E-3</v>
      </c>
      <c r="ED26" s="229">
        <v>0.96809999999999996</v>
      </c>
      <c r="EE26" s="228">
        <v>1.42</v>
      </c>
      <c r="EF26" s="229">
        <v>7.0000000000000001E-3</v>
      </c>
      <c r="EG26" s="230">
        <v>7604141</v>
      </c>
      <c r="EH26" s="230">
        <v>5265599</v>
      </c>
      <c r="EI26" s="229">
        <v>0.44409999999999999</v>
      </c>
      <c r="EJ26" s="229">
        <v>0.40710000000000002</v>
      </c>
      <c r="EK26" s="231">
        <v>1454.11</v>
      </c>
      <c r="EL26" s="228">
        <v>447.4</v>
      </c>
      <c r="EM26" s="228">
        <v>983.36</v>
      </c>
      <c r="EN26" s="228">
        <v>120.33</v>
      </c>
      <c r="EO26" s="231">
        <v>2884.87</v>
      </c>
      <c r="EP26" s="231">
        <v>2479.7399999999998</v>
      </c>
      <c r="EQ26" s="228">
        <v>405.13</v>
      </c>
      <c r="ER26" s="229">
        <v>0.16339999999999999</v>
      </c>
      <c r="ES26" s="228">
        <v>384.64</v>
      </c>
      <c r="ET26" s="228">
        <v>216.08</v>
      </c>
      <c r="EU26" s="231">
        <v>2093.5500000000002</v>
      </c>
      <c r="EV26" s="231">
        <v>145616308</v>
      </c>
      <c r="EW26" s="231">
        <v>2694.27</v>
      </c>
      <c r="EX26" s="231">
        <v>3247.22</v>
      </c>
      <c r="EY26" s="228">
        <v>-552.95000000000005</v>
      </c>
      <c r="EZ26" s="229">
        <v>-0.17030000000000001</v>
      </c>
      <c r="FA26" s="229">
        <v>0.9143</v>
      </c>
      <c r="FB26" s="227" t="s">
        <v>555</v>
      </c>
      <c r="FC26">
        <f t="shared" si="0"/>
        <v>2024</v>
      </c>
    </row>
    <row r="27" spans="1:159" ht="17.25" thickBot="1" x14ac:dyDescent="0.3">
      <c r="A27" s="226">
        <v>46168</v>
      </c>
      <c r="B27" s="227" t="s">
        <v>172</v>
      </c>
      <c r="C27" s="227" t="s">
        <v>180</v>
      </c>
      <c r="D27" s="228">
        <v>2925</v>
      </c>
      <c r="E27" s="228">
        <v>0</v>
      </c>
      <c r="F27" s="228">
        <v>272.85000000000002</v>
      </c>
      <c r="G27" s="228">
        <v>274.55</v>
      </c>
      <c r="H27" s="228">
        <v>-1.7</v>
      </c>
      <c r="I27" s="229">
        <v>-6.1999999999999998E-3</v>
      </c>
      <c r="J27" s="228">
        <v>270.55</v>
      </c>
      <c r="K27" s="228">
        <v>272.25</v>
      </c>
      <c r="L27" s="228">
        <v>-1.7</v>
      </c>
      <c r="M27" s="229">
        <v>-6.1999999999999998E-3</v>
      </c>
      <c r="N27" s="228">
        <v>271.05</v>
      </c>
      <c r="O27" s="228">
        <v>272.85000000000002</v>
      </c>
      <c r="P27" s="228">
        <v>-1.8</v>
      </c>
      <c r="Q27" s="229">
        <v>-6.6E-3</v>
      </c>
      <c r="R27" s="228">
        <v>272.85000000000002</v>
      </c>
      <c r="S27" s="228">
        <v>274.55</v>
      </c>
      <c r="T27" s="228">
        <v>-1.7</v>
      </c>
      <c r="U27" s="229">
        <v>-6.1999999999999998E-3</v>
      </c>
      <c r="V27" s="228">
        <v>274.45</v>
      </c>
      <c r="W27" s="228">
        <v>275.95</v>
      </c>
      <c r="X27" s="228">
        <v>-1.5</v>
      </c>
      <c r="Y27" s="229">
        <v>-5.4000000000000003E-3</v>
      </c>
      <c r="Z27" s="228">
        <v>2.2999999999999998</v>
      </c>
      <c r="AA27" s="228">
        <v>0.6</v>
      </c>
      <c r="AB27" s="228">
        <v>1.7</v>
      </c>
      <c r="AC27" s="229">
        <v>8.5000000000000006E-3</v>
      </c>
      <c r="AD27" s="228">
        <v>0.5</v>
      </c>
      <c r="AE27" s="228">
        <v>0.6</v>
      </c>
      <c r="AF27" s="228">
        <v>-0.1</v>
      </c>
      <c r="AG27" s="229">
        <v>1.8E-3</v>
      </c>
      <c r="AH27" s="228">
        <v>2.2999999999999998</v>
      </c>
      <c r="AI27" s="228">
        <v>2.2999999999999998</v>
      </c>
      <c r="AJ27" s="228">
        <v>0</v>
      </c>
      <c r="AK27" s="229">
        <v>8.5000000000000006E-3</v>
      </c>
      <c r="AL27" s="228">
        <v>3.9</v>
      </c>
      <c r="AM27" s="228">
        <v>3.7</v>
      </c>
      <c r="AN27" s="228">
        <v>0.2</v>
      </c>
      <c r="AO27" s="229">
        <v>1.44E-2</v>
      </c>
      <c r="AP27" s="228">
        <v>271.54000000000002</v>
      </c>
      <c r="AQ27" s="228">
        <v>273.42</v>
      </c>
      <c r="AR27" s="228">
        <v>0</v>
      </c>
      <c r="AS27" s="230">
        <v>1119</v>
      </c>
      <c r="AT27" s="230">
        <v>1987</v>
      </c>
      <c r="AU27" s="228">
        <v>-868</v>
      </c>
      <c r="AV27" s="229">
        <v>-0.43669999999999998</v>
      </c>
      <c r="AW27" s="228">
        <v>435</v>
      </c>
      <c r="AX27" s="228">
        <v>857</v>
      </c>
      <c r="AY27" s="228">
        <v>-421</v>
      </c>
      <c r="AZ27" s="229">
        <v>-0.49199999999999999</v>
      </c>
      <c r="BA27" s="228">
        <v>672</v>
      </c>
      <c r="BB27" s="230">
        <v>1117</v>
      </c>
      <c r="BC27" s="228">
        <v>-445</v>
      </c>
      <c r="BD27" s="229">
        <v>-0.39810000000000001</v>
      </c>
      <c r="BE27" s="228">
        <v>12</v>
      </c>
      <c r="BF27" s="228">
        <v>13</v>
      </c>
      <c r="BG27" s="228">
        <v>-2</v>
      </c>
      <c r="BH27" s="229">
        <v>-0.1138</v>
      </c>
      <c r="BI27" s="228">
        <v>872</v>
      </c>
      <c r="BJ27" s="230">
        <v>1616</v>
      </c>
      <c r="BK27" s="228">
        <v>-744</v>
      </c>
      <c r="BL27" s="229">
        <v>-0.46029999999999999</v>
      </c>
      <c r="BM27" s="228">
        <v>497</v>
      </c>
      <c r="BN27" s="228">
        <v>872</v>
      </c>
      <c r="BO27" s="228">
        <v>-375</v>
      </c>
      <c r="BP27" s="229">
        <v>-0.42980000000000002</v>
      </c>
      <c r="BQ27" s="230">
        <v>2489</v>
      </c>
      <c r="BR27" s="230">
        <v>4475</v>
      </c>
      <c r="BS27" s="230">
        <v>-1986</v>
      </c>
      <c r="BT27" s="229">
        <v>-0.44390000000000002</v>
      </c>
      <c r="BU27" s="230">
        <v>10421729</v>
      </c>
      <c r="BV27" s="230">
        <v>18019324</v>
      </c>
      <c r="BW27" s="230">
        <v>-7597595</v>
      </c>
      <c r="BX27" s="229">
        <v>-0.42159999999999997</v>
      </c>
      <c r="BY27" s="230">
        <v>3243</v>
      </c>
      <c r="BZ27" s="230">
        <v>3594</v>
      </c>
      <c r="CA27" s="228">
        <v>-351</v>
      </c>
      <c r="CB27" s="229">
        <v>-9.7600000000000006E-2</v>
      </c>
      <c r="CC27" s="228">
        <v>391</v>
      </c>
      <c r="CD27" s="228">
        <v>692</v>
      </c>
      <c r="CE27" s="228">
        <v>-301</v>
      </c>
      <c r="CF27" s="229">
        <v>-0.43459999999999999</v>
      </c>
      <c r="CG27" s="230">
        <v>3171</v>
      </c>
      <c r="CH27" s="230">
        <v>2836</v>
      </c>
      <c r="CI27" s="228">
        <v>335</v>
      </c>
      <c r="CJ27" s="229">
        <v>0.1183</v>
      </c>
      <c r="CK27" s="228">
        <v>72</v>
      </c>
      <c r="CL27" s="228">
        <v>67</v>
      </c>
      <c r="CM27" s="228">
        <v>6</v>
      </c>
      <c r="CN27" s="229">
        <v>8.3900000000000002E-2</v>
      </c>
      <c r="CO27" s="228">
        <v>461</v>
      </c>
      <c r="CP27" s="230">
        <v>1204</v>
      </c>
      <c r="CQ27" s="228">
        <v>-743</v>
      </c>
      <c r="CR27" s="229">
        <v>-0.61739999999999995</v>
      </c>
      <c r="CS27" s="228">
        <v>572</v>
      </c>
      <c r="CT27" s="230">
        <v>1078</v>
      </c>
      <c r="CU27" s="228">
        <v>-506</v>
      </c>
      <c r="CV27" s="229">
        <v>-0.46960000000000002</v>
      </c>
      <c r="CW27" s="230">
        <v>4275</v>
      </c>
      <c r="CX27" s="230">
        <v>5876</v>
      </c>
      <c r="CY27" s="230">
        <v>-1600</v>
      </c>
      <c r="CZ27" s="229">
        <v>-0.27229999999999999</v>
      </c>
      <c r="DA27" s="228">
        <v>26.17</v>
      </c>
      <c r="DB27" s="228">
        <v>25.97</v>
      </c>
      <c r="DC27" s="228">
        <v>0.2</v>
      </c>
      <c r="DD27" s="228">
        <v>0.2</v>
      </c>
      <c r="DE27" s="228">
        <v>36.1</v>
      </c>
      <c r="DF27" s="228">
        <v>36.18</v>
      </c>
      <c r="DG27" s="228">
        <v>-9.93</v>
      </c>
      <c r="DH27" s="228">
        <v>-0.08</v>
      </c>
      <c r="DI27" s="228">
        <v>25.71</v>
      </c>
      <c r="DJ27" s="228">
        <v>26</v>
      </c>
      <c r="DK27" s="228">
        <v>-0.28999999999999998</v>
      </c>
      <c r="DL27" s="228">
        <v>-0.28999999999999998</v>
      </c>
      <c r="DM27" s="228">
        <v>26.86</v>
      </c>
      <c r="DN27" s="228">
        <v>25.92</v>
      </c>
      <c r="DO27" s="228">
        <v>0.94</v>
      </c>
      <c r="DP27" s="228">
        <v>0.94</v>
      </c>
      <c r="DQ27" s="228">
        <v>1.24</v>
      </c>
      <c r="DR27" s="228">
        <v>0.9</v>
      </c>
      <c r="DS27" s="228">
        <v>0.34</v>
      </c>
      <c r="DT27" s="229">
        <v>0.37780000000000002</v>
      </c>
      <c r="DU27" s="228">
        <v>290</v>
      </c>
      <c r="DV27" s="228">
        <v>250</v>
      </c>
      <c r="DW27" s="228">
        <v>0.56999999999999995</v>
      </c>
      <c r="DX27" s="228">
        <v>0.54</v>
      </c>
      <c r="DY27" s="228">
        <v>0.03</v>
      </c>
      <c r="DZ27" s="229">
        <v>5.5599999999999997E-2</v>
      </c>
      <c r="EA27" s="229">
        <v>0.89239999999999997</v>
      </c>
      <c r="EB27" s="230">
        <v>106364700</v>
      </c>
      <c r="EC27" s="229">
        <v>6.6E-3</v>
      </c>
      <c r="ED27" s="229">
        <v>0.89239999999999997</v>
      </c>
      <c r="EE27" s="228">
        <v>1.88</v>
      </c>
      <c r="EF27" s="229">
        <v>6.8999999999999999E-3</v>
      </c>
      <c r="EG27" s="230">
        <v>4923276</v>
      </c>
      <c r="EH27" s="230">
        <v>13197528</v>
      </c>
      <c r="EI27" s="229">
        <v>-0.627</v>
      </c>
      <c r="EJ27" s="229">
        <v>0.47239999999999999</v>
      </c>
      <c r="EK27" s="228">
        <v>900.6</v>
      </c>
      <c r="EL27" s="228">
        <v>495.43</v>
      </c>
      <c r="EM27" s="231">
        <v>1118.8800000000001</v>
      </c>
      <c r="EN27" s="228">
        <v>161.41</v>
      </c>
      <c r="EO27" s="231">
        <v>2514.92</v>
      </c>
      <c r="EP27" s="231">
        <v>4502.57</v>
      </c>
      <c r="EQ27" s="231">
        <v>-1987.65</v>
      </c>
      <c r="ER27" s="229">
        <v>-0.44140000000000001</v>
      </c>
      <c r="ES27" s="228">
        <v>471.9</v>
      </c>
      <c r="ET27" s="228">
        <v>569.97</v>
      </c>
      <c r="EU27" s="231">
        <v>3243.53</v>
      </c>
      <c r="EV27" s="231">
        <v>279476623</v>
      </c>
      <c r="EW27" s="231">
        <v>4285.3900000000003</v>
      </c>
      <c r="EX27" s="231">
        <v>5910.43</v>
      </c>
      <c r="EY27" s="231">
        <v>-1625.04</v>
      </c>
      <c r="EZ27" s="229">
        <v>-0.27489999999999998</v>
      </c>
      <c r="FA27" s="229">
        <v>0.56069999999999998</v>
      </c>
      <c r="FB27" s="227" t="s">
        <v>567</v>
      </c>
      <c r="FC27">
        <f t="shared" si="0"/>
        <v>2852</v>
      </c>
    </row>
    <row r="28" spans="1:159" ht="17.25" thickBot="1" x14ac:dyDescent="0.3">
      <c r="A28" s="226">
        <v>46168</v>
      </c>
      <c r="B28" s="227" t="s">
        <v>172</v>
      </c>
      <c r="C28" s="227" t="s">
        <v>601</v>
      </c>
      <c r="D28" s="228">
        <v>5200</v>
      </c>
      <c r="E28" s="228">
        <v>0</v>
      </c>
      <c r="F28" s="228">
        <v>145.86000000000001</v>
      </c>
      <c r="G28" s="228">
        <v>147.26</v>
      </c>
      <c r="H28" s="228">
        <v>-1.4</v>
      </c>
      <c r="I28" s="229">
        <v>-9.4999999999999998E-3</v>
      </c>
      <c r="J28" s="228">
        <v>144.99</v>
      </c>
      <c r="K28" s="228">
        <v>146.01</v>
      </c>
      <c r="L28" s="228">
        <v>-1.02</v>
      </c>
      <c r="M28" s="229">
        <v>-7.0000000000000001E-3</v>
      </c>
      <c r="N28" s="228">
        <v>145.15</v>
      </c>
      <c r="O28" s="228">
        <v>146.25</v>
      </c>
      <c r="P28" s="228">
        <v>-1.1000000000000001</v>
      </c>
      <c r="Q28" s="229">
        <v>-7.4999999999999997E-3</v>
      </c>
      <c r="R28" s="228">
        <v>145.86000000000001</v>
      </c>
      <c r="S28" s="228">
        <v>147.26</v>
      </c>
      <c r="T28" s="228">
        <v>-1.4</v>
      </c>
      <c r="U28" s="229">
        <v>-9.4999999999999998E-3</v>
      </c>
      <c r="V28" s="228">
        <v>146.63999999999999</v>
      </c>
      <c r="W28" s="228">
        <v>147.9</v>
      </c>
      <c r="X28" s="228">
        <v>-1.26</v>
      </c>
      <c r="Y28" s="229">
        <v>-8.5000000000000006E-3</v>
      </c>
      <c r="Z28" s="228">
        <v>0.87</v>
      </c>
      <c r="AA28" s="228">
        <v>0.24</v>
      </c>
      <c r="AB28" s="228">
        <v>0.63</v>
      </c>
      <c r="AC28" s="229">
        <v>6.0000000000000001E-3</v>
      </c>
      <c r="AD28" s="228">
        <v>0.16</v>
      </c>
      <c r="AE28" s="228">
        <v>0.24</v>
      </c>
      <c r="AF28" s="228">
        <v>-0.08</v>
      </c>
      <c r="AG28" s="229">
        <v>1.1000000000000001E-3</v>
      </c>
      <c r="AH28" s="228">
        <v>0.87</v>
      </c>
      <c r="AI28" s="228">
        <v>1.25</v>
      </c>
      <c r="AJ28" s="228">
        <v>-0.38</v>
      </c>
      <c r="AK28" s="229">
        <v>6.0000000000000001E-3</v>
      </c>
      <c r="AL28" s="228">
        <v>1.65</v>
      </c>
      <c r="AM28" s="228">
        <v>1.89</v>
      </c>
      <c r="AN28" s="228">
        <v>-0.24</v>
      </c>
      <c r="AO28" s="229">
        <v>1.14E-2</v>
      </c>
      <c r="AP28" s="228">
        <v>144.99</v>
      </c>
      <c r="AQ28" s="228">
        <v>145.9</v>
      </c>
      <c r="AR28" s="228">
        <v>0</v>
      </c>
      <c r="AS28" s="228">
        <v>556</v>
      </c>
      <c r="AT28" s="228">
        <v>806</v>
      </c>
      <c r="AU28" s="228">
        <v>-250</v>
      </c>
      <c r="AV28" s="229">
        <v>-0.31</v>
      </c>
      <c r="AW28" s="228">
        <v>208</v>
      </c>
      <c r="AX28" s="228">
        <v>355</v>
      </c>
      <c r="AY28" s="228">
        <v>-147</v>
      </c>
      <c r="AZ28" s="229">
        <v>-0.41439999999999999</v>
      </c>
      <c r="BA28" s="228">
        <v>339</v>
      </c>
      <c r="BB28" s="228">
        <v>443</v>
      </c>
      <c r="BC28" s="228">
        <v>-104</v>
      </c>
      <c r="BD28" s="229">
        <v>-0.23400000000000001</v>
      </c>
      <c r="BE28" s="228">
        <v>8</v>
      </c>
      <c r="BF28" s="228">
        <v>7</v>
      </c>
      <c r="BG28" s="228">
        <v>1</v>
      </c>
      <c r="BH28" s="229">
        <v>0.1429</v>
      </c>
      <c r="BI28" s="228">
        <v>325</v>
      </c>
      <c r="BJ28" s="228">
        <v>743</v>
      </c>
      <c r="BK28" s="228">
        <v>-418</v>
      </c>
      <c r="BL28" s="229">
        <v>-0.5625</v>
      </c>
      <c r="BM28" s="228">
        <v>166</v>
      </c>
      <c r="BN28" s="228">
        <v>288</v>
      </c>
      <c r="BO28" s="228">
        <v>-122</v>
      </c>
      <c r="BP28" s="229">
        <v>-0.42320000000000002</v>
      </c>
      <c r="BQ28" s="230">
        <v>1047</v>
      </c>
      <c r="BR28" s="230">
        <v>1837</v>
      </c>
      <c r="BS28" s="228">
        <v>-790</v>
      </c>
      <c r="BT28" s="229">
        <v>-0.4299</v>
      </c>
      <c r="BU28" s="230">
        <v>13401760</v>
      </c>
      <c r="BV28" s="230">
        <v>13039192</v>
      </c>
      <c r="BW28" s="230">
        <v>362568</v>
      </c>
      <c r="BX28" s="229">
        <v>2.7799999999999998E-2</v>
      </c>
      <c r="BY28" s="228">
        <v>913</v>
      </c>
      <c r="BZ28" s="230">
        <v>1091</v>
      </c>
      <c r="CA28" s="228">
        <v>-178</v>
      </c>
      <c r="CB28" s="229">
        <v>-0.16339999999999999</v>
      </c>
      <c r="CC28" s="228">
        <v>137</v>
      </c>
      <c r="CD28" s="228">
        <v>249</v>
      </c>
      <c r="CE28" s="228">
        <v>-113</v>
      </c>
      <c r="CF28" s="229">
        <v>-0.45179999999999998</v>
      </c>
      <c r="CG28" s="228">
        <v>899</v>
      </c>
      <c r="CH28" s="228">
        <v>832</v>
      </c>
      <c r="CI28" s="228">
        <v>66</v>
      </c>
      <c r="CJ28" s="229">
        <v>7.9699999999999993E-2</v>
      </c>
      <c r="CK28" s="228">
        <v>14</v>
      </c>
      <c r="CL28" s="228">
        <v>10</v>
      </c>
      <c r="CM28" s="228">
        <v>4</v>
      </c>
      <c r="CN28" s="229">
        <v>0.43940000000000001</v>
      </c>
      <c r="CO28" s="228">
        <v>146</v>
      </c>
      <c r="CP28" s="228">
        <v>402</v>
      </c>
      <c r="CQ28" s="228">
        <v>-255</v>
      </c>
      <c r="CR28" s="229">
        <v>-0.63600000000000001</v>
      </c>
      <c r="CS28" s="228">
        <v>127</v>
      </c>
      <c r="CT28" s="228">
        <v>272</v>
      </c>
      <c r="CU28" s="228">
        <v>-145</v>
      </c>
      <c r="CV28" s="229">
        <v>-0.53210000000000002</v>
      </c>
      <c r="CW28" s="230">
        <v>1186</v>
      </c>
      <c r="CX28" s="230">
        <v>1765</v>
      </c>
      <c r="CY28" s="228">
        <v>-578</v>
      </c>
      <c r="CZ28" s="229">
        <v>-0.32769999999999999</v>
      </c>
      <c r="DA28" s="228">
        <v>30.96</v>
      </c>
      <c r="DB28" s="228">
        <v>32.5</v>
      </c>
      <c r="DC28" s="228">
        <v>-1.54</v>
      </c>
      <c r="DD28" s="228">
        <v>-1.54</v>
      </c>
      <c r="DE28" s="228">
        <v>42.18</v>
      </c>
      <c r="DF28" s="228">
        <v>42.27</v>
      </c>
      <c r="DG28" s="228">
        <v>-11.22</v>
      </c>
      <c r="DH28" s="228">
        <v>-0.09</v>
      </c>
      <c r="DI28" s="228">
        <v>30.81</v>
      </c>
      <c r="DJ28" s="228">
        <v>32.369999999999997</v>
      </c>
      <c r="DK28" s="228">
        <v>-1.56</v>
      </c>
      <c r="DL28" s="228">
        <v>-1.56</v>
      </c>
      <c r="DM28" s="228">
        <v>31.24</v>
      </c>
      <c r="DN28" s="228">
        <v>32.69</v>
      </c>
      <c r="DO28" s="228">
        <v>-1.45</v>
      </c>
      <c r="DP28" s="228">
        <v>-1.45</v>
      </c>
      <c r="DQ28" s="228">
        <v>0.87</v>
      </c>
      <c r="DR28" s="228">
        <v>0.68</v>
      </c>
      <c r="DS28" s="228">
        <v>0.19</v>
      </c>
      <c r="DT28" s="229">
        <v>0.27939999999999998</v>
      </c>
      <c r="DU28" s="228">
        <v>150</v>
      </c>
      <c r="DV28" s="228">
        <v>140</v>
      </c>
      <c r="DW28" s="228">
        <v>0.51</v>
      </c>
      <c r="DX28" s="228">
        <v>0.39</v>
      </c>
      <c r="DY28" s="228">
        <v>0.12</v>
      </c>
      <c r="DZ28" s="229">
        <v>0.30769999999999997</v>
      </c>
      <c r="EA28" s="229">
        <v>0.86990000000000001</v>
      </c>
      <c r="EB28" s="230">
        <v>57746000</v>
      </c>
      <c r="EC28" s="229">
        <v>4.8999999999999998E-3</v>
      </c>
      <c r="ED28" s="229">
        <v>0.86990000000000001</v>
      </c>
      <c r="EE28" s="228">
        <v>0.91</v>
      </c>
      <c r="EF28" s="229">
        <v>6.3E-3</v>
      </c>
      <c r="EG28" s="230">
        <v>6137128</v>
      </c>
      <c r="EH28" s="230">
        <v>6181080</v>
      </c>
      <c r="EI28" s="229">
        <v>-7.1000000000000004E-3</v>
      </c>
      <c r="EJ28" s="229">
        <v>0.45789999999999997</v>
      </c>
      <c r="EK28" s="228">
        <v>338.57</v>
      </c>
      <c r="EL28" s="228">
        <v>165.2</v>
      </c>
      <c r="EM28" s="228">
        <v>554.72</v>
      </c>
      <c r="EN28" s="228">
        <v>65.64</v>
      </c>
      <c r="EO28" s="231">
        <v>1058.5</v>
      </c>
      <c r="EP28" s="231">
        <v>1844.13</v>
      </c>
      <c r="EQ28" s="228">
        <v>-785.63</v>
      </c>
      <c r="ER28" s="229">
        <v>-0.42599999999999999</v>
      </c>
      <c r="ES28" s="228">
        <v>150.35</v>
      </c>
      <c r="ET28" s="228">
        <v>126.13</v>
      </c>
      <c r="EU28" s="228">
        <v>913.13</v>
      </c>
      <c r="EV28" s="231">
        <v>181770921</v>
      </c>
      <c r="EW28" s="231">
        <v>1189.6099999999999</v>
      </c>
      <c r="EX28" s="231">
        <v>1778.53</v>
      </c>
      <c r="EY28" s="228">
        <v>-588.91999999999996</v>
      </c>
      <c r="EZ28" s="229">
        <v>-0.33110000000000001</v>
      </c>
      <c r="FA28" s="229">
        <v>0.44750000000000001</v>
      </c>
      <c r="FB28" s="227" t="s">
        <v>567</v>
      </c>
      <c r="FC28">
        <f t="shared" si="0"/>
        <v>776</v>
      </c>
    </row>
    <row r="29" spans="1:159" s="195" customFormat="1" ht="17.25" thickBot="1" x14ac:dyDescent="0.3">
      <c r="A29" s="226">
        <v>46168</v>
      </c>
      <c r="B29" s="227" t="s">
        <v>181</v>
      </c>
      <c r="C29" s="227" t="s">
        <v>182</v>
      </c>
      <c r="D29" s="228">
        <v>30</v>
      </c>
      <c r="E29" s="228">
        <v>0</v>
      </c>
      <c r="F29" s="231">
        <v>55457.8</v>
      </c>
      <c r="G29" s="231">
        <v>55647.199999999997</v>
      </c>
      <c r="H29" s="228">
        <v>-189.4</v>
      </c>
      <c r="I29" s="229">
        <v>-3.3999999999999998E-3</v>
      </c>
      <c r="J29" s="231">
        <v>55092.9</v>
      </c>
      <c r="K29" s="231">
        <v>55293.65</v>
      </c>
      <c r="L29" s="228">
        <v>-200.75</v>
      </c>
      <c r="M29" s="229">
        <v>-3.5999999999999999E-3</v>
      </c>
      <c r="N29" s="231">
        <v>55090.8</v>
      </c>
      <c r="O29" s="231">
        <v>55431.4</v>
      </c>
      <c r="P29" s="228">
        <v>-340.6</v>
      </c>
      <c r="Q29" s="229">
        <v>-6.1000000000000004E-3</v>
      </c>
      <c r="R29" s="231">
        <v>55457.8</v>
      </c>
      <c r="S29" s="231">
        <v>55647.199999999997</v>
      </c>
      <c r="T29" s="228">
        <v>-189.4</v>
      </c>
      <c r="U29" s="229">
        <v>-3.3999999999999998E-3</v>
      </c>
      <c r="V29" s="231">
        <v>55754.400000000001</v>
      </c>
      <c r="W29" s="231">
        <v>55914.2</v>
      </c>
      <c r="X29" s="228">
        <v>-159.80000000000001</v>
      </c>
      <c r="Y29" s="229">
        <v>-2.8999999999999998E-3</v>
      </c>
      <c r="Z29" s="228">
        <v>364.9</v>
      </c>
      <c r="AA29" s="228">
        <v>137.75</v>
      </c>
      <c r="AB29" s="228">
        <v>227.15</v>
      </c>
      <c r="AC29" s="229">
        <v>6.6E-3</v>
      </c>
      <c r="AD29" s="228">
        <v>-2.1</v>
      </c>
      <c r="AE29" s="228">
        <v>137.75</v>
      </c>
      <c r="AF29" s="228">
        <v>-139.85</v>
      </c>
      <c r="AG29" s="229">
        <v>0</v>
      </c>
      <c r="AH29" s="228">
        <v>364.9</v>
      </c>
      <c r="AI29" s="228">
        <v>353.55</v>
      </c>
      <c r="AJ29" s="228">
        <v>11.35</v>
      </c>
      <c r="AK29" s="229">
        <v>6.6E-3</v>
      </c>
      <c r="AL29" s="228">
        <v>661.5</v>
      </c>
      <c r="AM29" s="228">
        <v>620.54999999999995</v>
      </c>
      <c r="AN29" s="228">
        <v>40.950000000000003</v>
      </c>
      <c r="AO29" s="229">
        <v>1.2E-2</v>
      </c>
      <c r="AP29" s="231">
        <v>55229.55</v>
      </c>
      <c r="AQ29" s="231">
        <v>55532.19</v>
      </c>
      <c r="AR29" s="228">
        <v>0</v>
      </c>
      <c r="AS29" s="230">
        <v>10213</v>
      </c>
      <c r="AT29" s="230">
        <v>11919</v>
      </c>
      <c r="AU29" s="230">
        <v>-1706</v>
      </c>
      <c r="AV29" s="229">
        <v>-0.1431</v>
      </c>
      <c r="AW29" s="230">
        <v>4136</v>
      </c>
      <c r="AX29" s="230">
        <v>5453</v>
      </c>
      <c r="AY29" s="230">
        <v>-1317</v>
      </c>
      <c r="AZ29" s="229">
        <v>-0.24149999999999999</v>
      </c>
      <c r="BA29" s="230">
        <v>5750</v>
      </c>
      <c r="BB29" s="230">
        <v>6079</v>
      </c>
      <c r="BC29" s="228">
        <v>-329</v>
      </c>
      <c r="BD29" s="229">
        <v>-5.4100000000000002E-2</v>
      </c>
      <c r="BE29" s="228">
        <v>327</v>
      </c>
      <c r="BF29" s="228">
        <v>387</v>
      </c>
      <c r="BG29" s="228">
        <v>-60</v>
      </c>
      <c r="BH29" s="229">
        <v>-0.1555</v>
      </c>
      <c r="BI29" s="230">
        <v>7377929</v>
      </c>
      <c r="BJ29" s="230">
        <v>1364545</v>
      </c>
      <c r="BK29" s="230">
        <v>6013384</v>
      </c>
      <c r="BL29" s="229">
        <v>4.4069000000000003</v>
      </c>
      <c r="BM29" s="230">
        <v>7373212</v>
      </c>
      <c r="BN29" s="230">
        <v>1206972</v>
      </c>
      <c r="BO29" s="230">
        <v>6166240</v>
      </c>
      <c r="BP29" s="229">
        <v>5.1089000000000002</v>
      </c>
      <c r="BQ29" s="230">
        <v>14761355</v>
      </c>
      <c r="BR29" s="230">
        <v>2583436</v>
      </c>
      <c r="BS29" s="230">
        <v>12177918</v>
      </c>
      <c r="BT29" s="229">
        <v>4.7138</v>
      </c>
      <c r="BU29" s="228">
        <v>0</v>
      </c>
      <c r="BV29" s="228">
        <v>0</v>
      </c>
      <c r="BW29" s="228">
        <v>0</v>
      </c>
      <c r="BX29" s="229">
        <v>0</v>
      </c>
      <c r="BY29" s="230">
        <v>14021</v>
      </c>
      <c r="BZ29" s="230">
        <v>17506</v>
      </c>
      <c r="CA29" s="230">
        <v>-3485</v>
      </c>
      <c r="CB29" s="229">
        <v>-0.1991</v>
      </c>
      <c r="CC29" s="230">
        <v>4589</v>
      </c>
      <c r="CD29" s="230">
        <v>6369</v>
      </c>
      <c r="CE29" s="230">
        <v>-1780</v>
      </c>
      <c r="CF29" s="229">
        <v>-0.27950000000000003</v>
      </c>
      <c r="CG29" s="230">
        <v>13386</v>
      </c>
      <c r="CH29" s="230">
        <v>10582</v>
      </c>
      <c r="CI29" s="230">
        <v>2804</v>
      </c>
      <c r="CJ29" s="229">
        <v>0.26500000000000001</v>
      </c>
      <c r="CK29" s="228">
        <v>635</v>
      </c>
      <c r="CL29" s="228">
        <v>555</v>
      </c>
      <c r="CM29" s="228">
        <v>81</v>
      </c>
      <c r="CN29" s="229">
        <v>0.1452</v>
      </c>
      <c r="CO29" s="230">
        <v>51654</v>
      </c>
      <c r="CP29" s="230">
        <v>143185</v>
      </c>
      <c r="CQ29" s="230">
        <v>-91531</v>
      </c>
      <c r="CR29" s="229">
        <v>-0.63929999999999998</v>
      </c>
      <c r="CS29" s="230">
        <v>50819</v>
      </c>
      <c r="CT29" s="230">
        <v>141384</v>
      </c>
      <c r="CU29" s="230">
        <v>-90565</v>
      </c>
      <c r="CV29" s="229">
        <v>-0.64059999999999995</v>
      </c>
      <c r="CW29" s="230">
        <v>116494</v>
      </c>
      <c r="CX29" s="230">
        <v>302075</v>
      </c>
      <c r="CY29" s="230">
        <v>-185581</v>
      </c>
      <c r="CZ29" s="229">
        <v>-0.61439999999999995</v>
      </c>
      <c r="DA29" s="228">
        <v>17.829999999999998</v>
      </c>
      <c r="DB29" s="228">
        <v>18.32</v>
      </c>
      <c r="DC29" s="228">
        <v>-0.49</v>
      </c>
      <c r="DD29" s="228">
        <v>-0.49</v>
      </c>
      <c r="DE29" s="228">
        <v>21.31</v>
      </c>
      <c r="DF29" s="228">
        <v>21.36</v>
      </c>
      <c r="DG29" s="228">
        <v>-3.48</v>
      </c>
      <c r="DH29" s="228">
        <v>-0.05</v>
      </c>
      <c r="DI29" s="228">
        <v>16.47</v>
      </c>
      <c r="DJ29" s="228">
        <v>16.84</v>
      </c>
      <c r="DK29" s="228">
        <v>-0.37</v>
      </c>
      <c r="DL29" s="228">
        <v>-0.37</v>
      </c>
      <c r="DM29" s="228">
        <v>19.27</v>
      </c>
      <c r="DN29" s="228">
        <v>19.95</v>
      </c>
      <c r="DO29" s="228">
        <v>-0.68</v>
      </c>
      <c r="DP29" s="228">
        <v>-0.68</v>
      </c>
      <c r="DQ29" s="228">
        <v>0.98</v>
      </c>
      <c r="DR29" s="228">
        <v>0.99</v>
      </c>
      <c r="DS29" s="228">
        <v>-0.01</v>
      </c>
      <c r="DT29" s="229">
        <v>-1.01E-2</v>
      </c>
      <c r="DU29" s="231">
        <v>55100</v>
      </c>
      <c r="DV29" s="231">
        <v>55000</v>
      </c>
      <c r="DW29" s="228">
        <v>1</v>
      </c>
      <c r="DX29" s="228">
        <v>0.88</v>
      </c>
      <c r="DY29" s="228">
        <v>0.12</v>
      </c>
      <c r="DZ29" s="229">
        <v>0.13639999999999999</v>
      </c>
      <c r="EA29" s="229">
        <v>0.75339999999999996</v>
      </c>
      <c r="EB29" s="230">
        <v>2008110</v>
      </c>
      <c r="EC29" s="229">
        <v>6.7000000000000002E-3</v>
      </c>
      <c r="ED29" s="229">
        <v>0.75339999999999996</v>
      </c>
      <c r="EE29" s="228">
        <v>302.64</v>
      </c>
      <c r="EF29" s="229">
        <v>5.4999999999999997E-3</v>
      </c>
      <c r="EG29" s="228">
        <v>0</v>
      </c>
      <c r="EH29" s="228">
        <v>0</v>
      </c>
      <c r="EI29" s="229">
        <v>0</v>
      </c>
      <c r="EJ29" s="229">
        <v>0</v>
      </c>
      <c r="EK29" s="231">
        <v>7399507.5300000003</v>
      </c>
      <c r="EL29" s="231">
        <v>7301892.3399999999</v>
      </c>
      <c r="EM29" s="231">
        <v>10206.26</v>
      </c>
      <c r="EN29" s="228">
        <v>0</v>
      </c>
      <c r="EO29" s="231">
        <v>14711606.140000001</v>
      </c>
      <c r="EP29" s="231">
        <v>2569479.6800000002</v>
      </c>
      <c r="EQ29" s="231">
        <v>12142126.460000001</v>
      </c>
      <c r="ER29" s="229">
        <v>4.7255000000000003</v>
      </c>
      <c r="ES29" s="231">
        <v>53752.14</v>
      </c>
      <c r="ET29" s="231">
        <v>49880.04</v>
      </c>
      <c r="EU29" s="231">
        <v>14024.52</v>
      </c>
      <c r="EV29" s="228">
        <v>0</v>
      </c>
      <c r="EW29" s="231">
        <v>117656.7</v>
      </c>
      <c r="EX29" s="231">
        <v>302101.42</v>
      </c>
      <c r="EY29" s="231">
        <v>-184444.72</v>
      </c>
      <c r="EZ29" s="229">
        <v>-0.61050000000000004</v>
      </c>
      <c r="FA29" s="229">
        <v>0</v>
      </c>
      <c r="FB29" s="227" t="s">
        <v>567</v>
      </c>
      <c r="FC29" s="195">
        <f t="shared" si="0"/>
        <v>9432</v>
      </c>
    </row>
    <row r="30" spans="1:159" ht="17.25" thickBot="1" x14ac:dyDescent="0.3">
      <c r="A30" s="226">
        <v>46168</v>
      </c>
      <c r="B30" s="227" t="s">
        <v>184</v>
      </c>
      <c r="C30" s="227" t="s">
        <v>668</v>
      </c>
      <c r="D30" s="228">
        <v>350</v>
      </c>
      <c r="E30" s="228">
        <v>0</v>
      </c>
      <c r="F30" s="231">
        <v>1324.6</v>
      </c>
      <c r="G30" s="231">
        <v>1311.8</v>
      </c>
      <c r="H30" s="228">
        <v>12.8</v>
      </c>
      <c r="I30" s="229">
        <v>9.7999999999999997E-3</v>
      </c>
      <c r="J30" s="231">
        <v>1329.9</v>
      </c>
      <c r="K30" s="231">
        <v>1326.1</v>
      </c>
      <c r="L30" s="228">
        <v>3.8</v>
      </c>
      <c r="M30" s="229">
        <v>2.8999999999999998E-3</v>
      </c>
      <c r="N30" s="231">
        <v>1327.7</v>
      </c>
      <c r="O30" s="231">
        <v>1327.3</v>
      </c>
      <c r="P30" s="228">
        <v>0.4</v>
      </c>
      <c r="Q30" s="229">
        <v>2.9999999999999997E-4</v>
      </c>
      <c r="R30" s="231">
        <v>1324.6</v>
      </c>
      <c r="S30" s="231">
        <v>1311.8</v>
      </c>
      <c r="T30" s="228">
        <v>12.8</v>
      </c>
      <c r="U30" s="229">
        <v>9.7999999999999997E-3</v>
      </c>
      <c r="V30" s="231">
        <v>1320.6</v>
      </c>
      <c r="W30" s="231">
        <v>1310.9</v>
      </c>
      <c r="X30" s="228">
        <v>9.6999999999999993</v>
      </c>
      <c r="Y30" s="229">
        <v>7.4000000000000003E-3</v>
      </c>
      <c r="Z30" s="228">
        <v>-5.3</v>
      </c>
      <c r="AA30" s="228">
        <v>1.2</v>
      </c>
      <c r="AB30" s="228">
        <v>-6.5</v>
      </c>
      <c r="AC30" s="229">
        <v>-4.0000000000000001E-3</v>
      </c>
      <c r="AD30" s="228">
        <v>-2.2000000000000002</v>
      </c>
      <c r="AE30" s="228">
        <v>1.2</v>
      </c>
      <c r="AF30" s="228">
        <v>-3.4</v>
      </c>
      <c r="AG30" s="229">
        <v>-1.6999999999999999E-3</v>
      </c>
      <c r="AH30" s="228">
        <v>-5.3</v>
      </c>
      <c r="AI30" s="228">
        <v>-14.3</v>
      </c>
      <c r="AJ30" s="228">
        <v>9</v>
      </c>
      <c r="AK30" s="229">
        <v>-4.0000000000000001E-3</v>
      </c>
      <c r="AL30" s="228">
        <v>-9.3000000000000007</v>
      </c>
      <c r="AM30" s="228">
        <v>-15.2</v>
      </c>
      <c r="AN30" s="228">
        <v>5.9</v>
      </c>
      <c r="AO30" s="229">
        <v>-7.0000000000000001E-3</v>
      </c>
      <c r="AP30" s="231">
        <v>1333.99</v>
      </c>
      <c r="AQ30" s="231">
        <v>1326.78</v>
      </c>
      <c r="AR30" s="228">
        <v>0</v>
      </c>
      <c r="AS30" s="228">
        <v>297</v>
      </c>
      <c r="AT30" s="228">
        <v>457</v>
      </c>
      <c r="AU30" s="228">
        <v>-159</v>
      </c>
      <c r="AV30" s="229">
        <v>-0.3488</v>
      </c>
      <c r="AW30" s="228">
        <v>127</v>
      </c>
      <c r="AX30" s="228">
        <v>212</v>
      </c>
      <c r="AY30" s="228">
        <v>-85</v>
      </c>
      <c r="AZ30" s="229">
        <v>-0.40150000000000002</v>
      </c>
      <c r="BA30" s="228">
        <v>167</v>
      </c>
      <c r="BB30" s="228">
        <v>241</v>
      </c>
      <c r="BC30" s="228">
        <v>-75</v>
      </c>
      <c r="BD30" s="229">
        <v>-0.31040000000000001</v>
      </c>
      <c r="BE30" s="228">
        <v>4</v>
      </c>
      <c r="BF30" s="228">
        <v>3</v>
      </c>
      <c r="BG30" s="228">
        <v>1</v>
      </c>
      <c r="BH30" s="229">
        <v>0.20269999999999999</v>
      </c>
      <c r="BI30" s="228">
        <v>467</v>
      </c>
      <c r="BJ30" s="228">
        <v>528</v>
      </c>
      <c r="BK30" s="228">
        <v>-61</v>
      </c>
      <c r="BL30" s="229">
        <v>-0.11559999999999999</v>
      </c>
      <c r="BM30" s="228">
        <v>139</v>
      </c>
      <c r="BN30" s="228">
        <v>188</v>
      </c>
      <c r="BO30" s="228">
        <v>-49</v>
      </c>
      <c r="BP30" s="229">
        <v>-0.26129999999999998</v>
      </c>
      <c r="BQ30" s="228">
        <v>904</v>
      </c>
      <c r="BR30" s="230">
        <v>1173</v>
      </c>
      <c r="BS30" s="228">
        <v>-269</v>
      </c>
      <c r="BT30" s="229">
        <v>-0.22969999999999999</v>
      </c>
      <c r="BU30" s="230">
        <v>736494</v>
      </c>
      <c r="BV30" s="230">
        <v>905094</v>
      </c>
      <c r="BW30" s="230">
        <v>-168600</v>
      </c>
      <c r="BX30" s="229">
        <v>-0.18629999999999999</v>
      </c>
      <c r="BY30" s="228">
        <v>439</v>
      </c>
      <c r="BZ30" s="228">
        <v>508</v>
      </c>
      <c r="CA30" s="228">
        <v>-69</v>
      </c>
      <c r="CB30" s="229">
        <v>-0.1351</v>
      </c>
      <c r="CC30" s="228">
        <v>54</v>
      </c>
      <c r="CD30" s="228">
        <v>105</v>
      </c>
      <c r="CE30" s="228">
        <v>-51</v>
      </c>
      <c r="CF30" s="229">
        <v>-0.4854</v>
      </c>
      <c r="CG30" s="228">
        <v>422</v>
      </c>
      <c r="CH30" s="228">
        <v>387</v>
      </c>
      <c r="CI30" s="228">
        <v>34</v>
      </c>
      <c r="CJ30" s="229">
        <v>8.9099999999999999E-2</v>
      </c>
      <c r="CK30" s="228">
        <v>17</v>
      </c>
      <c r="CL30" s="228">
        <v>16</v>
      </c>
      <c r="CM30" s="228">
        <v>2</v>
      </c>
      <c r="CN30" s="229">
        <v>9.9599999999999994E-2</v>
      </c>
      <c r="CO30" s="228">
        <v>175</v>
      </c>
      <c r="CP30" s="228">
        <v>507</v>
      </c>
      <c r="CQ30" s="228">
        <v>-332</v>
      </c>
      <c r="CR30" s="229">
        <v>-0.65510000000000002</v>
      </c>
      <c r="CS30" s="228">
        <v>130</v>
      </c>
      <c r="CT30" s="228">
        <v>273</v>
      </c>
      <c r="CU30" s="228">
        <v>-144</v>
      </c>
      <c r="CV30" s="229">
        <v>-0.52629999999999999</v>
      </c>
      <c r="CW30" s="228">
        <v>743</v>
      </c>
      <c r="CX30" s="230">
        <v>1288</v>
      </c>
      <c r="CY30" s="228">
        <v>-545</v>
      </c>
      <c r="CZ30" s="229">
        <v>-0.42280000000000001</v>
      </c>
      <c r="DA30" s="228">
        <v>39.53</v>
      </c>
      <c r="DB30" s="228">
        <v>40.96</v>
      </c>
      <c r="DC30" s="228">
        <v>-1.43</v>
      </c>
      <c r="DD30" s="228">
        <v>-1.43</v>
      </c>
      <c r="DE30" s="228">
        <v>51.86</v>
      </c>
      <c r="DF30" s="228">
        <v>51.98</v>
      </c>
      <c r="DG30" s="228">
        <v>-12.33</v>
      </c>
      <c r="DH30" s="228">
        <v>-0.12</v>
      </c>
      <c r="DI30" s="228">
        <v>39.619999999999997</v>
      </c>
      <c r="DJ30" s="228">
        <v>41.49</v>
      </c>
      <c r="DK30" s="228">
        <v>-1.87</v>
      </c>
      <c r="DL30" s="228">
        <v>-1.87</v>
      </c>
      <c r="DM30" s="228">
        <v>39.19</v>
      </c>
      <c r="DN30" s="228">
        <v>39.229999999999997</v>
      </c>
      <c r="DO30" s="228">
        <v>-0.04</v>
      </c>
      <c r="DP30" s="228">
        <v>-0.04</v>
      </c>
      <c r="DQ30" s="228">
        <v>0.74</v>
      </c>
      <c r="DR30" s="228">
        <v>0.54</v>
      </c>
      <c r="DS30" s="228">
        <v>0.2</v>
      </c>
      <c r="DT30" s="229">
        <v>0.37040000000000001</v>
      </c>
      <c r="DU30" s="231">
        <v>1500</v>
      </c>
      <c r="DV30" s="231">
        <v>1300</v>
      </c>
      <c r="DW30" s="228">
        <v>0.3</v>
      </c>
      <c r="DX30" s="228">
        <v>0.36</v>
      </c>
      <c r="DY30" s="228">
        <v>-0.06</v>
      </c>
      <c r="DZ30" s="229">
        <v>-0.16669999999999999</v>
      </c>
      <c r="EA30" s="229">
        <v>0.89070000000000005</v>
      </c>
      <c r="EB30" s="230">
        <v>3042625</v>
      </c>
      <c r="EC30" s="229">
        <v>-2.3E-3</v>
      </c>
      <c r="ED30" s="229">
        <v>0.89070000000000005</v>
      </c>
      <c r="EE30" s="228">
        <v>-7.21</v>
      </c>
      <c r="EF30" s="229">
        <v>-5.4000000000000003E-3</v>
      </c>
      <c r="EG30" s="230">
        <v>253762</v>
      </c>
      <c r="EH30" s="230">
        <v>396305</v>
      </c>
      <c r="EI30" s="229">
        <v>-0.35970000000000002</v>
      </c>
      <c r="EJ30" s="229">
        <v>0.34460000000000002</v>
      </c>
      <c r="EK30" s="228">
        <v>497.43</v>
      </c>
      <c r="EL30" s="228">
        <v>141.35</v>
      </c>
      <c r="EM30" s="228">
        <v>299.36</v>
      </c>
      <c r="EN30" s="228">
        <v>71.510000000000005</v>
      </c>
      <c r="EO30" s="228">
        <v>938.15</v>
      </c>
      <c r="EP30" s="231">
        <v>1214.57</v>
      </c>
      <c r="EQ30" s="228">
        <v>-276.42</v>
      </c>
      <c r="ER30" s="229">
        <v>-0.2276</v>
      </c>
      <c r="ES30" s="228">
        <v>184.82</v>
      </c>
      <c r="ET30" s="228">
        <v>128.5</v>
      </c>
      <c r="EU30" s="228">
        <v>439.04</v>
      </c>
      <c r="EV30" s="231">
        <v>13786716</v>
      </c>
      <c r="EW30" s="228">
        <v>752.37</v>
      </c>
      <c r="EX30" s="231">
        <v>1321.81</v>
      </c>
      <c r="EY30" s="228">
        <v>-569.44000000000005</v>
      </c>
      <c r="EZ30" s="229">
        <v>-0.43080000000000002</v>
      </c>
      <c r="FA30" s="229">
        <v>0.40710000000000002</v>
      </c>
      <c r="FB30" s="227" t="s">
        <v>691</v>
      </c>
      <c r="FC30">
        <f t="shared" si="0"/>
        <v>385</v>
      </c>
    </row>
    <row r="31" spans="1:159" ht="17.25" thickBot="1" x14ac:dyDescent="0.3">
      <c r="A31" s="226">
        <v>46168</v>
      </c>
      <c r="B31" s="227" t="s">
        <v>184</v>
      </c>
      <c r="C31" s="227" t="s">
        <v>185</v>
      </c>
      <c r="D31" s="228">
        <v>1425</v>
      </c>
      <c r="E31" s="228">
        <v>0</v>
      </c>
      <c r="F31" s="228">
        <v>423.25</v>
      </c>
      <c r="G31" s="228">
        <v>424.25</v>
      </c>
      <c r="H31" s="228">
        <v>-1</v>
      </c>
      <c r="I31" s="229">
        <v>-2.3999999999999998E-3</v>
      </c>
      <c r="J31" s="228">
        <v>420.1</v>
      </c>
      <c r="K31" s="228">
        <v>421.85</v>
      </c>
      <c r="L31" s="228">
        <v>-1.75</v>
      </c>
      <c r="M31" s="229">
        <v>-4.1000000000000003E-3</v>
      </c>
      <c r="N31" s="228">
        <v>420.35</v>
      </c>
      <c r="O31" s="228">
        <v>421.75</v>
      </c>
      <c r="P31" s="228">
        <v>-1.4</v>
      </c>
      <c r="Q31" s="229">
        <v>-3.3E-3</v>
      </c>
      <c r="R31" s="228">
        <v>423.25</v>
      </c>
      <c r="S31" s="228">
        <v>424.25</v>
      </c>
      <c r="T31" s="228">
        <v>-1</v>
      </c>
      <c r="U31" s="229">
        <v>-2.3999999999999998E-3</v>
      </c>
      <c r="V31" s="228">
        <v>425.75</v>
      </c>
      <c r="W31" s="228">
        <v>426.75</v>
      </c>
      <c r="X31" s="228">
        <v>-1</v>
      </c>
      <c r="Y31" s="229">
        <v>-2.3E-3</v>
      </c>
      <c r="Z31" s="228">
        <v>3.15</v>
      </c>
      <c r="AA31" s="228">
        <v>-0.1</v>
      </c>
      <c r="AB31" s="228">
        <v>3.25</v>
      </c>
      <c r="AC31" s="229">
        <v>7.4999999999999997E-3</v>
      </c>
      <c r="AD31" s="228">
        <v>0.25</v>
      </c>
      <c r="AE31" s="228">
        <v>-0.1</v>
      </c>
      <c r="AF31" s="228">
        <v>0.35</v>
      </c>
      <c r="AG31" s="229">
        <v>5.9999999999999995E-4</v>
      </c>
      <c r="AH31" s="228">
        <v>3.15</v>
      </c>
      <c r="AI31" s="228">
        <v>2.4</v>
      </c>
      <c r="AJ31" s="228">
        <v>0.75</v>
      </c>
      <c r="AK31" s="229">
        <v>7.4999999999999997E-3</v>
      </c>
      <c r="AL31" s="228">
        <v>5.65</v>
      </c>
      <c r="AM31" s="228">
        <v>4.9000000000000004</v>
      </c>
      <c r="AN31" s="228">
        <v>0.75</v>
      </c>
      <c r="AO31" s="229">
        <v>1.34E-2</v>
      </c>
      <c r="AP31" s="228">
        <v>421.69</v>
      </c>
      <c r="AQ31" s="228">
        <v>424.48</v>
      </c>
      <c r="AR31" s="228">
        <v>0</v>
      </c>
      <c r="AS31" s="230">
        <v>2033</v>
      </c>
      <c r="AT31" s="230">
        <v>2560</v>
      </c>
      <c r="AU31" s="228">
        <v>-527</v>
      </c>
      <c r="AV31" s="229">
        <v>-0.2059</v>
      </c>
      <c r="AW31" s="228">
        <v>922</v>
      </c>
      <c r="AX31" s="230">
        <v>1249</v>
      </c>
      <c r="AY31" s="228">
        <v>-327</v>
      </c>
      <c r="AZ31" s="229">
        <v>-0.26190000000000002</v>
      </c>
      <c r="BA31" s="230">
        <v>1061</v>
      </c>
      <c r="BB31" s="230">
        <v>1282</v>
      </c>
      <c r="BC31" s="228">
        <v>-221</v>
      </c>
      <c r="BD31" s="229">
        <v>-0.17249999999999999</v>
      </c>
      <c r="BE31" s="228">
        <v>51</v>
      </c>
      <c r="BF31" s="228">
        <v>30</v>
      </c>
      <c r="BG31" s="228">
        <v>21</v>
      </c>
      <c r="BH31" s="229">
        <v>0.70530000000000004</v>
      </c>
      <c r="BI31" s="230">
        <v>2253</v>
      </c>
      <c r="BJ31" s="230">
        <v>2852</v>
      </c>
      <c r="BK31" s="228">
        <v>-600</v>
      </c>
      <c r="BL31" s="229">
        <v>-0.2102</v>
      </c>
      <c r="BM31" s="230">
        <v>1008</v>
      </c>
      <c r="BN31" s="230">
        <v>1159</v>
      </c>
      <c r="BO31" s="228">
        <v>-151</v>
      </c>
      <c r="BP31" s="229">
        <v>-0.13059999999999999</v>
      </c>
      <c r="BQ31" s="230">
        <v>5294</v>
      </c>
      <c r="BR31" s="230">
        <v>6572</v>
      </c>
      <c r="BS31" s="230">
        <v>-1278</v>
      </c>
      <c r="BT31" s="229">
        <v>-0.19450000000000001</v>
      </c>
      <c r="BU31" s="230">
        <v>12918938</v>
      </c>
      <c r="BV31" s="230">
        <v>9640444</v>
      </c>
      <c r="BW31" s="230">
        <v>3278494</v>
      </c>
      <c r="BX31" s="229">
        <v>0.34010000000000001</v>
      </c>
      <c r="BY31" s="230">
        <v>4586</v>
      </c>
      <c r="BZ31" s="230">
        <v>4917</v>
      </c>
      <c r="CA31" s="228">
        <v>-332</v>
      </c>
      <c r="CB31" s="229">
        <v>-6.7400000000000002E-2</v>
      </c>
      <c r="CC31" s="228">
        <v>336</v>
      </c>
      <c r="CD31" s="230">
        <v>1032</v>
      </c>
      <c r="CE31" s="228">
        <v>-696</v>
      </c>
      <c r="CF31" s="229">
        <v>-0.67430000000000001</v>
      </c>
      <c r="CG31" s="230">
        <v>4437</v>
      </c>
      <c r="CH31" s="230">
        <v>3769</v>
      </c>
      <c r="CI31" s="228">
        <v>668</v>
      </c>
      <c r="CJ31" s="229">
        <v>0.17730000000000001</v>
      </c>
      <c r="CK31" s="228">
        <v>149</v>
      </c>
      <c r="CL31" s="228">
        <v>117</v>
      </c>
      <c r="CM31" s="228">
        <v>32</v>
      </c>
      <c r="CN31" s="229">
        <v>0.2747</v>
      </c>
      <c r="CO31" s="230">
        <v>1046</v>
      </c>
      <c r="CP31" s="230">
        <v>2583</v>
      </c>
      <c r="CQ31" s="230">
        <v>-1537</v>
      </c>
      <c r="CR31" s="229">
        <v>-0.59519999999999995</v>
      </c>
      <c r="CS31" s="228">
        <v>846</v>
      </c>
      <c r="CT31" s="230">
        <v>1470</v>
      </c>
      <c r="CU31" s="228">
        <v>-623</v>
      </c>
      <c r="CV31" s="229">
        <v>-0.42409999999999998</v>
      </c>
      <c r="CW31" s="230">
        <v>6478</v>
      </c>
      <c r="CX31" s="230">
        <v>8970</v>
      </c>
      <c r="CY31" s="230">
        <v>-2492</v>
      </c>
      <c r="CZ31" s="229">
        <v>-0.27779999999999999</v>
      </c>
      <c r="DA31" s="228">
        <v>25.18</v>
      </c>
      <c r="DB31" s="228">
        <v>26.15</v>
      </c>
      <c r="DC31" s="228">
        <v>-0.97</v>
      </c>
      <c r="DD31" s="228">
        <v>-0.97</v>
      </c>
      <c r="DE31" s="228">
        <v>36.01</v>
      </c>
      <c r="DF31" s="228">
        <v>36.1</v>
      </c>
      <c r="DG31" s="228">
        <v>-10.83</v>
      </c>
      <c r="DH31" s="228">
        <v>-0.09</v>
      </c>
      <c r="DI31" s="228">
        <v>25.42</v>
      </c>
      <c r="DJ31" s="228">
        <v>26.41</v>
      </c>
      <c r="DK31" s="228">
        <v>-0.99</v>
      </c>
      <c r="DL31" s="228">
        <v>-0.99</v>
      </c>
      <c r="DM31" s="228">
        <v>24.73</v>
      </c>
      <c r="DN31" s="228">
        <v>25.74</v>
      </c>
      <c r="DO31" s="228">
        <v>-1.01</v>
      </c>
      <c r="DP31" s="228">
        <v>-1.01</v>
      </c>
      <c r="DQ31" s="228">
        <v>0.81</v>
      </c>
      <c r="DR31" s="228">
        <v>0.56999999999999995</v>
      </c>
      <c r="DS31" s="228">
        <v>0.24</v>
      </c>
      <c r="DT31" s="229">
        <v>0.42109999999999997</v>
      </c>
      <c r="DU31" s="228">
        <v>440</v>
      </c>
      <c r="DV31" s="228">
        <v>420</v>
      </c>
      <c r="DW31" s="228">
        <v>0.45</v>
      </c>
      <c r="DX31" s="228">
        <v>0.41</v>
      </c>
      <c r="DY31" s="228">
        <v>0.04</v>
      </c>
      <c r="DZ31" s="229">
        <v>9.7600000000000006E-2</v>
      </c>
      <c r="EA31" s="229">
        <v>0.93169999999999997</v>
      </c>
      <c r="EB31" s="230">
        <v>91804200</v>
      </c>
      <c r="EC31" s="229">
        <v>6.8999999999999999E-3</v>
      </c>
      <c r="ED31" s="229">
        <v>0.93169999999999997</v>
      </c>
      <c r="EE31" s="228">
        <v>2.79</v>
      </c>
      <c r="EF31" s="229">
        <v>6.6E-3</v>
      </c>
      <c r="EG31" s="230">
        <v>6605374</v>
      </c>
      <c r="EH31" s="230">
        <v>5411007</v>
      </c>
      <c r="EI31" s="229">
        <v>0.22070000000000001</v>
      </c>
      <c r="EJ31" s="229">
        <v>0.51129999999999998</v>
      </c>
      <c r="EK31" s="231">
        <v>2348.16</v>
      </c>
      <c r="EL31" s="231">
        <v>1024.46</v>
      </c>
      <c r="EM31" s="231">
        <v>2033.15</v>
      </c>
      <c r="EN31" s="228">
        <v>319.02999999999997</v>
      </c>
      <c r="EO31" s="231">
        <v>5405.77</v>
      </c>
      <c r="EP31" s="231">
        <v>6645.74</v>
      </c>
      <c r="EQ31" s="231">
        <v>-1239.97</v>
      </c>
      <c r="ER31" s="229">
        <v>-0.18659999999999999</v>
      </c>
      <c r="ES31" s="231">
        <v>1095.24</v>
      </c>
      <c r="ET31" s="228">
        <v>834.61</v>
      </c>
      <c r="EU31" s="231">
        <v>4586.7299999999996</v>
      </c>
      <c r="EV31" s="231">
        <v>535778534</v>
      </c>
      <c r="EW31" s="231">
        <v>6516.58</v>
      </c>
      <c r="EX31" s="231">
        <v>9131.11</v>
      </c>
      <c r="EY31" s="231">
        <v>-2614.5300000000002</v>
      </c>
      <c r="EZ31" s="229">
        <v>-0.2863</v>
      </c>
      <c r="FA31" s="229">
        <v>0.28570000000000001</v>
      </c>
      <c r="FB31" s="227" t="s">
        <v>567</v>
      </c>
      <c r="FC31">
        <f t="shared" si="0"/>
        <v>4250</v>
      </c>
    </row>
    <row r="32" spans="1:159" ht="17.25" thickBot="1" x14ac:dyDescent="0.3">
      <c r="A32" s="226">
        <v>46168</v>
      </c>
      <c r="B32" s="227" t="s">
        <v>162</v>
      </c>
      <c r="C32" s="227" t="s">
        <v>187</v>
      </c>
      <c r="D32" s="228">
        <v>500</v>
      </c>
      <c r="E32" s="228">
        <v>0</v>
      </c>
      <c r="F32" s="231">
        <v>1947.6</v>
      </c>
      <c r="G32" s="231">
        <v>1933.1</v>
      </c>
      <c r="H32" s="228">
        <v>14.5</v>
      </c>
      <c r="I32" s="229">
        <v>7.4999999999999997E-3</v>
      </c>
      <c r="J32" s="231">
        <v>1930.4</v>
      </c>
      <c r="K32" s="231">
        <v>1918.3</v>
      </c>
      <c r="L32" s="228">
        <v>12.1</v>
      </c>
      <c r="M32" s="229">
        <v>6.3E-3</v>
      </c>
      <c r="N32" s="231">
        <v>1931.2</v>
      </c>
      <c r="O32" s="231">
        <v>1920.7</v>
      </c>
      <c r="P32" s="228">
        <v>10.5</v>
      </c>
      <c r="Q32" s="229">
        <v>5.4999999999999997E-3</v>
      </c>
      <c r="R32" s="231">
        <v>1947.6</v>
      </c>
      <c r="S32" s="231">
        <v>1933.1</v>
      </c>
      <c r="T32" s="228">
        <v>14.5</v>
      </c>
      <c r="U32" s="229">
        <v>7.4999999999999997E-3</v>
      </c>
      <c r="V32" s="231">
        <v>1954.1</v>
      </c>
      <c r="W32" s="231">
        <v>1941.1</v>
      </c>
      <c r="X32" s="228">
        <v>13</v>
      </c>
      <c r="Y32" s="229">
        <v>6.7000000000000002E-3</v>
      </c>
      <c r="Z32" s="228">
        <v>17.2</v>
      </c>
      <c r="AA32" s="228">
        <v>2.4</v>
      </c>
      <c r="AB32" s="228">
        <v>14.8</v>
      </c>
      <c r="AC32" s="229">
        <v>8.8999999999999999E-3</v>
      </c>
      <c r="AD32" s="228">
        <v>0.8</v>
      </c>
      <c r="AE32" s="228">
        <v>2.4</v>
      </c>
      <c r="AF32" s="228">
        <v>-1.6</v>
      </c>
      <c r="AG32" s="229">
        <v>4.0000000000000002E-4</v>
      </c>
      <c r="AH32" s="228">
        <v>17.2</v>
      </c>
      <c r="AI32" s="228">
        <v>14.8</v>
      </c>
      <c r="AJ32" s="228">
        <v>2.4</v>
      </c>
      <c r="AK32" s="229">
        <v>8.8999999999999999E-3</v>
      </c>
      <c r="AL32" s="228">
        <v>23.7</v>
      </c>
      <c r="AM32" s="228">
        <v>22.8</v>
      </c>
      <c r="AN32" s="228">
        <v>0.9</v>
      </c>
      <c r="AO32" s="229">
        <v>1.23E-2</v>
      </c>
      <c r="AP32" s="231">
        <v>1924.34</v>
      </c>
      <c r="AQ32" s="231">
        <v>1939.49</v>
      </c>
      <c r="AR32" s="228">
        <v>0</v>
      </c>
      <c r="AS32" s="228">
        <v>451</v>
      </c>
      <c r="AT32" s="228">
        <v>823</v>
      </c>
      <c r="AU32" s="228">
        <v>-372</v>
      </c>
      <c r="AV32" s="229">
        <v>-0.45229999999999998</v>
      </c>
      <c r="AW32" s="228">
        <v>194</v>
      </c>
      <c r="AX32" s="228">
        <v>378</v>
      </c>
      <c r="AY32" s="228">
        <v>-184</v>
      </c>
      <c r="AZ32" s="229">
        <v>-0.48699999999999999</v>
      </c>
      <c r="BA32" s="228">
        <v>255</v>
      </c>
      <c r="BB32" s="228">
        <v>440</v>
      </c>
      <c r="BC32" s="228">
        <v>-185</v>
      </c>
      <c r="BD32" s="229">
        <v>-0.42059999999999997</v>
      </c>
      <c r="BE32" s="228">
        <v>2</v>
      </c>
      <c r="BF32" s="228">
        <v>5</v>
      </c>
      <c r="BG32" s="228">
        <v>-3</v>
      </c>
      <c r="BH32" s="229">
        <v>-0.625</v>
      </c>
      <c r="BI32" s="228">
        <v>890</v>
      </c>
      <c r="BJ32" s="230">
        <v>1351</v>
      </c>
      <c r="BK32" s="228">
        <v>-461</v>
      </c>
      <c r="BL32" s="229">
        <v>-0.34139999999999998</v>
      </c>
      <c r="BM32" s="228">
        <v>233</v>
      </c>
      <c r="BN32" s="228">
        <v>486</v>
      </c>
      <c r="BO32" s="228">
        <v>-254</v>
      </c>
      <c r="BP32" s="229">
        <v>-0.52129999999999999</v>
      </c>
      <c r="BQ32" s="230">
        <v>1573</v>
      </c>
      <c r="BR32" s="230">
        <v>2660</v>
      </c>
      <c r="BS32" s="230">
        <v>-1087</v>
      </c>
      <c r="BT32" s="229">
        <v>-0.40860000000000002</v>
      </c>
      <c r="BU32" s="230">
        <v>1034954</v>
      </c>
      <c r="BV32" s="230">
        <v>921513</v>
      </c>
      <c r="BW32" s="230">
        <v>113441</v>
      </c>
      <c r="BX32" s="229">
        <v>0.1231</v>
      </c>
      <c r="BY32" s="230">
        <v>1335</v>
      </c>
      <c r="BZ32" s="230">
        <v>1425</v>
      </c>
      <c r="CA32" s="228">
        <v>-90</v>
      </c>
      <c r="CB32" s="229">
        <v>-6.3100000000000003E-2</v>
      </c>
      <c r="CC32" s="228">
        <v>102</v>
      </c>
      <c r="CD32" s="228">
        <v>204</v>
      </c>
      <c r="CE32" s="228">
        <v>-101</v>
      </c>
      <c r="CF32" s="229">
        <v>-0.49740000000000001</v>
      </c>
      <c r="CG32" s="230">
        <v>1325</v>
      </c>
      <c r="CH32" s="230">
        <v>1212</v>
      </c>
      <c r="CI32" s="228">
        <v>113</v>
      </c>
      <c r="CJ32" s="229">
        <v>9.3600000000000003E-2</v>
      </c>
      <c r="CK32" s="228">
        <v>10</v>
      </c>
      <c r="CL32" s="228">
        <v>9</v>
      </c>
      <c r="CM32" s="228">
        <v>0</v>
      </c>
      <c r="CN32" s="229">
        <v>5.2600000000000001E-2</v>
      </c>
      <c r="CO32" s="228">
        <v>191</v>
      </c>
      <c r="CP32" s="228">
        <v>701</v>
      </c>
      <c r="CQ32" s="228">
        <v>-510</v>
      </c>
      <c r="CR32" s="229">
        <v>-0.72709999999999997</v>
      </c>
      <c r="CS32" s="228">
        <v>149</v>
      </c>
      <c r="CT32" s="228">
        <v>475</v>
      </c>
      <c r="CU32" s="228">
        <v>-326</v>
      </c>
      <c r="CV32" s="229">
        <v>-0.68620000000000003</v>
      </c>
      <c r="CW32" s="230">
        <v>1675</v>
      </c>
      <c r="CX32" s="230">
        <v>2601</v>
      </c>
      <c r="CY32" s="228">
        <v>-925</v>
      </c>
      <c r="CZ32" s="229">
        <v>-0.35580000000000001</v>
      </c>
      <c r="DA32" s="228">
        <v>28.47</v>
      </c>
      <c r="DB32" s="228">
        <v>29.09</v>
      </c>
      <c r="DC32" s="228">
        <v>-0.62</v>
      </c>
      <c r="DD32" s="228">
        <v>-0.62</v>
      </c>
      <c r="DE32" s="228">
        <v>39.28</v>
      </c>
      <c r="DF32" s="228">
        <v>39.369999999999997</v>
      </c>
      <c r="DG32" s="228">
        <v>-10.81</v>
      </c>
      <c r="DH32" s="228">
        <v>-0.09</v>
      </c>
      <c r="DI32" s="228">
        <v>28.47</v>
      </c>
      <c r="DJ32" s="228">
        <v>29</v>
      </c>
      <c r="DK32" s="228">
        <v>-0.53</v>
      </c>
      <c r="DL32" s="228">
        <v>-0.53</v>
      </c>
      <c r="DM32" s="228">
        <v>28.45</v>
      </c>
      <c r="DN32" s="228">
        <v>29.31</v>
      </c>
      <c r="DO32" s="228">
        <v>-0.86</v>
      </c>
      <c r="DP32" s="228">
        <v>-0.86</v>
      </c>
      <c r="DQ32" s="228">
        <v>0.78</v>
      </c>
      <c r="DR32" s="228">
        <v>0.68</v>
      </c>
      <c r="DS32" s="228">
        <v>0.1</v>
      </c>
      <c r="DT32" s="229">
        <v>0.14710000000000001</v>
      </c>
      <c r="DU32" s="231">
        <v>2000</v>
      </c>
      <c r="DV32" s="231">
        <v>1800</v>
      </c>
      <c r="DW32" s="228">
        <v>0.26</v>
      </c>
      <c r="DX32" s="228">
        <v>0.36</v>
      </c>
      <c r="DY32" s="228">
        <v>-0.1</v>
      </c>
      <c r="DZ32" s="229">
        <v>-0.27779999999999999</v>
      </c>
      <c r="EA32" s="229">
        <v>0.92869999999999997</v>
      </c>
      <c r="EB32" s="230">
        <v>6270000</v>
      </c>
      <c r="EC32" s="229">
        <v>8.5000000000000006E-3</v>
      </c>
      <c r="ED32" s="229">
        <v>0.92869999999999997</v>
      </c>
      <c r="EE32" s="228">
        <v>15.15</v>
      </c>
      <c r="EF32" s="229">
        <v>7.9000000000000008E-3</v>
      </c>
      <c r="EG32" s="230">
        <v>500082</v>
      </c>
      <c r="EH32" s="230">
        <v>462390</v>
      </c>
      <c r="EI32" s="229">
        <v>8.1500000000000003E-2</v>
      </c>
      <c r="EJ32" s="229">
        <v>0.48320000000000002</v>
      </c>
      <c r="EK32" s="228">
        <v>908.13</v>
      </c>
      <c r="EL32" s="228">
        <v>228.56</v>
      </c>
      <c r="EM32" s="228">
        <v>447.2</v>
      </c>
      <c r="EN32" s="228">
        <v>72.92</v>
      </c>
      <c r="EO32" s="231">
        <v>1583.89</v>
      </c>
      <c r="EP32" s="231">
        <v>2673.28</v>
      </c>
      <c r="EQ32" s="231">
        <v>-1089.3900000000001</v>
      </c>
      <c r="ER32" s="229">
        <v>-0.40749999999999997</v>
      </c>
      <c r="ES32" s="228">
        <v>194.87</v>
      </c>
      <c r="ET32" s="228">
        <v>142.52000000000001</v>
      </c>
      <c r="EU32" s="231">
        <v>1335.11</v>
      </c>
      <c r="EV32" s="231">
        <v>40107751</v>
      </c>
      <c r="EW32" s="231">
        <v>1672.5</v>
      </c>
      <c r="EX32" s="231">
        <v>2575.31</v>
      </c>
      <c r="EY32" s="228">
        <v>-902.81</v>
      </c>
      <c r="EZ32" s="229">
        <v>-0.35060000000000002</v>
      </c>
      <c r="FA32" s="229">
        <v>0.2145</v>
      </c>
      <c r="FB32" s="227" t="s">
        <v>691</v>
      </c>
      <c r="FC32">
        <f t="shared" si="0"/>
        <v>1233</v>
      </c>
    </row>
    <row r="33" spans="1:159" ht="17.25" thickBot="1" x14ac:dyDescent="0.3">
      <c r="A33" s="226">
        <v>46168</v>
      </c>
      <c r="B33" s="227" t="s">
        <v>188</v>
      </c>
      <c r="C33" s="227" t="s">
        <v>189</v>
      </c>
      <c r="D33" s="228">
        <v>475</v>
      </c>
      <c r="E33" s="228">
        <v>0</v>
      </c>
      <c r="F33" s="231">
        <v>1861.7</v>
      </c>
      <c r="G33" s="231">
        <v>1889.6</v>
      </c>
      <c r="H33" s="228">
        <v>-27.9</v>
      </c>
      <c r="I33" s="229">
        <v>-1.4800000000000001E-2</v>
      </c>
      <c r="J33" s="231">
        <v>1846.9</v>
      </c>
      <c r="K33" s="231">
        <v>1874.8</v>
      </c>
      <c r="L33" s="228">
        <v>-27.9</v>
      </c>
      <c r="M33" s="229">
        <v>-1.49E-2</v>
      </c>
      <c r="N33" s="231">
        <v>1846</v>
      </c>
      <c r="O33" s="231">
        <v>1877.7</v>
      </c>
      <c r="P33" s="228">
        <v>-31.7</v>
      </c>
      <c r="Q33" s="229">
        <v>-1.6899999999999998E-2</v>
      </c>
      <c r="R33" s="231">
        <v>1861.7</v>
      </c>
      <c r="S33" s="231">
        <v>1889.6</v>
      </c>
      <c r="T33" s="228">
        <v>-27.9</v>
      </c>
      <c r="U33" s="229">
        <v>-1.4800000000000001E-2</v>
      </c>
      <c r="V33" s="231">
        <v>1863</v>
      </c>
      <c r="W33" s="231">
        <v>1887.8</v>
      </c>
      <c r="X33" s="228">
        <v>-24.8</v>
      </c>
      <c r="Y33" s="229">
        <v>-1.3100000000000001E-2</v>
      </c>
      <c r="Z33" s="228">
        <v>14.8</v>
      </c>
      <c r="AA33" s="228">
        <v>2.9</v>
      </c>
      <c r="AB33" s="228">
        <v>11.9</v>
      </c>
      <c r="AC33" s="229">
        <v>8.0000000000000002E-3</v>
      </c>
      <c r="AD33" s="228">
        <v>-0.9</v>
      </c>
      <c r="AE33" s="228">
        <v>2.9</v>
      </c>
      <c r="AF33" s="228">
        <v>-3.8</v>
      </c>
      <c r="AG33" s="229">
        <v>-5.0000000000000001E-4</v>
      </c>
      <c r="AH33" s="228">
        <v>14.8</v>
      </c>
      <c r="AI33" s="228">
        <v>14.8</v>
      </c>
      <c r="AJ33" s="228">
        <v>0</v>
      </c>
      <c r="AK33" s="229">
        <v>8.0000000000000002E-3</v>
      </c>
      <c r="AL33" s="228">
        <v>16.100000000000001</v>
      </c>
      <c r="AM33" s="228">
        <v>13</v>
      </c>
      <c r="AN33" s="228">
        <v>3.1</v>
      </c>
      <c r="AO33" s="229">
        <v>8.6999999999999994E-3</v>
      </c>
      <c r="AP33" s="231">
        <v>1859.52</v>
      </c>
      <c r="AQ33" s="231">
        <v>1873.28</v>
      </c>
      <c r="AR33" s="228">
        <v>0</v>
      </c>
      <c r="AS33" s="230">
        <v>2399</v>
      </c>
      <c r="AT33" s="230">
        <v>4644</v>
      </c>
      <c r="AU33" s="230">
        <v>-2245</v>
      </c>
      <c r="AV33" s="229">
        <v>-0.4834</v>
      </c>
      <c r="AW33" s="228">
        <v>885</v>
      </c>
      <c r="AX33" s="230">
        <v>2146</v>
      </c>
      <c r="AY33" s="230">
        <v>-1261</v>
      </c>
      <c r="AZ33" s="229">
        <v>-0.58740000000000003</v>
      </c>
      <c r="BA33" s="230">
        <v>1472</v>
      </c>
      <c r="BB33" s="230">
        <v>2470</v>
      </c>
      <c r="BC33" s="228">
        <v>-998</v>
      </c>
      <c r="BD33" s="229">
        <v>-0.40400000000000003</v>
      </c>
      <c r="BE33" s="228">
        <v>42</v>
      </c>
      <c r="BF33" s="228">
        <v>28</v>
      </c>
      <c r="BG33" s="228">
        <v>14</v>
      </c>
      <c r="BH33" s="229">
        <v>0.50480000000000003</v>
      </c>
      <c r="BI33" s="230">
        <v>2911</v>
      </c>
      <c r="BJ33" s="230">
        <v>5491</v>
      </c>
      <c r="BK33" s="230">
        <v>-2580</v>
      </c>
      <c r="BL33" s="229">
        <v>-0.46989999999999998</v>
      </c>
      <c r="BM33" s="230">
        <v>1616</v>
      </c>
      <c r="BN33" s="230">
        <v>3058</v>
      </c>
      <c r="BO33" s="230">
        <v>-1442</v>
      </c>
      <c r="BP33" s="229">
        <v>-0.47149999999999997</v>
      </c>
      <c r="BQ33" s="230">
        <v>6926</v>
      </c>
      <c r="BR33" s="230">
        <v>13194</v>
      </c>
      <c r="BS33" s="230">
        <v>-6267</v>
      </c>
      <c r="BT33" s="229">
        <v>-0.47499999999999998</v>
      </c>
      <c r="BU33" s="230">
        <v>5942370</v>
      </c>
      <c r="BV33" s="230">
        <v>6040945</v>
      </c>
      <c r="BW33" s="230">
        <v>-98575</v>
      </c>
      <c r="BX33" s="229">
        <v>-1.6299999999999999E-2</v>
      </c>
      <c r="BY33" s="230">
        <v>10727</v>
      </c>
      <c r="BZ33" s="230">
        <v>10722</v>
      </c>
      <c r="CA33" s="228">
        <v>4</v>
      </c>
      <c r="CB33" s="229">
        <v>4.0000000000000002E-4</v>
      </c>
      <c r="CC33" s="228">
        <v>853</v>
      </c>
      <c r="CD33" s="228">
        <v>984</v>
      </c>
      <c r="CE33" s="228">
        <v>-131</v>
      </c>
      <c r="CF33" s="229">
        <v>-0.13339999999999999</v>
      </c>
      <c r="CG33" s="230">
        <v>10610</v>
      </c>
      <c r="CH33" s="230">
        <v>9649</v>
      </c>
      <c r="CI33" s="228">
        <v>961</v>
      </c>
      <c r="CJ33" s="229">
        <v>9.9599999999999994E-2</v>
      </c>
      <c r="CK33" s="228">
        <v>117</v>
      </c>
      <c r="CL33" s="228">
        <v>89</v>
      </c>
      <c r="CM33" s="228">
        <v>28</v>
      </c>
      <c r="CN33" s="229">
        <v>0.317</v>
      </c>
      <c r="CO33" s="230">
        <v>1384</v>
      </c>
      <c r="CP33" s="230">
        <v>4477</v>
      </c>
      <c r="CQ33" s="230">
        <v>-3093</v>
      </c>
      <c r="CR33" s="229">
        <v>-0.69089999999999996</v>
      </c>
      <c r="CS33" s="228">
        <v>744</v>
      </c>
      <c r="CT33" s="230">
        <v>2298</v>
      </c>
      <c r="CU33" s="230">
        <v>-1555</v>
      </c>
      <c r="CV33" s="229">
        <v>-0.67649999999999999</v>
      </c>
      <c r="CW33" s="230">
        <v>12854</v>
      </c>
      <c r="CX33" s="230">
        <v>17498</v>
      </c>
      <c r="CY33" s="230">
        <v>-4643</v>
      </c>
      <c r="CZ33" s="229">
        <v>-0.26540000000000002</v>
      </c>
      <c r="DA33" s="228">
        <v>18.899999999999999</v>
      </c>
      <c r="DB33" s="228">
        <v>18.88</v>
      </c>
      <c r="DC33" s="228">
        <v>0.02</v>
      </c>
      <c r="DD33" s="228">
        <v>0.02</v>
      </c>
      <c r="DE33" s="228">
        <v>25.66</v>
      </c>
      <c r="DF33" s="228">
        <v>25.65</v>
      </c>
      <c r="DG33" s="228">
        <v>-6.76</v>
      </c>
      <c r="DH33" s="228">
        <v>0.01</v>
      </c>
      <c r="DI33" s="228">
        <v>19.22</v>
      </c>
      <c r="DJ33" s="228">
        <v>18.86</v>
      </c>
      <c r="DK33" s="228">
        <v>0.36</v>
      </c>
      <c r="DL33" s="228">
        <v>0.36</v>
      </c>
      <c r="DM33" s="228">
        <v>18.329999999999998</v>
      </c>
      <c r="DN33" s="228">
        <v>18.93</v>
      </c>
      <c r="DO33" s="228">
        <v>-0.6</v>
      </c>
      <c r="DP33" s="228">
        <v>-0.6</v>
      </c>
      <c r="DQ33" s="228">
        <v>0.54</v>
      </c>
      <c r="DR33" s="228">
        <v>0.51</v>
      </c>
      <c r="DS33" s="228">
        <v>0.03</v>
      </c>
      <c r="DT33" s="229">
        <v>5.8799999999999998E-2</v>
      </c>
      <c r="DU33" s="231">
        <v>1920</v>
      </c>
      <c r="DV33" s="231">
        <v>1800</v>
      </c>
      <c r="DW33" s="228">
        <v>0.56000000000000005</v>
      </c>
      <c r="DX33" s="228">
        <v>0.56000000000000005</v>
      </c>
      <c r="DY33" s="228">
        <v>0</v>
      </c>
      <c r="DZ33" s="229">
        <v>0</v>
      </c>
      <c r="EA33" s="229">
        <v>0.92630000000000001</v>
      </c>
      <c r="EB33" s="230">
        <v>52307475</v>
      </c>
      <c r="EC33" s="229">
        <v>8.5000000000000006E-3</v>
      </c>
      <c r="ED33" s="229">
        <v>0.92630000000000001</v>
      </c>
      <c r="EE33" s="228">
        <v>13.76</v>
      </c>
      <c r="EF33" s="229">
        <v>7.4000000000000003E-3</v>
      </c>
      <c r="EG33" s="230">
        <v>3804471</v>
      </c>
      <c r="EH33" s="230">
        <v>4574795</v>
      </c>
      <c r="EI33" s="229">
        <v>-0.16839999999999999</v>
      </c>
      <c r="EJ33" s="229">
        <v>0.64019999999999999</v>
      </c>
      <c r="EK33" s="231">
        <v>3020.91</v>
      </c>
      <c r="EL33" s="231">
        <v>1635.04</v>
      </c>
      <c r="EM33" s="231">
        <v>2407.63</v>
      </c>
      <c r="EN33" s="228">
        <v>408.2</v>
      </c>
      <c r="EO33" s="231">
        <v>7063.58</v>
      </c>
      <c r="EP33" s="231">
        <v>13433.97</v>
      </c>
      <c r="EQ33" s="231">
        <v>-6370.39</v>
      </c>
      <c r="ER33" s="229">
        <v>-0.47420000000000001</v>
      </c>
      <c r="ES33" s="231">
        <v>1449.86</v>
      </c>
      <c r="ET33" s="228">
        <v>746.65</v>
      </c>
      <c r="EU33" s="231">
        <v>10726.91</v>
      </c>
      <c r="EV33" s="231">
        <v>342859930</v>
      </c>
      <c r="EW33" s="231">
        <v>12923.41</v>
      </c>
      <c r="EX33" s="231">
        <v>17753.54</v>
      </c>
      <c r="EY33" s="231">
        <v>-4830.13</v>
      </c>
      <c r="EZ33" s="229">
        <v>-0.27210000000000001</v>
      </c>
      <c r="FA33" s="229">
        <v>0.2014</v>
      </c>
      <c r="FB33" s="227" t="s">
        <v>566</v>
      </c>
      <c r="FC33">
        <f t="shared" si="0"/>
        <v>9874</v>
      </c>
    </row>
    <row r="34" spans="1:159" ht="17.25" thickBot="1" x14ac:dyDescent="0.3">
      <c r="A34" s="226">
        <v>46168</v>
      </c>
      <c r="B34" s="227" t="s">
        <v>184</v>
      </c>
      <c r="C34" s="227" t="s">
        <v>190</v>
      </c>
      <c r="D34" s="228">
        <v>2625</v>
      </c>
      <c r="E34" s="228">
        <v>0</v>
      </c>
      <c r="F34" s="228">
        <v>420.35</v>
      </c>
      <c r="G34" s="228">
        <v>422.8</v>
      </c>
      <c r="H34" s="228">
        <v>-2.4500000000000002</v>
      </c>
      <c r="I34" s="229">
        <v>-5.7999999999999996E-3</v>
      </c>
      <c r="J34" s="228">
        <v>417.75</v>
      </c>
      <c r="K34" s="228">
        <v>419.4</v>
      </c>
      <c r="L34" s="228">
        <v>-1.65</v>
      </c>
      <c r="M34" s="229">
        <v>-3.8999999999999998E-3</v>
      </c>
      <c r="N34" s="228">
        <v>416.7</v>
      </c>
      <c r="O34" s="228">
        <v>420.1</v>
      </c>
      <c r="P34" s="228">
        <v>-3.4</v>
      </c>
      <c r="Q34" s="229">
        <v>-8.0999999999999996E-3</v>
      </c>
      <c r="R34" s="228">
        <v>420.35</v>
      </c>
      <c r="S34" s="228">
        <v>422.8</v>
      </c>
      <c r="T34" s="228">
        <v>-2.4500000000000002</v>
      </c>
      <c r="U34" s="229">
        <v>-5.7999999999999996E-3</v>
      </c>
      <c r="V34" s="228">
        <v>422.45</v>
      </c>
      <c r="W34" s="228">
        <v>424.4</v>
      </c>
      <c r="X34" s="228">
        <v>-1.95</v>
      </c>
      <c r="Y34" s="229">
        <v>-4.5999999999999999E-3</v>
      </c>
      <c r="Z34" s="228">
        <v>2.6</v>
      </c>
      <c r="AA34" s="228">
        <v>0.7</v>
      </c>
      <c r="AB34" s="228">
        <v>1.9</v>
      </c>
      <c r="AC34" s="229">
        <v>6.1999999999999998E-3</v>
      </c>
      <c r="AD34" s="228">
        <v>-1.05</v>
      </c>
      <c r="AE34" s="228">
        <v>0.7</v>
      </c>
      <c r="AF34" s="228">
        <v>-1.75</v>
      </c>
      <c r="AG34" s="229">
        <v>-2.5000000000000001E-3</v>
      </c>
      <c r="AH34" s="228">
        <v>2.6</v>
      </c>
      <c r="AI34" s="228">
        <v>3.4</v>
      </c>
      <c r="AJ34" s="228">
        <v>-0.8</v>
      </c>
      <c r="AK34" s="229">
        <v>6.1999999999999998E-3</v>
      </c>
      <c r="AL34" s="228">
        <v>4.7</v>
      </c>
      <c r="AM34" s="228">
        <v>5</v>
      </c>
      <c r="AN34" s="228">
        <v>-0.3</v>
      </c>
      <c r="AO34" s="229">
        <v>1.1299999999999999E-2</v>
      </c>
      <c r="AP34" s="228">
        <v>417.22</v>
      </c>
      <c r="AQ34" s="228">
        <v>420.45</v>
      </c>
      <c r="AR34" s="228">
        <v>0</v>
      </c>
      <c r="AS34" s="230">
        <v>2252</v>
      </c>
      <c r="AT34" s="230">
        <v>2517</v>
      </c>
      <c r="AU34" s="228">
        <v>-265</v>
      </c>
      <c r="AV34" s="229">
        <v>-0.1055</v>
      </c>
      <c r="AW34" s="230">
        <v>1019</v>
      </c>
      <c r="AX34" s="230">
        <v>1133</v>
      </c>
      <c r="AY34" s="228">
        <v>-114</v>
      </c>
      <c r="AZ34" s="229">
        <v>-0.10100000000000001</v>
      </c>
      <c r="BA34" s="230">
        <v>1212</v>
      </c>
      <c r="BB34" s="230">
        <v>1355</v>
      </c>
      <c r="BC34" s="228">
        <v>-143</v>
      </c>
      <c r="BD34" s="229">
        <v>-0.1056</v>
      </c>
      <c r="BE34" s="228">
        <v>21</v>
      </c>
      <c r="BF34" s="228">
        <v>29</v>
      </c>
      <c r="BG34" s="228">
        <v>-8</v>
      </c>
      <c r="BH34" s="229">
        <v>-0.27589999999999998</v>
      </c>
      <c r="BI34" s="230">
        <v>2338</v>
      </c>
      <c r="BJ34" s="230">
        <v>3876</v>
      </c>
      <c r="BK34" s="230">
        <v>-1538</v>
      </c>
      <c r="BL34" s="229">
        <v>-0.3967</v>
      </c>
      <c r="BM34" s="230">
        <v>1204</v>
      </c>
      <c r="BN34" s="230">
        <v>1793</v>
      </c>
      <c r="BO34" s="228">
        <v>-589</v>
      </c>
      <c r="BP34" s="229">
        <v>-0.3286</v>
      </c>
      <c r="BQ34" s="230">
        <v>5794</v>
      </c>
      <c r="BR34" s="230">
        <v>8187</v>
      </c>
      <c r="BS34" s="230">
        <v>-2393</v>
      </c>
      <c r="BT34" s="229">
        <v>-0.2923</v>
      </c>
      <c r="BU34" s="230">
        <v>10065183</v>
      </c>
      <c r="BV34" s="230">
        <v>11818420</v>
      </c>
      <c r="BW34" s="230">
        <v>-1753237</v>
      </c>
      <c r="BX34" s="229">
        <v>-0.14829999999999999</v>
      </c>
      <c r="BY34" s="230">
        <v>5121</v>
      </c>
      <c r="BZ34" s="230">
        <v>5513</v>
      </c>
      <c r="CA34" s="228">
        <v>-392</v>
      </c>
      <c r="CB34" s="229">
        <v>-7.1099999999999997E-2</v>
      </c>
      <c r="CC34" s="228">
        <v>466</v>
      </c>
      <c r="CD34" s="228">
        <v>885</v>
      </c>
      <c r="CE34" s="228">
        <v>-419</v>
      </c>
      <c r="CF34" s="229">
        <v>-0.47349999999999998</v>
      </c>
      <c r="CG34" s="230">
        <v>5076</v>
      </c>
      <c r="CH34" s="230">
        <v>4588</v>
      </c>
      <c r="CI34" s="228">
        <v>488</v>
      </c>
      <c r="CJ34" s="229">
        <v>0.1065</v>
      </c>
      <c r="CK34" s="228">
        <v>45</v>
      </c>
      <c r="CL34" s="228">
        <v>40</v>
      </c>
      <c r="CM34" s="228">
        <v>5</v>
      </c>
      <c r="CN34" s="229">
        <v>0.1148</v>
      </c>
      <c r="CO34" s="228">
        <v>930</v>
      </c>
      <c r="CP34" s="230">
        <v>2083</v>
      </c>
      <c r="CQ34" s="230">
        <v>-1153</v>
      </c>
      <c r="CR34" s="229">
        <v>-0.55349999999999999</v>
      </c>
      <c r="CS34" s="228">
        <v>611</v>
      </c>
      <c r="CT34" s="230">
        <v>1703</v>
      </c>
      <c r="CU34" s="230">
        <v>-1092</v>
      </c>
      <c r="CV34" s="229">
        <v>-0.64119999999999999</v>
      </c>
      <c r="CW34" s="230">
        <v>6662</v>
      </c>
      <c r="CX34" s="230">
        <v>9300</v>
      </c>
      <c r="CY34" s="230">
        <v>-2637</v>
      </c>
      <c r="CZ34" s="229">
        <v>-0.28360000000000002</v>
      </c>
      <c r="DA34" s="228">
        <v>34.24</v>
      </c>
      <c r="DB34" s="228">
        <v>35.6</v>
      </c>
      <c r="DC34" s="228">
        <v>-1.36</v>
      </c>
      <c r="DD34" s="228">
        <v>-1.36</v>
      </c>
      <c r="DE34" s="228">
        <v>47.6</v>
      </c>
      <c r="DF34" s="228">
        <v>47.72</v>
      </c>
      <c r="DG34" s="228">
        <v>-13.36</v>
      </c>
      <c r="DH34" s="228">
        <v>-0.12</v>
      </c>
      <c r="DI34" s="228">
        <v>34.08</v>
      </c>
      <c r="DJ34" s="228">
        <v>35.51</v>
      </c>
      <c r="DK34" s="228">
        <v>-1.43</v>
      </c>
      <c r="DL34" s="228">
        <v>-1.43</v>
      </c>
      <c r="DM34" s="228">
        <v>34.56</v>
      </c>
      <c r="DN34" s="228">
        <v>35.82</v>
      </c>
      <c r="DO34" s="228">
        <v>-1.26</v>
      </c>
      <c r="DP34" s="228">
        <v>-1.26</v>
      </c>
      <c r="DQ34" s="228">
        <v>0.66</v>
      </c>
      <c r="DR34" s="228">
        <v>0.82</v>
      </c>
      <c r="DS34" s="228">
        <v>-0.16</v>
      </c>
      <c r="DT34" s="229">
        <v>-0.1951</v>
      </c>
      <c r="DU34" s="228">
        <v>420</v>
      </c>
      <c r="DV34" s="228">
        <v>400</v>
      </c>
      <c r="DW34" s="228">
        <v>0.51</v>
      </c>
      <c r="DX34" s="228">
        <v>0.46</v>
      </c>
      <c r="DY34" s="228">
        <v>0.05</v>
      </c>
      <c r="DZ34" s="229">
        <v>0.1087</v>
      </c>
      <c r="EA34" s="229">
        <v>0.91659999999999997</v>
      </c>
      <c r="EB34" s="230">
        <v>110103000</v>
      </c>
      <c r="EC34" s="229">
        <v>8.8000000000000005E-3</v>
      </c>
      <c r="ED34" s="229">
        <v>0.91659999999999997</v>
      </c>
      <c r="EE34" s="228">
        <v>3.23</v>
      </c>
      <c r="EF34" s="229">
        <v>7.7000000000000002E-3</v>
      </c>
      <c r="EG34" s="230">
        <v>3709325</v>
      </c>
      <c r="EH34" s="230">
        <v>4881442</v>
      </c>
      <c r="EI34" s="229">
        <v>-0.24010000000000001</v>
      </c>
      <c r="EJ34" s="229">
        <v>0.36849999999999999</v>
      </c>
      <c r="EK34" s="231">
        <v>2407.81</v>
      </c>
      <c r="EL34" s="231">
        <v>1155.18</v>
      </c>
      <c r="EM34" s="231">
        <v>2244.5500000000002</v>
      </c>
      <c r="EN34" s="228">
        <v>214.04</v>
      </c>
      <c r="EO34" s="231">
        <v>5807.54</v>
      </c>
      <c r="EP34" s="231">
        <v>8157.46</v>
      </c>
      <c r="EQ34" s="231">
        <v>-2349.92</v>
      </c>
      <c r="ER34" s="229">
        <v>-0.28810000000000002</v>
      </c>
      <c r="ES34" s="228">
        <v>928.03</v>
      </c>
      <c r="ET34" s="228">
        <v>563.44000000000005</v>
      </c>
      <c r="EU34" s="231">
        <v>5121.41</v>
      </c>
      <c r="EV34" s="231">
        <v>192361942</v>
      </c>
      <c r="EW34" s="231">
        <v>6612.88</v>
      </c>
      <c r="EX34" s="231">
        <v>9015.61</v>
      </c>
      <c r="EY34" s="231">
        <v>-2402.73</v>
      </c>
      <c r="EZ34" s="229">
        <v>-0.26650000000000001</v>
      </c>
      <c r="FA34" s="229">
        <v>0.82399999999999995</v>
      </c>
      <c r="FB34" s="227" t="s">
        <v>567</v>
      </c>
      <c r="FC34">
        <f t="shared" si="0"/>
        <v>4655</v>
      </c>
    </row>
    <row r="35" spans="1:159" ht="17.25" thickBot="1" x14ac:dyDescent="0.3">
      <c r="A35" s="226">
        <v>46168</v>
      </c>
      <c r="B35" s="227" t="s">
        <v>170</v>
      </c>
      <c r="C35" s="227" t="s">
        <v>191</v>
      </c>
      <c r="D35" s="228">
        <v>2500</v>
      </c>
      <c r="E35" s="228">
        <v>0</v>
      </c>
      <c r="F35" s="228">
        <v>439.85</v>
      </c>
      <c r="G35" s="228">
        <v>433.35</v>
      </c>
      <c r="H35" s="228">
        <v>6.5</v>
      </c>
      <c r="I35" s="229">
        <v>1.4999999999999999E-2</v>
      </c>
      <c r="J35" s="228">
        <v>436.15</v>
      </c>
      <c r="K35" s="228">
        <v>430.05</v>
      </c>
      <c r="L35" s="228">
        <v>6.1</v>
      </c>
      <c r="M35" s="229">
        <v>1.4200000000000001E-2</v>
      </c>
      <c r="N35" s="228">
        <v>436.65</v>
      </c>
      <c r="O35" s="228">
        <v>430.55</v>
      </c>
      <c r="P35" s="228">
        <v>6.1</v>
      </c>
      <c r="Q35" s="229">
        <v>1.4200000000000001E-2</v>
      </c>
      <c r="R35" s="228">
        <v>439.85</v>
      </c>
      <c r="S35" s="228">
        <v>433.35</v>
      </c>
      <c r="T35" s="228">
        <v>6.5</v>
      </c>
      <c r="U35" s="229">
        <v>1.4999999999999999E-2</v>
      </c>
      <c r="V35" s="228">
        <v>441.8</v>
      </c>
      <c r="W35" s="228">
        <v>434.95</v>
      </c>
      <c r="X35" s="228">
        <v>6.85</v>
      </c>
      <c r="Y35" s="229">
        <v>1.5699999999999999E-2</v>
      </c>
      <c r="Z35" s="228">
        <v>3.7</v>
      </c>
      <c r="AA35" s="228">
        <v>0.5</v>
      </c>
      <c r="AB35" s="228">
        <v>3.2</v>
      </c>
      <c r="AC35" s="229">
        <v>8.5000000000000006E-3</v>
      </c>
      <c r="AD35" s="228">
        <v>0.5</v>
      </c>
      <c r="AE35" s="228">
        <v>0.5</v>
      </c>
      <c r="AF35" s="228">
        <v>0</v>
      </c>
      <c r="AG35" s="229">
        <v>1.1000000000000001E-3</v>
      </c>
      <c r="AH35" s="228">
        <v>3.7</v>
      </c>
      <c r="AI35" s="228">
        <v>3.3</v>
      </c>
      <c r="AJ35" s="228">
        <v>0.4</v>
      </c>
      <c r="AK35" s="229">
        <v>8.5000000000000006E-3</v>
      </c>
      <c r="AL35" s="228">
        <v>5.65</v>
      </c>
      <c r="AM35" s="228">
        <v>4.9000000000000004</v>
      </c>
      <c r="AN35" s="228">
        <v>0.75</v>
      </c>
      <c r="AO35" s="229">
        <v>1.2999999999999999E-2</v>
      </c>
      <c r="AP35" s="228">
        <v>435.14</v>
      </c>
      <c r="AQ35" s="228">
        <v>439.09</v>
      </c>
      <c r="AR35" s="228">
        <v>0</v>
      </c>
      <c r="AS35" s="228">
        <v>920</v>
      </c>
      <c r="AT35" s="230">
        <v>1113</v>
      </c>
      <c r="AU35" s="228">
        <v>-193</v>
      </c>
      <c r="AV35" s="229">
        <v>-0.17330000000000001</v>
      </c>
      <c r="AW35" s="228">
        <v>290</v>
      </c>
      <c r="AX35" s="228">
        <v>539</v>
      </c>
      <c r="AY35" s="228">
        <v>-249</v>
      </c>
      <c r="AZ35" s="229">
        <v>-0.46189999999999998</v>
      </c>
      <c r="BA35" s="228">
        <v>617</v>
      </c>
      <c r="BB35" s="228">
        <v>564</v>
      </c>
      <c r="BC35" s="228">
        <v>53</v>
      </c>
      <c r="BD35" s="229">
        <v>9.3799999999999994E-2</v>
      </c>
      <c r="BE35" s="228">
        <v>13</v>
      </c>
      <c r="BF35" s="228">
        <v>10</v>
      </c>
      <c r="BG35" s="228">
        <v>3</v>
      </c>
      <c r="BH35" s="229">
        <v>0.33710000000000001</v>
      </c>
      <c r="BI35" s="230">
        <v>1626</v>
      </c>
      <c r="BJ35" s="230">
        <v>1297</v>
      </c>
      <c r="BK35" s="228">
        <v>328</v>
      </c>
      <c r="BL35" s="229">
        <v>0.253</v>
      </c>
      <c r="BM35" s="228">
        <v>559</v>
      </c>
      <c r="BN35" s="228">
        <v>766</v>
      </c>
      <c r="BO35" s="228">
        <v>-207</v>
      </c>
      <c r="BP35" s="229">
        <v>-0.2702</v>
      </c>
      <c r="BQ35" s="230">
        <v>3105</v>
      </c>
      <c r="BR35" s="230">
        <v>3176</v>
      </c>
      <c r="BS35" s="228">
        <v>-72</v>
      </c>
      <c r="BT35" s="229">
        <v>-2.2499999999999999E-2</v>
      </c>
      <c r="BU35" s="230">
        <v>7314741</v>
      </c>
      <c r="BV35" s="230">
        <v>2088760</v>
      </c>
      <c r="BW35" s="230">
        <v>5225981</v>
      </c>
      <c r="BX35" s="229">
        <v>2.5019999999999998</v>
      </c>
      <c r="BY35" s="230">
        <v>1764</v>
      </c>
      <c r="BZ35" s="230">
        <v>1804</v>
      </c>
      <c r="CA35" s="228">
        <v>-39</v>
      </c>
      <c r="CB35" s="229">
        <v>-2.18E-2</v>
      </c>
      <c r="CC35" s="228">
        <v>122</v>
      </c>
      <c r="CD35" s="228">
        <v>254</v>
      </c>
      <c r="CE35" s="228">
        <v>-131</v>
      </c>
      <c r="CF35" s="229">
        <v>-0.5171</v>
      </c>
      <c r="CG35" s="230">
        <v>1742</v>
      </c>
      <c r="CH35" s="230">
        <v>1532</v>
      </c>
      <c r="CI35" s="228">
        <v>211</v>
      </c>
      <c r="CJ35" s="229">
        <v>0.1376</v>
      </c>
      <c r="CK35" s="228">
        <v>22</v>
      </c>
      <c r="CL35" s="228">
        <v>18</v>
      </c>
      <c r="CM35" s="228">
        <v>4</v>
      </c>
      <c r="CN35" s="229">
        <v>0.20480000000000001</v>
      </c>
      <c r="CO35" s="228">
        <v>430</v>
      </c>
      <c r="CP35" s="230">
        <v>1078</v>
      </c>
      <c r="CQ35" s="228">
        <v>-647</v>
      </c>
      <c r="CR35" s="229">
        <v>-0.60070000000000001</v>
      </c>
      <c r="CS35" s="228">
        <v>282</v>
      </c>
      <c r="CT35" s="228">
        <v>901</v>
      </c>
      <c r="CU35" s="228">
        <v>-619</v>
      </c>
      <c r="CV35" s="229">
        <v>-0.68710000000000004</v>
      </c>
      <c r="CW35" s="230">
        <v>2477</v>
      </c>
      <c r="CX35" s="230">
        <v>3782</v>
      </c>
      <c r="CY35" s="230">
        <v>-1306</v>
      </c>
      <c r="CZ35" s="229">
        <v>-0.34520000000000001</v>
      </c>
      <c r="DA35" s="228">
        <v>29.2</v>
      </c>
      <c r="DB35" s="228">
        <v>28.4</v>
      </c>
      <c r="DC35" s="228">
        <v>0.8</v>
      </c>
      <c r="DD35" s="228">
        <v>0.8</v>
      </c>
      <c r="DE35" s="228">
        <v>35.880000000000003</v>
      </c>
      <c r="DF35" s="228">
        <v>35.909999999999997</v>
      </c>
      <c r="DG35" s="228">
        <v>-6.68</v>
      </c>
      <c r="DH35" s="228">
        <v>-0.03</v>
      </c>
      <c r="DI35" s="228">
        <v>29.05</v>
      </c>
      <c r="DJ35" s="228">
        <v>27.24</v>
      </c>
      <c r="DK35" s="228">
        <v>1.81</v>
      </c>
      <c r="DL35" s="228">
        <v>1.81</v>
      </c>
      <c r="DM35" s="228">
        <v>29.81</v>
      </c>
      <c r="DN35" s="228">
        <v>30.12</v>
      </c>
      <c r="DO35" s="228">
        <v>-0.31</v>
      </c>
      <c r="DP35" s="228">
        <v>-0.31</v>
      </c>
      <c r="DQ35" s="228">
        <v>0.66</v>
      </c>
      <c r="DR35" s="228">
        <v>0.84</v>
      </c>
      <c r="DS35" s="228">
        <v>-0.18</v>
      </c>
      <c r="DT35" s="229">
        <v>-0.21429999999999999</v>
      </c>
      <c r="DU35" s="228">
        <v>440</v>
      </c>
      <c r="DV35" s="228">
        <v>380</v>
      </c>
      <c r="DW35" s="228">
        <v>0.34</v>
      </c>
      <c r="DX35" s="228">
        <v>0.59</v>
      </c>
      <c r="DY35" s="228">
        <v>-0.25</v>
      </c>
      <c r="DZ35" s="229">
        <v>-0.42370000000000002</v>
      </c>
      <c r="EA35" s="229">
        <v>0.93510000000000004</v>
      </c>
      <c r="EB35" s="230">
        <v>35237500</v>
      </c>
      <c r="EC35" s="229">
        <v>7.3000000000000001E-3</v>
      </c>
      <c r="ED35" s="229">
        <v>0.93510000000000004</v>
      </c>
      <c r="EE35" s="228">
        <v>3.95</v>
      </c>
      <c r="EF35" s="229">
        <v>9.1000000000000004E-3</v>
      </c>
      <c r="EG35" s="230">
        <v>4218640</v>
      </c>
      <c r="EH35" s="230">
        <v>989539</v>
      </c>
      <c r="EI35" s="229">
        <v>3.2631999999999999</v>
      </c>
      <c r="EJ35" s="229">
        <v>0.57669999999999999</v>
      </c>
      <c r="EK35" s="231">
        <v>1674.74</v>
      </c>
      <c r="EL35" s="228">
        <v>541.26</v>
      </c>
      <c r="EM35" s="228">
        <v>915.71</v>
      </c>
      <c r="EN35" s="228">
        <v>79.430000000000007</v>
      </c>
      <c r="EO35" s="231">
        <v>3131.71</v>
      </c>
      <c r="EP35" s="231">
        <v>3133.82</v>
      </c>
      <c r="EQ35" s="228">
        <v>-2.11</v>
      </c>
      <c r="ER35" s="229">
        <v>-6.9999999999999999E-4</v>
      </c>
      <c r="ES35" s="228">
        <v>431.6</v>
      </c>
      <c r="ET35" s="228">
        <v>262.73</v>
      </c>
      <c r="EU35" s="231">
        <v>1764.45</v>
      </c>
      <c r="EV35" s="231">
        <v>108004143</v>
      </c>
      <c r="EW35" s="231">
        <v>2458.77</v>
      </c>
      <c r="EX35" s="231">
        <v>3604.27</v>
      </c>
      <c r="EY35" s="231">
        <v>-1145.5</v>
      </c>
      <c r="EZ35" s="229">
        <v>-0.31780000000000003</v>
      </c>
      <c r="FA35" s="229">
        <v>0.52129999999999999</v>
      </c>
      <c r="FB35" s="227" t="s">
        <v>691</v>
      </c>
      <c r="FC35">
        <f t="shared" si="0"/>
        <v>1642</v>
      </c>
    </row>
    <row r="36" spans="1:159" ht="17.25" thickBot="1" x14ac:dyDescent="0.3">
      <c r="A36" s="226">
        <v>46168</v>
      </c>
      <c r="B36" s="227" t="s">
        <v>184</v>
      </c>
      <c r="C36" s="227" t="s">
        <v>675</v>
      </c>
      <c r="D36" s="228">
        <v>325</v>
      </c>
      <c r="E36" s="228">
        <v>0</v>
      </c>
      <c r="F36" s="231">
        <v>1651</v>
      </c>
      <c r="G36" s="231">
        <v>1659.6</v>
      </c>
      <c r="H36" s="228">
        <v>-8.6</v>
      </c>
      <c r="I36" s="229">
        <v>-5.1999999999999998E-3</v>
      </c>
      <c r="J36" s="231">
        <v>1640.9</v>
      </c>
      <c r="K36" s="231">
        <v>1652.3</v>
      </c>
      <c r="L36" s="228">
        <v>-11.4</v>
      </c>
      <c r="M36" s="229">
        <v>-6.8999999999999999E-3</v>
      </c>
      <c r="N36" s="231">
        <v>1646.1</v>
      </c>
      <c r="O36" s="231">
        <v>1659.6</v>
      </c>
      <c r="P36" s="228">
        <v>-13.5</v>
      </c>
      <c r="Q36" s="229">
        <v>-8.0999999999999996E-3</v>
      </c>
      <c r="R36" s="231">
        <v>1651</v>
      </c>
      <c r="S36" s="231">
        <v>1659.6</v>
      </c>
      <c r="T36" s="228">
        <v>-8.6</v>
      </c>
      <c r="U36" s="229">
        <v>-5.1999999999999998E-3</v>
      </c>
      <c r="V36" s="231">
        <v>1649.7</v>
      </c>
      <c r="W36" s="231">
        <v>1655</v>
      </c>
      <c r="X36" s="228">
        <v>-5.3</v>
      </c>
      <c r="Y36" s="229">
        <v>-3.2000000000000002E-3</v>
      </c>
      <c r="Z36" s="228">
        <v>10.1</v>
      </c>
      <c r="AA36" s="228">
        <v>7.3</v>
      </c>
      <c r="AB36" s="228">
        <v>2.8</v>
      </c>
      <c r="AC36" s="229">
        <v>6.1999999999999998E-3</v>
      </c>
      <c r="AD36" s="228">
        <v>5.2</v>
      </c>
      <c r="AE36" s="228">
        <v>7.3</v>
      </c>
      <c r="AF36" s="228">
        <v>-2.1</v>
      </c>
      <c r="AG36" s="229">
        <v>3.2000000000000002E-3</v>
      </c>
      <c r="AH36" s="228">
        <v>10.1</v>
      </c>
      <c r="AI36" s="228">
        <v>7.3</v>
      </c>
      <c r="AJ36" s="228">
        <v>2.8</v>
      </c>
      <c r="AK36" s="229">
        <v>6.1999999999999998E-3</v>
      </c>
      <c r="AL36" s="228">
        <v>8.8000000000000007</v>
      </c>
      <c r="AM36" s="228">
        <v>2.7</v>
      </c>
      <c r="AN36" s="228">
        <v>6.1</v>
      </c>
      <c r="AO36" s="229">
        <v>5.4000000000000003E-3</v>
      </c>
      <c r="AP36" s="231">
        <v>1637.05</v>
      </c>
      <c r="AQ36" s="231">
        <v>1640.23</v>
      </c>
      <c r="AR36" s="228">
        <v>0</v>
      </c>
      <c r="AS36" s="228">
        <v>240</v>
      </c>
      <c r="AT36" s="228">
        <v>401</v>
      </c>
      <c r="AU36" s="228">
        <v>-161</v>
      </c>
      <c r="AV36" s="229">
        <v>-0.40110000000000001</v>
      </c>
      <c r="AW36" s="228">
        <v>94</v>
      </c>
      <c r="AX36" s="228">
        <v>184</v>
      </c>
      <c r="AY36" s="228">
        <v>-90</v>
      </c>
      <c r="AZ36" s="229">
        <v>-0.48880000000000001</v>
      </c>
      <c r="BA36" s="228">
        <v>144</v>
      </c>
      <c r="BB36" s="228">
        <v>216</v>
      </c>
      <c r="BC36" s="228">
        <v>-72</v>
      </c>
      <c r="BD36" s="229">
        <v>-0.33350000000000002</v>
      </c>
      <c r="BE36" s="228">
        <v>2</v>
      </c>
      <c r="BF36" s="228">
        <v>1</v>
      </c>
      <c r="BG36" s="228">
        <v>1</v>
      </c>
      <c r="BH36" s="229">
        <v>0.78259999999999996</v>
      </c>
      <c r="BI36" s="228">
        <v>240</v>
      </c>
      <c r="BJ36" s="228">
        <v>284</v>
      </c>
      <c r="BK36" s="228">
        <v>-44</v>
      </c>
      <c r="BL36" s="229">
        <v>-0.15579999999999999</v>
      </c>
      <c r="BM36" s="228">
        <v>172</v>
      </c>
      <c r="BN36" s="228">
        <v>185</v>
      </c>
      <c r="BO36" s="228">
        <v>-14</v>
      </c>
      <c r="BP36" s="229">
        <v>-7.3300000000000004E-2</v>
      </c>
      <c r="BQ36" s="228">
        <v>652</v>
      </c>
      <c r="BR36" s="228">
        <v>870</v>
      </c>
      <c r="BS36" s="228">
        <v>-219</v>
      </c>
      <c r="BT36" s="229">
        <v>-0.25140000000000001</v>
      </c>
      <c r="BU36" s="230">
        <v>547060</v>
      </c>
      <c r="BV36" s="230">
        <v>260921</v>
      </c>
      <c r="BW36" s="230">
        <v>286139</v>
      </c>
      <c r="BX36" s="229">
        <v>1.0966</v>
      </c>
      <c r="BY36" s="228">
        <v>475</v>
      </c>
      <c r="BZ36" s="228">
        <v>543</v>
      </c>
      <c r="CA36" s="228">
        <v>-68</v>
      </c>
      <c r="CB36" s="229">
        <v>-0.12509999999999999</v>
      </c>
      <c r="CC36" s="228">
        <v>81</v>
      </c>
      <c r="CD36" s="228">
        <v>105</v>
      </c>
      <c r="CE36" s="228">
        <v>-25</v>
      </c>
      <c r="CF36" s="229">
        <v>-0.23469999999999999</v>
      </c>
      <c r="CG36" s="228">
        <v>470</v>
      </c>
      <c r="CH36" s="228">
        <v>434</v>
      </c>
      <c r="CI36" s="228">
        <v>36</v>
      </c>
      <c r="CJ36" s="229">
        <v>8.3599999999999994E-2</v>
      </c>
      <c r="CK36" s="228">
        <v>5</v>
      </c>
      <c r="CL36" s="228">
        <v>4</v>
      </c>
      <c r="CM36" s="228">
        <v>1</v>
      </c>
      <c r="CN36" s="229">
        <v>0.2727</v>
      </c>
      <c r="CO36" s="228">
        <v>87</v>
      </c>
      <c r="CP36" s="228">
        <v>414</v>
      </c>
      <c r="CQ36" s="228">
        <v>-327</v>
      </c>
      <c r="CR36" s="229">
        <v>-0.78900000000000003</v>
      </c>
      <c r="CS36" s="228">
        <v>65</v>
      </c>
      <c r="CT36" s="228">
        <v>230</v>
      </c>
      <c r="CU36" s="228">
        <v>-165</v>
      </c>
      <c r="CV36" s="229">
        <v>-0.7177</v>
      </c>
      <c r="CW36" s="228">
        <v>628</v>
      </c>
      <c r="CX36" s="230">
        <v>1188</v>
      </c>
      <c r="CY36" s="228">
        <v>-560</v>
      </c>
      <c r="CZ36" s="229">
        <v>-0.47160000000000002</v>
      </c>
      <c r="DA36" s="228">
        <v>35.56</v>
      </c>
      <c r="DB36" s="228">
        <v>37.04</v>
      </c>
      <c r="DC36" s="228">
        <v>-1.48</v>
      </c>
      <c r="DD36" s="228">
        <v>-1.48</v>
      </c>
      <c r="DE36" s="228">
        <v>42.29</v>
      </c>
      <c r="DF36" s="228">
        <v>42.39</v>
      </c>
      <c r="DG36" s="228">
        <v>-6.73</v>
      </c>
      <c r="DH36" s="228">
        <v>-0.1</v>
      </c>
      <c r="DI36" s="228">
        <v>35.58</v>
      </c>
      <c r="DJ36" s="228">
        <v>37.06</v>
      </c>
      <c r="DK36" s="228">
        <v>-1.48</v>
      </c>
      <c r="DL36" s="228">
        <v>-1.48</v>
      </c>
      <c r="DM36" s="228">
        <v>35.53</v>
      </c>
      <c r="DN36" s="228">
        <v>37</v>
      </c>
      <c r="DO36" s="228">
        <v>-1.47</v>
      </c>
      <c r="DP36" s="228">
        <v>-1.47</v>
      </c>
      <c r="DQ36" s="228">
        <v>0.74</v>
      </c>
      <c r="DR36" s="228">
        <v>0.56000000000000005</v>
      </c>
      <c r="DS36" s="228">
        <v>0.18</v>
      </c>
      <c r="DT36" s="229">
        <v>0.32140000000000002</v>
      </c>
      <c r="DU36" s="231">
        <v>1800</v>
      </c>
      <c r="DV36" s="231">
        <v>1800</v>
      </c>
      <c r="DW36" s="228">
        <v>0.72</v>
      </c>
      <c r="DX36" s="228">
        <v>0.65</v>
      </c>
      <c r="DY36" s="228">
        <v>7.0000000000000007E-2</v>
      </c>
      <c r="DZ36" s="229">
        <v>0.1077</v>
      </c>
      <c r="EA36" s="229">
        <v>0.85489999999999999</v>
      </c>
      <c r="EB36" s="230">
        <v>2652325</v>
      </c>
      <c r="EC36" s="229">
        <v>3.0000000000000001E-3</v>
      </c>
      <c r="ED36" s="229">
        <v>0.85489999999999999</v>
      </c>
      <c r="EE36" s="228">
        <v>3.18</v>
      </c>
      <c r="EF36" s="229">
        <v>1.9E-3</v>
      </c>
      <c r="EG36" s="230">
        <v>151795</v>
      </c>
      <c r="EH36" s="230">
        <v>116585</v>
      </c>
      <c r="EI36" s="229">
        <v>0.30199999999999999</v>
      </c>
      <c r="EJ36" s="229">
        <v>0.27750000000000002</v>
      </c>
      <c r="EK36" s="228">
        <v>253.91</v>
      </c>
      <c r="EL36" s="228">
        <v>169.84</v>
      </c>
      <c r="EM36" s="228">
        <v>238.58</v>
      </c>
      <c r="EN36" s="228">
        <v>58.06</v>
      </c>
      <c r="EO36" s="228">
        <v>662.33</v>
      </c>
      <c r="EP36" s="228">
        <v>891.36</v>
      </c>
      <c r="EQ36" s="228">
        <v>-229.02</v>
      </c>
      <c r="ER36" s="229">
        <v>-0.25690000000000002</v>
      </c>
      <c r="ES36" s="228">
        <v>92.94</v>
      </c>
      <c r="ET36" s="228">
        <v>64.489999999999995</v>
      </c>
      <c r="EU36" s="228">
        <v>475.29</v>
      </c>
      <c r="EV36" s="231">
        <v>15745076</v>
      </c>
      <c r="EW36" s="228">
        <v>632.72</v>
      </c>
      <c r="EX36" s="231">
        <v>1237.72</v>
      </c>
      <c r="EY36" s="228">
        <v>-605</v>
      </c>
      <c r="EZ36" s="229">
        <v>-0.48880000000000001</v>
      </c>
      <c r="FA36" s="229">
        <v>0.24149999999999999</v>
      </c>
      <c r="FB36" s="227" t="s">
        <v>567</v>
      </c>
      <c r="FC36">
        <f t="shared" si="0"/>
        <v>394</v>
      </c>
    </row>
    <row r="37" spans="1:159" ht="17.25" thickBot="1" x14ac:dyDescent="0.3">
      <c r="A37" s="226">
        <v>46168</v>
      </c>
      <c r="B37" s="227" t="s">
        <v>162</v>
      </c>
      <c r="C37" s="227" t="s">
        <v>192</v>
      </c>
      <c r="D37" s="228">
        <v>25</v>
      </c>
      <c r="E37" s="228">
        <v>0</v>
      </c>
      <c r="F37" s="231">
        <v>36060</v>
      </c>
      <c r="G37" s="231">
        <v>36645</v>
      </c>
      <c r="H37" s="228">
        <v>-585</v>
      </c>
      <c r="I37" s="229">
        <v>-1.6E-2</v>
      </c>
      <c r="J37" s="231">
        <v>35835</v>
      </c>
      <c r="K37" s="231">
        <v>36310</v>
      </c>
      <c r="L37" s="228">
        <v>-475</v>
      </c>
      <c r="M37" s="229">
        <v>-1.3100000000000001E-2</v>
      </c>
      <c r="N37" s="231">
        <v>35805</v>
      </c>
      <c r="O37" s="231">
        <v>36425</v>
      </c>
      <c r="P37" s="228">
        <v>-620</v>
      </c>
      <c r="Q37" s="229">
        <v>-1.7000000000000001E-2</v>
      </c>
      <c r="R37" s="231">
        <v>36060</v>
      </c>
      <c r="S37" s="231">
        <v>36645</v>
      </c>
      <c r="T37" s="228">
        <v>-585</v>
      </c>
      <c r="U37" s="229">
        <v>-1.6E-2</v>
      </c>
      <c r="V37" s="231">
        <v>36305</v>
      </c>
      <c r="W37" s="231">
        <v>36840</v>
      </c>
      <c r="X37" s="228">
        <v>-535</v>
      </c>
      <c r="Y37" s="229">
        <v>-1.4500000000000001E-2</v>
      </c>
      <c r="Z37" s="228">
        <v>225</v>
      </c>
      <c r="AA37" s="228">
        <v>115</v>
      </c>
      <c r="AB37" s="228">
        <v>110</v>
      </c>
      <c r="AC37" s="229">
        <v>6.3E-3</v>
      </c>
      <c r="AD37" s="228">
        <v>-30</v>
      </c>
      <c r="AE37" s="228">
        <v>115</v>
      </c>
      <c r="AF37" s="228">
        <v>-145</v>
      </c>
      <c r="AG37" s="229">
        <v>-8.0000000000000004E-4</v>
      </c>
      <c r="AH37" s="228">
        <v>225</v>
      </c>
      <c r="AI37" s="228">
        <v>335</v>
      </c>
      <c r="AJ37" s="228">
        <v>-110</v>
      </c>
      <c r="AK37" s="229">
        <v>6.3E-3</v>
      </c>
      <c r="AL37" s="228">
        <v>470</v>
      </c>
      <c r="AM37" s="228">
        <v>530</v>
      </c>
      <c r="AN37" s="228">
        <v>-60</v>
      </c>
      <c r="AO37" s="229">
        <v>1.3100000000000001E-2</v>
      </c>
      <c r="AP37" s="231">
        <v>36052.050000000003</v>
      </c>
      <c r="AQ37" s="231">
        <v>36307.72</v>
      </c>
      <c r="AR37" s="228">
        <v>0</v>
      </c>
      <c r="AS37" s="228">
        <v>327</v>
      </c>
      <c r="AT37" s="228">
        <v>696</v>
      </c>
      <c r="AU37" s="228">
        <v>-369</v>
      </c>
      <c r="AV37" s="229">
        <v>-0.53039999999999998</v>
      </c>
      <c r="AW37" s="228">
        <v>141</v>
      </c>
      <c r="AX37" s="228">
        <v>341</v>
      </c>
      <c r="AY37" s="228">
        <v>-200</v>
      </c>
      <c r="AZ37" s="229">
        <v>-0.58609999999999995</v>
      </c>
      <c r="BA37" s="228">
        <v>183</v>
      </c>
      <c r="BB37" s="228">
        <v>352</v>
      </c>
      <c r="BC37" s="228">
        <v>-169</v>
      </c>
      <c r="BD37" s="229">
        <v>-0.48120000000000002</v>
      </c>
      <c r="BE37" s="228">
        <v>3</v>
      </c>
      <c r="BF37" s="228">
        <v>3</v>
      </c>
      <c r="BG37" s="228">
        <v>0</v>
      </c>
      <c r="BH37" s="229">
        <v>0.1</v>
      </c>
      <c r="BI37" s="230">
        <v>1861</v>
      </c>
      <c r="BJ37" s="230">
        <v>5091</v>
      </c>
      <c r="BK37" s="230">
        <v>-3230</v>
      </c>
      <c r="BL37" s="229">
        <v>-0.63439999999999996</v>
      </c>
      <c r="BM37" s="228">
        <v>628</v>
      </c>
      <c r="BN37" s="230">
        <v>2161</v>
      </c>
      <c r="BO37" s="230">
        <v>-1533</v>
      </c>
      <c r="BP37" s="229">
        <v>-0.70930000000000004</v>
      </c>
      <c r="BQ37" s="230">
        <v>2816</v>
      </c>
      <c r="BR37" s="230">
        <v>7948</v>
      </c>
      <c r="BS37" s="230">
        <v>-5132</v>
      </c>
      <c r="BT37" s="229">
        <v>-0.64570000000000005</v>
      </c>
      <c r="BU37" s="230">
        <v>23817</v>
      </c>
      <c r="BV37" s="230">
        <v>23843</v>
      </c>
      <c r="BW37" s="228">
        <v>-26</v>
      </c>
      <c r="BX37" s="229">
        <v>-1.1000000000000001E-3</v>
      </c>
      <c r="BY37" s="230">
        <v>1250</v>
      </c>
      <c r="BZ37" s="230">
        <v>1311</v>
      </c>
      <c r="CA37" s="228">
        <v>-61</v>
      </c>
      <c r="CB37" s="229">
        <v>-4.6399999999999997E-2</v>
      </c>
      <c r="CC37" s="228">
        <v>55</v>
      </c>
      <c r="CD37" s="228">
        <v>139</v>
      </c>
      <c r="CE37" s="228">
        <v>-84</v>
      </c>
      <c r="CF37" s="229">
        <v>-0.60319999999999996</v>
      </c>
      <c r="CG37" s="230">
        <v>1233</v>
      </c>
      <c r="CH37" s="230">
        <v>1157</v>
      </c>
      <c r="CI37" s="228">
        <v>76</v>
      </c>
      <c r="CJ37" s="229">
        <v>6.5600000000000006E-2</v>
      </c>
      <c r="CK37" s="228">
        <v>17</v>
      </c>
      <c r="CL37" s="228">
        <v>15</v>
      </c>
      <c r="CM37" s="228">
        <v>3</v>
      </c>
      <c r="CN37" s="229">
        <v>0.17069999999999999</v>
      </c>
      <c r="CO37" s="228">
        <v>355</v>
      </c>
      <c r="CP37" s="230">
        <v>1203</v>
      </c>
      <c r="CQ37" s="228">
        <v>-848</v>
      </c>
      <c r="CR37" s="229">
        <v>-0.70520000000000005</v>
      </c>
      <c r="CS37" s="228">
        <v>178</v>
      </c>
      <c r="CT37" s="228">
        <v>505</v>
      </c>
      <c r="CU37" s="228">
        <v>-327</v>
      </c>
      <c r="CV37" s="229">
        <v>-0.64790000000000003</v>
      </c>
      <c r="CW37" s="230">
        <v>1783</v>
      </c>
      <c r="CX37" s="230">
        <v>3019</v>
      </c>
      <c r="CY37" s="230">
        <v>-1236</v>
      </c>
      <c r="CZ37" s="229">
        <v>-0.40949999999999998</v>
      </c>
      <c r="DA37" s="228">
        <v>28.51</v>
      </c>
      <c r="DB37" s="228">
        <v>29.08</v>
      </c>
      <c r="DC37" s="228">
        <v>-0.56999999999999995</v>
      </c>
      <c r="DD37" s="228">
        <v>-0.56999999999999995</v>
      </c>
      <c r="DE37" s="228">
        <v>34.979999999999997</v>
      </c>
      <c r="DF37" s="228">
        <v>35</v>
      </c>
      <c r="DG37" s="228">
        <v>-6.47</v>
      </c>
      <c r="DH37" s="228">
        <v>-0.02</v>
      </c>
      <c r="DI37" s="228">
        <v>28.76</v>
      </c>
      <c r="DJ37" s="228">
        <v>28.77</v>
      </c>
      <c r="DK37" s="228">
        <v>-0.01</v>
      </c>
      <c r="DL37" s="228">
        <v>-0.01</v>
      </c>
      <c r="DM37" s="228">
        <v>27.99</v>
      </c>
      <c r="DN37" s="228">
        <v>29.96</v>
      </c>
      <c r="DO37" s="228">
        <v>-1.97</v>
      </c>
      <c r="DP37" s="228">
        <v>-1.97</v>
      </c>
      <c r="DQ37" s="228">
        <v>0.5</v>
      </c>
      <c r="DR37" s="228">
        <v>0.42</v>
      </c>
      <c r="DS37" s="228">
        <v>0.08</v>
      </c>
      <c r="DT37" s="229">
        <v>0.1905</v>
      </c>
      <c r="DU37" s="231">
        <v>40000</v>
      </c>
      <c r="DV37" s="231">
        <v>33000</v>
      </c>
      <c r="DW37" s="228">
        <v>0.34</v>
      </c>
      <c r="DX37" s="228">
        <v>0.42</v>
      </c>
      <c r="DY37" s="228">
        <v>-0.08</v>
      </c>
      <c r="DZ37" s="229">
        <v>-0.1905</v>
      </c>
      <c r="EA37" s="229">
        <v>0.9577</v>
      </c>
      <c r="EB37" s="230">
        <v>325000</v>
      </c>
      <c r="EC37" s="229">
        <v>7.1000000000000004E-3</v>
      </c>
      <c r="ED37" s="229">
        <v>0.9577</v>
      </c>
      <c r="EE37" s="228">
        <v>255.67</v>
      </c>
      <c r="EF37" s="229">
        <v>7.1000000000000004E-3</v>
      </c>
      <c r="EG37" s="230">
        <v>8473</v>
      </c>
      <c r="EH37" s="230">
        <v>8324</v>
      </c>
      <c r="EI37" s="229">
        <v>1.7899999999999999E-2</v>
      </c>
      <c r="EJ37" s="229">
        <v>0.35580000000000001</v>
      </c>
      <c r="EK37" s="231">
        <v>1967.71</v>
      </c>
      <c r="EL37" s="228">
        <v>605.20000000000005</v>
      </c>
      <c r="EM37" s="228">
        <v>328.15</v>
      </c>
      <c r="EN37" s="228">
        <v>82.12</v>
      </c>
      <c r="EO37" s="231">
        <v>2901.06</v>
      </c>
      <c r="EP37" s="231">
        <v>8197.58</v>
      </c>
      <c r="EQ37" s="231">
        <v>-5296.52</v>
      </c>
      <c r="ER37" s="229">
        <v>-0.64610000000000001</v>
      </c>
      <c r="ES37" s="228">
        <v>381.9</v>
      </c>
      <c r="ET37" s="228">
        <v>168.65</v>
      </c>
      <c r="EU37" s="231">
        <v>1250.5</v>
      </c>
      <c r="EV37" s="231">
        <v>868841</v>
      </c>
      <c r="EW37" s="231">
        <v>1801.05</v>
      </c>
      <c r="EX37" s="231">
        <v>3102.4</v>
      </c>
      <c r="EY37" s="231">
        <v>-1301.3499999999999</v>
      </c>
      <c r="EZ37" s="229">
        <v>-0.41949999999999998</v>
      </c>
      <c r="FA37" s="229">
        <v>0.56910000000000005</v>
      </c>
      <c r="FB37" s="227" t="s">
        <v>567</v>
      </c>
      <c r="FC37">
        <f t="shared" si="0"/>
        <v>1195</v>
      </c>
    </row>
    <row r="38" spans="1:159" ht="17.25" thickBot="1" x14ac:dyDescent="0.3">
      <c r="A38" s="226">
        <v>46168</v>
      </c>
      <c r="B38" s="227" t="s">
        <v>193</v>
      </c>
      <c r="C38" s="227" t="s">
        <v>194</v>
      </c>
      <c r="D38" s="228">
        <v>1975</v>
      </c>
      <c r="E38" s="228">
        <v>0</v>
      </c>
      <c r="F38" s="228">
        <v>306.3</v>
      </c>
      <c r="G38" s="228">
        <v>309.89999999999998</v>
      </c>
      <c r="H38" s="228">
        <v>-3.6</v>
      </c>
      <c r="I38" s="229">
        <v>-1.1599999999999999E-2</v>
      </c>
      <c r="J38" s="228">
        <v>304.60000000000002</v>
      </c>
      <c r="K38" s="228">
        <v>308.25</v>
      </c>
      <c r="L38" s="228">
        <v>-3.65</v>
      </c>
      <c r="M38" s="229">
        <v>-1.18E-2</v>
      </c>
      <c r="N38" s="228">
        <v>304.8</v>
      </c>
      <c r="O38" s="228">
        <v>308.25</v>
      </c>
      <c r="P38" s="228">
        <v>-3.45</v>
      </c>
      <c r="Q38" s="229">
        <v>-1.12E-2</v>
      </c>
      <c r="R38" s="228">
        <v>306.3</v>
      </c>
      <c r="S38" s="228">
        <v>309.89999999999998</v>
      </c>
      <c r="T38" s="228">
        <v>-3.6</v>
      </c>
      <c r="U38" s="229">
        <v>-1.1599999999999999E-2</v>
      </c>
      <c r="V38" s="228">
        <v>308.05</v>
      </c>
      <c r="W38" s="228">
        <v>311.60000000000002</v>
      </c>
      <c r="X38" s="228">
        <v>-3.55</v>
      </c>
      <c r="Y38" s="229">
        <v>-1.14E-2</v>
      </c>
      <c r="Z38" s="228">
        <v>1.7</v>
      </c>
      <c r="AA38" s="228">
        <v>0</v>
      </c>
      <c r="AB38" s="228">
        <v>1.7</v>
      </c>
      <c r="AC38" s="229">
        <v>5.5999999999999999E-3</v>
      </c>
      <c r="AD38" s="228">
        <v>0.2</v>
      </c>
      <c r="AE38" s="228">
        <v>0</v>
      </c>
      <c r="AF38" s="228">
        <v>0.2</v>
      </c>
      <c r="AG38" s="229">
        <v>6.9999999999999999E-4</v>
      </c>
      <c r="AH38" s="228">
        <v>1.7</v>
      </c>
      <c r="AI38" s="228">
        <v>1.65</v>
      </c>
      <c r="AJ38" s="228">
        <v>0.05</v>
      </c>
      <c r="AK38" s="229">
        <v>5.5999999999999999E-3</v>
      </c>
      <c r="AL38" s="228">
        <v>3.45</v>
      </c>
      <c r="AM38" s="228">
        <v>3.35</v>
      </c>
      <c r="AN38" s="228">
        <v>0.1</v>
      </c>
      <c r="AO38" s="229">
        <v>1.1299999999999999E-2</v>
      </c>
      <c r="AP38" s="228">
        <v>304.20999999999998</v>
      </c>
      <c r="AQ38" s="228">
        <v>306.20999999999998</v>
      </c>
      <c r="AR38" s="228">
        <v>0</v>
      </c>
      <c r="AS38" s="228">
        <v>380</v>
      </c>
      <c r="AT38" s="230">
        <v>1110</v>
      </c>
      <c r="AU38" s="228">
        <v>-730</v>
      </c>
      <c r="AV38" s="229">
        <v>-0.65790000000000004</v>
      </c>
      <c r="AW38" s="228">
        <v>157</v>
      </c>
      <c r="AX38" s="228">
        <v>545</v>
      </c>
      <c r="AY38" s="228">
        <v>-388</v>
      </c>
      <c r="AZ38" s="229">
        <v>-0.71209999999999996</v>
      </c>
      <c r="BA38" s="228">
        <v>217</v>
      </c>
      <c r="BB38" s="228">
        <v>556</v>
      </c>
      <c r="BC38" s="228">
        <v>-339</v>
      </c>
      <c r="BD38" s="229">
        <v>-0.60929999999999995</v>
      </c>
      <c r="BE38" s="228">
        <v>5</v>
      </c>
      <c r="BF38" s="228">
        <v>8</v>
      </c>
      <c r="BG38" s="228">
        <v>-3</v>
      </c>
      <c r="BH38" s="229">
        <v>-0.35970000000000002</v>
      </c>
      <c r="BI38" s="228">
        <v>703</v>
      </c>
      <c r="BJ38" s="230">
        <v>2617</v>
      </c>
      <c r="BK38" s="230">
        <v>-1914</v>
      </c>
      <c r="BL38" s="229">
        <v>-0.73129999999999995</v>
      </c>
      <c r="BM38" s="228">
        <v>390</v>
      </c>
      <c r="BN38" s="230">
        <v>1094</v>
      </c>
      <c r="BO38" s="228">
        <v>-704</v>
      </c>
      <c r="BP38" s="229">
        <v>-0.64359999999999995</v>
      </c>
      <c r="BQ38" s="230">
        <v>1473</v>
      </c>
      <c r="BR38" s="230">
        <v>4822</v>
      </c>
      <c r="BS38" s="230">
        <v>-3349</v>
      </c>
      <c r="BT38" s="229">
        <v>-0.69450000000000001</v>
      </c>
      <c r="BU38" s="230">
        <v>8858712</v>
      </c>
      <c r="BV38" s="230">
        <v>14959578</v>
      </c>
      <c r="BW38" s="230">
        <v>-6100866</v>
      </c>
      <c r="BX38" s="229">
        <v>-0.4078</v>
      </c>
      <c r="BY38" s="230">
        <v>1516</v>
      </c>
      <c r="BZ38" s="230">
        <v>1787</v>
      </c>
      <c r="CA38" s="228">
        <v>-271</v>
      </c>
      <c r="CB38" s="229">
        <v>-0.1517</v>
      </c>
      <c r="CC38" s="228">
        <v>235</v>
      </c>
      <c r="CD38" s="228">
        <v>324</v>
      </c>
      <c r="CE38" s="228">
        <v>-89</v>
      </c>
      <c r="CF38" s="229">
        <v>-0.2752</v>
      </c>
      <c r="CG38" s="230">
        <v>1440</v>
      </c>
      <c r="CH38" s="230">
        <v>1388</v>
      </c>
      <c r="CI38" s="228">
        <v>51</v>
      </c>
      <c r="CJ38" s="229">
        <v>3.6999999999999998E-2</v>
      </c>
      <c r="CK38" s="228">
        <v>76</v>
      </c>
      <c r="CL38" s="228">
        <v>74</v>
      </c>
      <c r="CM38" s="228">
        <v>2</v>
      </c>
      <c r="CN38" s="229">
        <v>2.3599999999999999E-2</v>
      </c>
      <c r="CO38" s="228">
        <v>253</v>
      </c>
      <c r="CP38" s="228">
        <v>795</v>
      </c>
      <c r="CQ38" s="228">
        <v>-543</v>
      </c>
      <c r="CR38" s="229">
        <v>-0.68230000000000002</v>
      </c>
      <c r="CS38" s="228">
        <v>190</v>
      </c>
      <c r="CT38" s="228">
        <v>600</v>
      </c>
      <c r="CU38" s="228">
        <v>-410</v>
      </c>
      <c r="CV38" s="229">
        <v>-0.68289999999999995</v>
      </c>
      <c r="CW38" s="230">
        <v>1959</v>
      </c>
      <c r="CX38" s="230">
        <v>3182</v>
      </c>
      <c r="CY38" s="230">
        <v>-1224</v>
      </c>
      <c r="CZ38" s="229">
        <v>-0.38450000000000001</v>
      </c>
      <c r="DA38" s="228">
        <v>31.3</v>
      </c>
      <c r="DB38" s="228">
        <v>34.69</v>
      </c>
      <c r="DC38" s="228">
        <v>-3.39</v>
      </c>
      <c r="DD38" s="228">
        <v>-3.39</v>
      </c>
      <c r="DE38" s="228">
        <v>37.82</v>
      </c>
      <c r="DF38" s="228">
        <v>37.880000000000003</v>
      </c>
      <c r="DG38" s="228">
        <v>-6.52</v>
      </c>
      <c r="DH38" s="228">
        <v>-0.06</v>
      </c>
      <c r="DI38" s="228">
        <v>31.18</v>
      </c>
      <c r="DJ38" s="228">
        <v>34.47</v>
      </c>
      <c r="DK38" s="228">
        <v>-3.29</v>
      </c>
      <c r="DL38" s="228">
        <v>-3.29</v>
      </c>
      <c r="DM38" s="228">
        <v>31.49</v>
      </c>
      <c r="DN38" s="228">
        <v>35.090000000000003</v>
      </c>
      <c r="DO38" s="228">
        <v>-3.6</v>
      </c>
      <c r="DP38" s="228">
        <v>-3.6</v>
      </c>
      <c r="DQ38" s="228">
        <v>0.75</v>
      </c>
      <c r="DR38" s="228">
        <v>0.75</v>
      </c>
      <c r="DS38" s="228">
        <v>0</v>
      </c>
      <c r="DT38" s="229">
        <v>0</v>
      </c>
      <c r="DU38" s="228">
        <v>350</v>
      </c>
      <c r="DV38" s="228">
        <v>280</v>
      </c>
      <c r="DW38" s="228">
        <v>0.55000000000000004</v>
      </c>
      <c r="DX38" s="228">
        <v>0.42</v>
      </c>
      <c r="DY38" s="228">
        <v>0.13</v>
      </c>
      <c r="DZ38" s="229">
        <v>0.3095</v>
      </c>
      <c r="EA38" s="229">
        <v>0.86580000000000001</v>
      </c>
      <c r="EB38" s="230">
        <v>47753525</v>
      </c>
      <c r="EC38" s="229">
        <v>4.8999999999999998E-3</v>
      </c>
      <c r="ED38" s="229">
        <v>0.86580000000000001</v>
      </c>
      <c r="EE38" s="228">
        <v>2</v>
      </c>
      <c r="EF38" s="229">
        <v>6.6E-3</v>
      </c>
      <c r="EG38" s="230">
        <v>4373689</v>
      </c>
      <c r="EH38" s="230">
        <v>6833106</v>
      </c>
      <c r="EI38" s="229">
        <v>-0.3599</v>
      </c>
      <c r="EJ38" s="229">
        <v>0.49370000000000003</v>
      </c>
      <c r="EK38" s="228">
        <v>736.47</v>
      </c>
      <c r="EL38" s="228">
        <v>390.59</v>
      </c>
      <c r="EM38" s="228">
        <v>378.68</v>
      </c>
      <c r="EN38" s="228">
        <v>131.07</v>
      </c>
      <c r="EO38" s="231">
        <v>1505.74</v>
      </c>
      <c r="EP38" s="231">
        <v>4893.7700000000004</v>
      </c>
      <c r="EQ38" s="231">
        <v>-3388.02</v>
      </c>
      <c r="ER38" s="229">
        <v>-0.69230000000000003</v>
      </c>
      <c r="ES38" s="228">
        <v>262.29000000000002</v>
      </c>
      <c r="ET38" s="228">
        <v>181.84</v>
      </c>
      <c r="EU38" s="231">
        <v>1516.24</v>
      </c>
      <c r="EV38" s="231">
        <v>306020745</v>
      </c>
      <c r="EW38" s="231">
        <v>1960.37</v>
      </c>
      <c r="EX38" s="231">
        <v>3207.75</v>
      </c>
      <c r="EY38" s="231">
        <v>-1247.3800000000001</v>
      </c>
      <c r="EZ38" s="229">
        <v>-0.38890000000000002</v>
      </c>
      <c r="FA38" s="229">
        <v>0.20899999999999999</v>
      </c>
      <c r="FB38" s="227" t="s">
        <v>567</v>
      </c>
      <c r="FC38">
        <f t="shared" si="0"/>
        <v>1281</v>
      </c>
    </row>
    <row r="39" spans="1:159" ht="17.25" thickBot="1" x14ac:dyDescent="0.3">
      <c r="A39" s="226">
        <v>46168</v>
      </c>
      <c r="B39" s="227" t="s">
        <v>168</v>
      </c>
      <c r="C39" s="227" t="s">
        <v>195</v>
      </c>
      <c r="D39" s="228">
        <v>125</v>
      </c>
      <c r="E39" s="228">
        <v>0</v>
      </c>
      <c r="F39" s="231">
        <v>5363.5</v>
      </c>
      <c r="G39" s="231">
        <v>5345</v>
      </c>
      <c r="H39" s="228">
        <v>18.5</v>
      </c>
      <c r="I39" s="229">
        <v>3.5000000000000001E-3</v>
      </c>
      <c r="J39" s="231">
        <v>5338</v>
      </c>
      <c r="K39" s="231">
        <v>5327</v>
      </c>
      <c r="L39" s="228">
        <v>11</v>
      </c>
      <c r="M39" s="229">
        <v>2.0999999999999999E-3</v>
      </c>
      <c r="N39" s="231">
        <v>5331.5</v>
      </c>
      <c r="O39" s="231">
        <v>5339.5</v>
      </c>
      <c r="P39" s="228">
        <v>-8</v>
      </c>
      <c r="Q39" s="229">
        <v>-1.5E-3</v>
      </c>
      <c r="R39" s="231">
        <v>5363.5</v>
      </c>
      <c r="S39" s="231">
        <v>5345</v>
      </c>
      <c r="T39" s="228">
        <v>18.5</v>
      </c>
      <c r="U39" s="229">
        <v>3.5000000000000001E-3</v>
      </c>
      <c r="V39" s="231">
        <v>5391</v>
      </c>
      <c r="W39" s="231">
        <v>5378</v>
      </c>
      <c r="X39" s="228">
        <v>13</v>
      </c>
      <c r="Y39" s="229">
        <v>2.3999999999999998E-3</v>
      </c>
      <c r="Z39" s="228">
        <v>25.5</v>
      </c>
      <c r="AA39" s="228">
        <v>12.5</v>
      </c>
      <c r="AB39" s="228">
        <v>13</v>
      </c>
      <c r="AC39" s="229">
        <v>4.7999999999999996E-3</v>
      </c>
      <c r="AD39" s="228">
        <v>-6.5</v>
      </c>
      <c r="AE39" s="228">
        <v>12.5</v>
      </c>
      <c r="AF39" s="228">
        <v>-19</v>
      </c>
      <c r="AG39" s="229">
        <v>-1.1999999999999999E-3</v>
      </c>
      <c r="AH39" s="228">
        <v>25.5</v>
      </c>
      <c r="AI39" s="228">
        <v>18</v>
      </c>
      <c r="AJ39" s="228">
        <v>7.5</v>
      </c>
      <c r="AK39" s="229">
        <v>4.7999999999999996E-3</v>
      </c>
      <c r="AL39" s="228">
        <v>53</v>
      </c>
      <c r="AM39" s="228">
        <v>51</v>
      </c>
      <c r="AN39" s="228">
        <v>2</v>
      </c>
      <c r="AO39" s="229">
        <v>9.9000000000000008E-3</v>
      </c>
      <c r="AP39" s="231">
        <v>5323.42</v>
      </c>
      <c r="AQ39" s="231">
        <v>5342.41</v>
      </c>
      <c r="AR39" s="228">
        <v>0</v>
      </c>
      <c r="AS39" s="228">
        <v>548</v>
      </c>
      <c r="AT39" s="230">
        <v>1021</v>
      </c>
      <c r="AU39" s="228">
        <v>-473</v>
      </c>
      <c r="AV39" s="229">
        <v>-0.46300000000000002</v>
      </c>
      <c r="AW39" s="228">
        <v>265</v>
      </c>
      <c r="AX39" s="228">
        <v>494</v>
      </c>
      <c r="AY39" s="228">
        <v>-228</v>
      </c>
      <c r="AZ39" s="229">
        <v>-0.4627</v>
      </c>
      <c r="BA39" s="228">
        <v>281</v>
      </c>
      <c r="BB39" s="228">
        <v>517</v>
      </c>
      <c r="BC39" s="228">
        <v>-236</v>
      </c>
      <c r="BD39" s="229">
        <v>-0.45660000000000001</v>
      </c>
      <c r="BE39" s="228">
        <v>2</v>
      </c>
      <c r="BF39" s="228">
        <v>11</v>
      </c>
      <c r="BG39" s="228">
        <v>-9</v>
      </c>
      <c r="BH39" s="229">
        <v>-0.77580000000000005</v>
      </c>
      <c r="BI39" s="228">
        <v>676</v>
      </c>
      <c r="BJ39" s="228">
        <v>982</v>
      </c>
      <c r="BK39" s="228">
        <v>-306</v>
      </c>
      <c r="BL39" s="229">
        <v>-0.31159999999999999</v>
      </c>
      <c r="BM39" s="228">
        <v>318</v>
      </c>
      <c r="BN39" s="228">
        <v>440</v>
      </c>
      <c r="BO39" s="228">
        <v>-122</v>
      </c>
      <c r="BP39" s="229">
        <v>-0.27679999999999999</v>
      </c>
      <c r="BQ39" s="230">
        <v>1542</v>
      </c>
      <c r="BR39" s="230">
        <v>2443</v>
      </c>
      <c r="BS39" s="228">
        <v>-901</v>
      </c>
      <c r="BT39" s="229">
        <v>-0.36859999999999998</v>
      </c>
      <c r="BU39" s="230">
        <v>199074</v>
      </c>
      <c r="BV39" s="230">
        <v>291931</v>
      </c>
      <c r="BW39" s="230">
        <v>-92857</v>
      </c>
      <c r="BX39" s="229">
        <v>-0.31809999999999999</v>
      </c>
      <c r="BY39" s="230">
        <v>1328</v>
      </c>
      <c r="BZ39" s="230">
        <v>1561</v>
      </c>
      <c r="CA39" s="228">
        <v>-233</v>
      </c>
      <c r="CB39" s="229">
        <v>-0.1492</v>
      </c>
      <c r="CC39" s="228">
        <v>235</v>
      </c>
      <c r="CD39" s="228">
        <v>338</v>
      </c>
      <c r="CE39" s="228">
        <v>-103</v>
      </c>
      <c r="CF39" s="229">
        <v>-0.30349999999999999</v>
      </c>
      <c r="CG39" s="230">
        <v>1311</v>
      </c>
      <c r="CH39" s="230">
        <v>1207</v>
      </c>
      <c r="CI39" s="228">
        <v>104</v>
      </c>
      <c r="CJ39" s="229">
        <v>8.5800000000000001E-2</v>
      </c>
      <c r="CK39" s="228">
        <v>17</v>
      </c>
      <c r="CL39" s="228">
        <v>16</v>
      </c>
      <c r="CM39" s="228">
        <v>1</v>
      </c>
      <c r="CN39" s="229">
        <v>9.3200000000000005E-2</v>
      </c>
      <c r="CO39" s="228">
        <v>202</v>
      </c>
      <c r="CP39" s="230">
        <v>1047</v>
      </c>
      <c r="CQ39" s="228">
        <v>-845</v>
      </c>
      <c r="CR39" s="229">
        <v>-0.80710000000000004</v>
      </c>
      <c r="CS39" s="228">
        <v>196</v>
      </c>
      <c r="CT39" s="228">
        <v>604</v>
      </c>
      <c r="CU39" s="228">
        <v>-408</v>
      </c>
      <c r="CV39" s="229">
        <v>-0.67549999999999999</v>
      </c>
      <c r="CW39" s="230">
        <v>1726</v>
      </c>
      <c r="CX39" s="230">
        <v>3212</v>
      </c>
      <c r="CY39" s="230">
        <v>-1486</v>
      </c>
      <c r="CZ39" s="229">
        <v>-0.46260000000000001</v>
      </c>
      <c r="DA39" s="228">
        <v>21.34</v>
      </c>
      <c r="DB39" s="228">
        <v>22.6</v>
      </c>
      <c r="DC39" s="228">
        <v>-1.26</v>
      </c>
      <c r="DD39" s="228">
        <v>-1.26</v>
      </c>
      <c r="DE39" s="228">
        <v>25.51</v>
      </c>
      <c r="DF39" s="228">
        <v>25.57</v>
      </c>
      <c r="DG39" s="228">
        <v>-4.17</v>
      </c>
      <c r="DH39" s="228">
        <v>-0.06</v>
      </c>
      <c r="DI39" s="228">
        <v>21.51</v>
      </c>
      <c r="DJ39" s="228">
        <v>23.1</v>
      </c>
      <c r="DK39" s="228">
        <v>-1.59</v>
      </c>
      <c r="DL39" s="228">
        <v>-1.59</v>
      </c>
      <c r="DM39" s="228">
        <v>21.11</v>
      </c>
      <c r="DN39" s="228">
        <v>21.89</v>
      </c>
      <c r="DO39" s="228">
        <v>-0.78</v>
      </c>
      <c r="DP39" s="228">
        <v>-0.78</v>
      </c>
      <c r="DQ39" s="228">
        <v>0.97</v>
      </c>
      <c r="DR39" s="228">
        <v>0.57999999999999996</v>
      </c>
      <c r="DS39" s="228">
        <v>0.39</v>
      </c>
      <c r="DT39" s="229">
        <v>0.6724</v>
      </c>
      <c r="DU39" s="231">
        <v>5700</v>
      </c>
      <c r="DV39" s="231">
        <v>5400</v>
      </c>
      <c r="DW39" s="228">
        <v>0.47</v>
      </c>
      <c r="DX39" s="228">
        <v>0.45</v>
      </c>
      <c r="DY39" s="228">
        <v>0.02</v>
      </c>
      <c r="DZ39" s="229">
        <v>4.4400000000000002E-2</v>
      </c>
      <c r="EA39" s="229">
        <v>0.84940000000000004</v>
      </c>
      <c r="EB39" s="230">
        <v>2280375</v>
      </c>
      <c r="EC39" s="229">
        <v>6.0000000000000001E-3</v>
      </c>
      <c r="ED39" s="229">
        <v>0.84940000000000004</v>
      </c>
      <c r="EE39" s="228">
        <v>18.989999999999998</v>
      </c>
      <c r="EF39" s="229">
        <v>3.5999999999999999E-3</v>
      </c>
      <c r="EG39" s="230">
        <v>108519</v>
      </c>
      <c r="EH39" s="230">
        <v>182959</v>
      </c>
      <c r="EI39" s="229">
        <v>-0.40689999999999998</v>
      </c>
      <c r="EJ39" s="229">
        <v>0.54510000000000003</v>
      </c>
      <c r="EK39" s="228">
        <v>703.18</v>
      </c>
      <c r="EL39" s="228">
        <v>321.12</v>
      </c>
      <c r="EM39" s="228">
        <v>545.34</v>
      </c>
      <c r="EN39" s="228">
        <v>100.69</v>
      </c>
      <c r="EO39" s="231">
        <v>1569.63</v>
      </c>
      <c r="EP39" s="231">
        <v>2489.9</v>
      </c>
      <c r="EQ39" s="228">
        <v>-920.27</v>
      </c>
      <c r="ER39" s="229">
        <v>-0.36959999999999998</v>
      </c>
      <c r="ES39" s="228">
        <v>210.3</v>
      </c>
      <c r="ET39" s="228">
        <v>194.96</v>
      </c>
      <c r="EU39" s="231">
        <v>1328.23</v>
      </c>
      <c r="EV39" s="231">
        <v>14553559</v>
      </c>
      <c r="EW39" s="231">
        <v>1733.48</v>
      </c>
      <c r="EX39" s="231">
        <v>3286.95</v>
      </c>
      <c r="EY39" s="231">
        <v>-1553.47</v>
      </c>
      <c r="EZ39" s="229">
        <v>-0.47260000000000002</v>
      </c>
      <c r="FA39" s="229">
        <v>0.22109999999999999</v>
      </c>
      <c r="FB39" s="227" t="s">
        <v>691</v>
      </c>
      <c r="FC39">
        <f t="shared" si="0"/>
        <v>1093</v>
      </c>
    </row>
    <row r="40" spans="1:159" ht="17.25" thickBot="1" x14ac:dyDescent="0.3">
      <c r="A40" s="226">
        <v>46168</v>
      </c>
      <c r="B40" s="227" t="s">
        <v>175</v>
      </c>
      <c r="C40" s="227" t="s">
        <v>583</v>
      </c>
      <c r="D40" s="228">
        <v>375</v>
      </c>
      <c r="E40" s="228">
        <v>0</v>
      </c>
      <c r="F40" s="231">
        <v>4421.3999999999996</v>
      </c>
      <c r="G40" s="231">
        <v>4326.3</v>
      </c>
      <c r="H40" s="228">
        <v>95.1</v>
      </c>
      <c r="I40" s="229">
        <v>2.1999999999999999E-2</v>
      </c>
      <c r="J40" s="231">
        <v>4403.3</v>
      </c>
      <c r="K40" s="231">
        <v>4291.2</v>
      </c>
      <c r="L40" s="228">
        <v>112.1</v>
      </c>
      <c r="M40" s="229">
        <v>2.6100000000000002E-2</v>
      </c>
      <c r="N40" s="231">
        <v>4412.3</v>
      </c>
      <c r="O40" s="231">
        <v>4292.5</v>
      </c>
      <c r="P40" s="228">
        <v>119.8</v>
      </c>
      <c r="Q40" s="229">
        <v>2.7900000000000001E-2</v>
      </c>
      <c r="R40" s="231">
        <v>4421.3999999999996</v>
      </c>
      <c r="S40" s="231">
        <v>4326.3</v>
      </c>
      <c r="T40" s="228">
        <v>95.1</v>
      </c>
      <c r="U40" s="229">
        <v>2.1999999999999999E-2</v>
      </c>
      <c r="V40" s="231">
        <v>4429.3999999999996</v>
      </c>
      <c r="W40" s="231">
        <v>4337.2</v>
      </c>
      <c r="X40" s="228">
        <v>92.2</v>
      </c>
      <c r="Y40" s="229">
        <v>2.1299999999999999E-2</v>
      </c>
      <c r="Z40" s="228">
        <v>18.100000000000001</v>
      </c>
      <c r="AA40" s="228">
        <v>1.3</v>
      </c>
      <c r="AB40" s="228">
        <v>16.8</v>
      </c>
      <c r="AC40" s="229">
        <v>4.1000000000000003E-3</v>
      </c>
      <c r="AD40" s="228">
        <v>9</v>
      </c>
      <c r="AE40" s="228">
        <v>1.3</v>
      </c>
      <c r="AF40" s="228">
        <v>7.7</v>
      </c>
      <c r="AG40" s="229">
        <v>2E-3</v>
      </c>
      <c r="AH40" s="228">
        <v>18.100000000000001</v>
      </c>
      <c r="AI40" s="228">
        <v>35.1</v>
      </c>
      <c r="AJ40" s="228">
        <v>-17</v>
      </c>
      <c r="AK40" s="229">
        <v>4.1000000000000003E-3</v>
      </c>
      <c r="AL40" s="228">
        <v>26.1</v>
      </c>
      <c r="AM40" s="228">
        <v>46</v>
      </c>
      <c r="AN40" s="228">
        <v>-19.899999999999999</v>
      </c>
      <c r="AO40" s="229">
        <v>5.8999999999999999E-3</v>
      </c>
      <c r="AP40" s="231">
        <v>4350.91</v>
      </c>
      <c r="AQ40" s="231">
        <v>4380.6099999999997</v>
      </c>
      <c r="AR40" s="228">
        <v>0</v>
      </c>
      <c r="AS40" s="230">
        <v>2910</v>
      </c>
      <c r="AT40" s="230">
        <v>2410</v>
      </c>
      <c r="AU40" s="228">
        <v>500</v>
      </c>
      <c r="AV40" s="229">
        <v>0.20730000000000001</v>
      </c>
      <c r="AW40" s="230">
        <v>1126</v>
      </c>
      <c r="AX40" s="228">
        <v>979</v>
      </c>
      <c r="AY40" s="228">
        <v>147</v>
      </c>
      <c r="AZ40" s="229">
        <v>0.14990000000000001</v>
      </c>
      <c r="BA40" s="230">
        <v>1635</v>
      </c>
      <c r="BB40" s="230">
        <v>1366</v>
      </c>
      <c r="BC40" s="228">
        <v>269</v>
      </c>
      <c r="BD40" s="229">
        <v>0.19719999999999999</v>
      </c>
      <c r="BE40" s="228">
        <v>149</v>
      </c>
      <c r="BF40" s="228">
        <v>66</v>
      </c>
      <c r="BG40" s="228">
        <v>84</v>
      </c>
      <c r="BH40" s="229">
        <v>1.2753000000000001</v>
      </c>
      <c r="BI40" s="230">
        <v>8333</v>
      </c>
      <c r="BJ40" s="230">
        <v>10096</v>
      </c>
      <c r="BK40" s="230">
        <v>-1763</v>
      </c>
      <c r="BL40" s="229">
        <v>-0.17469999999999999</v>
      </c>
      <c r="BM40" s="230">
        <v>6243</v>
      </c>
      <c r="BN40" s="230">
        <v>8771</v>
      </c>
      <c r="BO40" s="230">
        <v>-2529</v>
      </c>
      <c r="BP40" s="229">
        <v>-0.2883</v>
      </c>
      <c r="BQ40" s="230">
        <v>17485</v>
      </c>
      <c r="BR40" s="230">
        <v>21278</v>
      </c>
      <c r="BS40" s="230">
        <v>-3792</v>
      </c>
      <c r="BT40" s="229">
        <v>-0.1782</v>
      </c>
      <c r="BU40" s="230">
        <v>3782550</v>
      </c>
      <c r="BV40" s="230">
        <v>2791628</v>
      </c>
      <c r="BW40" s="230">
        <v>990922</v>
      </c>
      <c r="BX40" s="229">
        <v>0.35499999999999998</v>
      </c>
      <c r="BY40" s="230">
        <v>3366</v>
      </c>
      <c r="BZ40" s="230">
        <v>3750</v>
      </c>
      <c r="CA40" s="228">
        <v>-384</v>
      </c>
      <c r="CB40" s="229">
        <v>-0.1024</v>
      </c>
      <c r="CC40" s="228">
        <v>478</v>
      </c>
      <c r="CD40" s="228">
        <v>787</v>
      </c>
      <c r="CE40" s="228">
        <v>-309</v>
      </c>
      <c r="CF40" s="229">
        <v>-0.39319999999999999</v>
      </c>
      <c r="CG40" s="230">
        <v>3278</v>
      </c>
      <c r="CH40" s="230">
        <v>2895</v>
      </c>
      <c r="CI40" s="228">
        <v>383</v>
      </c>
      <c r="CJ40" s="229">
        <v>0.13220000000000001</v>
      </c>
      <c r="CK40" s="228">
        <v>89</v>
      </c>
      <c r="CL40" s="228">
        <v>68</v>
      </c>
      <c r="CM40" s="228">
        <v>20</v>
      </c>
      <c r="CN40" s="229">
        <v>0.29499999999999998</v>
      </c>
      <c r="CO40" s="230">
        <v>1752</v>
      </c>
      <c r="CP40" s="230">
        <v>3362</v>
      </c>
      <c r="CQ40" s="230">
        <v>-1610</v>
      </c>
      <c r="CR40" s="229">
        <v>-0.4788</v>
      </c>
      <c r="CS40" s="230">
        <v>1734</v>
      </c>
      <c r="CT40" s="230">
        <v>3780</v>
      </c>
      <c r="CU40" s="230">
        <v>-2047</v>
      </c>
      <c r="CV40" s="229">
        <v>-0.54139999999999999</v>
      </c>
      <c r="CW40" s="230">
        <v>6852</v>
      </c>
      <c r="CX40" s="230">
        <v>10892</v>
      </c>
      <c r="CY40" s="230">
        <v>-4040</v>
      </c>
      <c r="CZ40" s="229">
        <v>-0.37090000000000001</v>
      </c>
      <c r="DA40" s="228">
        <v>32.950000000000003</v>
      </c>
      <c r="DB40" s="228">
        <v>34.15</v>
      </c>
      <c r="DC40" s="228">
        <v>-1.2</v>
      </c>
      <c r="DD40" s="228">
        <v>-1.2</v>
      </c>
      <c r="DE40" s="228">
        <v>56.83</v>
      </c>
      <c r="DF40" s="228">
        <v>56.87</v>
      </c>
      <c r="DG40" s="228">
        <v>-23.88</v>
      </c>
      <c r="DH40" s="228">
        <v>-0.04</v>
      </c>
      <c r="DI40" s="228">
        <v>32.049999999999997</v>
      </c>
      <c r="DJ40" s="228">
        <v>33.590000000000003</v>
      </c>
      <c r="DK40" s="228">
        <v>-1.54</v>
      </c>
      <c r="DL40" s="228">
        <v>-1.54</v>
      </c>
      <c r="DM40" s="228">
        <v>34.31</v>
      </c>
      <c r="DN40" s="228">
        <v>34.92</v>
      </c>
      <c r="DO40" s="228">
        <v>-0.61</v>
      </c>
      <c r="DP40" s="228">
        <v>-0.61</v>
      </c>
      <c r="DQ40" s="228">
        <v>0.99</v>
      </c>
      <c r="DR40" s="228">
        <v>1.1200000000000001</v>
      </c>
      <c r="DS40" s="228">
        <v>-0.13</v>
      </c>
      <c r="DT40" s="229">
        <v>-0.11609999999999999</v>
      </c>
      <c r="DU40" s="231">
        <v>4400</v>
      </c>
      <c r="DV40" s="231">
        <v>4000</v>
      </c>
      <c r="DW40" s="228">
        <v>0.75</v>
      </c>
      <c r="DX40" s="228">
        <v>0.87</v>
      </c>
      <c r="DY40" s="228">
        <v>-0.12</v>
      </c>
      <c r="DZ40" s="229">
        <v>-0.13789999999999999</v>
      </c>
      <c r="EA40" s="229">
        <v>0.87580000000000002</v>
      </c>
      <c r="EB40" s="230">
        <v>6702100</v>
      </c>
      <c r="EC40" s="229">
        <v>2.0999999999999999E-3</v>
      </c>
      <c r="ED40" s="229">
        <v>0.87580000000000002</v>
      </c>
      <c r="EE40" s="228">
        <v>29.7</v>
      </c>
      <c r="EF40" s="229">
        <v>6.7999999999999996E-3</v>
      </c>
      <c r="EG40" s="230">
        <v>974344</v>
      </c>
      <c r="EH40" s="230">
        <v>1141730</v>
      </c>
      <c r="EI40" s="229">
        <v>-0.14660000000000001</v>
      </c>
      <c r="EJ40" s="229">
        <v>0.2576</v>
      </c>
      <c r="EK40" s="231">
        <v>8445.4500000000007</v>
      </c>
      <c r="EL40" s="231">
        <v>5808.71</v>
      </c>
      <c r="EM40" s="231">
        <v>2806.7</v>
      </c>
      <c r="EN40" s="228">
        <v>153.77000000000001</v>
      </c>
      <c r="EO40" s="231">
        <v>17060.87</v>
      </c>
      <c r="EP40" s="231">
        <v>20406.34</v>
      </c>
      <c r="EQ40" s="231">
        <v>-3345.48</v>
      </c>
      <c r="ER40" s="229">
        <v>-0.16389999999999999</v>
      </c>
      <c r="ES40" s="231">
        <v>1694.74</v>
      </c>
      <c r="ET40" s="231">
        <v>1556.52</v>
      </c>
      <c r="EU40" s="231">
        <v>3366.26</v>
      </c>
      <c r="EV40" s="231">
        <v>61182611</v>
      </c>
      <c r="EW40" s="231">
        <v>6617.52</v>
      </c>
      <c r="EX40" s="231">
        <v>10043.74</v>
      </c>
      <c r="EY40" s="231">
        <v>-3426.22</v>
      </c>
      <c r="EZ40" s="229">
        <v>-0.34110000000000001</v>
      </c>
      <c r="FA40" s="229">
        <v>0.25330000000000003</v>
      </c>
      <c r="FB40" s="227" t="s">
        <v>691</v>
      </c>
      <c r="FC40">
        <f t="shared" si="0"/>
        <v>2888</v>
      </c>
    </row>
    <row r="41" spans="1:159" ht="17.25" thickBot="1" x14ac:dyDescent="0.3">
      <c r="A41" s="226">
        <v>46168</v>
      </c>
      <c r="B41" s="227" t="s">
        <v>175</v>
      </c>
      <c r="C41" s="227" t="s">
        <v>610</v>
      </c>
      <c r="D41" s="228">
        <v>750</v>
      </c>
      <c r="E41" s="228">
        <v>0</v>
      </c>
      <c r="F41" s="228">
        <v>775.05</v>
      </c>
      <c r="G41" s="228">
        <v>775.35</v>
      </c>
      <c r="H41" s="228">
        <v>-0.3</v>
      </c>
      <c r="I41" s="229">
        <v>-4.0000000000000002E-4</v>
      </c>
      <c r="J41" s="228">
        <v>773.15</v>
      </c>
      <c r="K41" s="228">
        <v>769.65</v>
      </c>
      <c r="L41" s="228">
        <v>3.5</v>
      </c>
      <c r="M41" s="229">
        <v>4.4999999999999997E-3</v>
      </c>
      <c r="N41" s="228">
        <v>774.15</v>
      </c>
      <c r="O41" s="228">
        <v>771.6</v>
      </c>
      <c r="P41" s="228">
        <v>2.5499999999999998</v>
      </c>
      <c r="Q41" s="229">
        <v>3.3E-3</v>
      </c>
      <c r="R41" s="228">
        <v>775.05</v>
      </c>
      <c r="S41" s="228">
        <v>775.35</v>
      </c>
      <c r="T41" s="228">
        <v>-0.3</v>
      </c>
      <c r="U41" s="229">
        <v>-4.0000000000000002E-4</v>
      </c>
      <c r="V41" s="228">
        <v>771.65</v>
      </c>
      <c r="W41" s="228">
        <v>771.9</v>
      </c>
      <c r="X41" s="228">
        <v>-0.25</v>
      </c>
      <c r="Y41" s="229">
        <v>-2.9999999999999997E-4</v>
      </c>
      <c r="Z41" s="228">
        <v>1.9</v>
      </c>
      <c r="AA41" s="228">
        <v>1.95</v>
      </c>
      <c r="AB41" s="228">
        <v>-0.05</v>
      </c>
      <c r="AC41" s="229">
        <v>2.5000000000000001E-3</v>
      </c>
      <c r="AD41" s="228">
        <v>1</v>
      </c>
      <c r="AE41" s="228">
        <v>1.95</v>
      </c>
      <c r="AF41" s="228">
        <v>-0.95</v>
      </c>
      <c r="AG41" s="229">
        <v>1.2999999999999999E-3</v>
      </c>
      <c r="AH41" s="228">
        <v>1.9</v>
      </c>
      <c r="AI41" s="228">
        <v>5.7</v>
      </c>
      <c r="AJ41" s="228">
        <v>-3.8</v>
      </c>
      <c r="AK41" s="229">
        <v>2.5000000000000001E-3</v>
      </c>
      <c r="AL41" s="228">
        <v>-1.5</v>
      </c>
      <c r="AM41" s="228">
        <v>2.25</v>
      </c>
      <c r="AN41" s="228">
        <v>-3.75</v>
      </c>
      <c r="AO41" s="229">
        <v>-1.9E-3</v>
      </c>
      <c r="AP41" s="228">
        <v>768.44</v>
      </c>
      <c r="AQ41" s="228">
        <v>771.22</v>
      </c>
      <c r="AR41" s="228">
        <v>0</v>
      </c>
      <c r="AS41" s="228">
        <v>239</v>
      </c>
      <c r="AT41" s="228">
        <v>448</v>
      </c>
      <c r="AU41" s="228">
        <v>-209</v>
      </c>
      <c r="AV41" s="229">
        <v>-0.46589999999999998</v>
      </c>
      <c r="AW41" s="228">
        <v>91</v>
      </c>
      <c r="AX41" s="228">
        <v>200</v>
      </c>
      <c r="AY41" s="228">
        <v>-109</v>
      </c>
      <c r="AZ41" s="229">
        <v>-0.54410000000000003</v>
      </c>
      <c r="BA41" s="228">
        <v>146</v>
      </c>
      <c r="BB41" s="228">
        <v>244</v>
      </c>
      <c r="BC41" s="228">
        <v>-99</v>
      </c>
      <c r="BD41" s="229">
        <v>-0.40379999999999999</v>
      </c>
      <c r="BE41" s="228">
        <v>2</v>
      </c>
      <c r="BF41" s="228">
        <v>4</v>
      </c>
      <c r="BG41" s="228">
        <v>-1</v>
      </c>
      <c r="BH41" s="229">
        <v>-0.34849999999999998</v>
      </c>
      <c r="BI41" s="228">
        <v>147</v>
      </c>
      <c r="BJ41" s="228">
        <v>293</v>
      </c>
      <c r="BK41" s="228">
        <v>-146</v>
      </c>
      <c r="BL41" s="229">
        <v>-0.498</v>
      </c>
      <c r="BM41" s="228">
        <v>59</v>
      </c>
      <c r="BN41" s="228">
        <v>164</v>
      </c>
      <c r="BO41" s="228">
        <v>-105</v>
      </c>
      <c r="BP41" s="229">
        <v>-0.64080000000000004</v>
      </c>
      <c r="BQ41" s="228">
        <v>445</v>
      </c>
      <c r="BR41" s="228">
        <v>904</v>
      </c>
      <c r="BS41" s="228">
        <v>-459</v>
      </c>
      <c r="BT41" s="229">
        <v>-0.50790000000000002</v>
      </c>
      <c r="BU41" s="230">
        <v>1046318</v>
      </c>
      <c r="BV41" s="230">
        <v>1954732</v>
      </c>
      <c r="BW41" s="230">
        <v>-908414</v>
      </c>
      <c r="BX41" s="229">
        <v>-0.4647</v>
      </c>
      <c r="BY41" s="228">
        <v>443</v>
      </c>
      <c r="BZ41" s="228">
        <v>542</v>
      </c>
      <c r="CA41" s="228">
        <v>-99</v>
      </c>
      <c r="CB41" s="229">
        <v>-0.1827</v>
      </c>
      <c r="CC41" s="228">
        <v>112</v>
      </c>
      <c r="CD41" s="228">
        <v>135</v>
      </c>
      <c r="CE41" s="228">
        <v>-23</v>
      </c>
      <c r="CF41" s="229">
        <v>-0.17180000000000001</v>
      </c>
      <c r="CG41" s="228">
        <v>431</v>
      </c>
      <c r="CH41" s="228">
        <v>396</v>
      </c>
      <c r="CI41" s="228">
        <v>34</v>
      </c>
      <c r="CJ41" s="229">
        <v>8.6800000000000002E-2</v>
      </c>
      <c r="CK41" s="228">
        <v>12</v>
      </c>
      <c r="CL41" s="228">
        <v>10</v>
      </c>
      <c r="CM41" s="228">
        <v>2</v>
      </c>
      <c r="CN41" s="229">
        <v>0.18870000000000001</v>
      </c>
      <c r="CO41" s="228">
        <v>66</v>
      </c>
      <c r="CP41" s="228">
        <v>296</v>
      </c>
      <c r="CQ41" s="228">
        <v>-230</v>
      </c>
      <c r="CR41" s="229">
        <v>-0.77769999999999995</v>
      </c>
      <c r="CS41" s="228">
        <v>47</v>
      </c>
      <c r="CT41" s="228">
        <v>227</v>
      </c>
      <c r="CU41" s="228">
        <v>-181</v>
      </c>
      <c r="CV41" s="229">
        <v>-0.79500000000000004</v>
      </c>
      <c r="CW41" s="228">
        <v>555</v>
      </c>
      <c r="CX41" s="230">
        <v>1065</v>
      </c>
      <c r="CY41" s="228">
        <v>-510</v>
      </c>
      <c r="CZ41" s="229">
        <v>-0.4788</v>
      </c>
      <c r="DA41" s="228">
        <v>30.08</v>
      </c>
      <c r="DB41" s="228">
        <v>29.68</v>
      </c>
      <c r="DC41" s="228">
        <v>0.4</v>
      </c>
      <c r="DD41" s="228">
        <v>0.4</v>
      </c>
      <c r="DE41" s="228">
        <v>41.81</v>
      </c>
      <c r="DF41" s="228">
        <v>41.92</v>
      </c>
      <c r="DG41" s="228">
        <v>-11.73</v>
      </c>
      <c r="DH41" s="228">
        <v>-0.11</v>
      </c>
      <c r="DI41" s="228">
        <v>29.59</v>
      </c>
      <c r="DJ41" s="228">
        <v>29.64</v>
      </c>
      <c r="DK41" s="228">
        <v>-0.05</v>
      </c>
      <c r="DL41" s="228">
        <v>-0.05</v>
      </c>
      <c r="DM41" s="228">
        <v>31.07</v>
      </c>
      <c r="DN41" s="228">
        <v>29.76</v>
      </c>
      <c r="DO41" s="228">
        <v>1.31</v>
      </c>
      <c r="DP41" s="228">
        <v>1.31</v>
      </c>
      <c r="DQ41" s="228">
        <v>0.71</v>
      </c>
      <c r="DR41" s="228">
        <v>0.77</v>
      </c>
      <c r="DS41" s="228">
        <v>-0.06</v>
      </c>
      <c r="DT41" s="229">
        <v>-7.7899999999999997E-2</v>
      </c>
      <c r="DU41" s="228">
        <v>830</v>
      </c>
      <c r="DV41" s="228">
        <v>730</v>
      </c>
      <c r="DW41" s="228">
        <v>0.4</v>
      </c>
      <c r="DX41" s="228">
        <v>0.56000000000000005</v>
      </c>
      <c r="DY41" s="228">
        <v>-0.16</v>
      </c>
      <c r="DZ41" s="229">
        <v>-0.28570000000000001</v>
      </c>
      <c r="EA41" s="229">
        <v>0.79800000000000004</v>
      </c>
      <c r="EB41" s="230">
        <v>5243925</v>
      </c>
      <c r="EC41" s="229">
        <v>1.1999999999999999E-3</v>
      </c>
      <c r="ED41" s="229">
        <v>0.79800000000000004</v>
      </c>
      <c r="EE41" s="228">
        <v>2.78</v>
      </c>
      <c r="EF41" s="229">
        <v>3.5999999999999999E-3</v>
      </c>
      <c r="EG41" s="230">
        <v>370954</v>
      </c>
      <c r="EH41" s="230">
        <v>1030721</v>
      </c>
      <c r="EI41" s="229">
        <v>-0.6401</v>
      </c>
      <c r="EJ41" s="229">
        <v>0.35449999999999998</v>
      </c>
      <c r="EK41" s="228">
        <v>153.53</v>
      </c>
      <c r="EL41" s="228">
        <v>58.42</v>
      </c>
      <c r="EM41" s="228">
        <v>238.04</v>
      </c>
      <c r="EN41" s="228">
        <v>61.75</v>
      </c>
      <c r="EO41" s="228">
        <v>449.99</v>
      </c>
      <c r="EP41" s="228">
        <v>913.98</v>
      </c>
      <c r="EQ41" s="228">
        <v>-463.99</v>
      </c>
      <c r="ER41" s="229">
        <v>-0.50770000000000004</v>
      </c>
      <c r="ES41" s="228">
        <v>68.72</v>
      </c>
      <c r="ET41" s="228">
        <v>45.09</v>
      </c>
      <c r="EU41" s="228">
        <v>442.71</v>
      </c>
      <c r="EV41" s="231">
        <v>37147595</v>
      </c>
      <c r="EW41" s="228">
        <v>556.51</v>
      </c>
      <c r="EX41" s="231">
        <v>1074.76</v>
      </c>
      <c r="EY41" s="228">
        <v>-518.25</v>
      </c>
      <c r="EZ41" s="229">
        <v>-0.48220000000000002</v>
      </c>
      <c r="FA41" s="229">
        <v>0.1928</v>
      </c>
      <c r="FB41" s="227" t="s">
        <v>567</v>
      </c>
      <c r="FC41">
        <f t="shared" si="0"/>
        <v>331</v>
      </c>
    </row>
    <row r="42" spans="1:159" ht="17.25" thickBot="1" x14ac:dyDescent="0.3">
      <c r="A42" s="226">
        <v>46168</v>
      </c>
      <c r="B42" s="227" t="s">
        <v>172</v>
      </c>
      <c r="C42" s="227" t="s">
        <v>196</v>
      </c>
      <c r="D42" s="228">
        <v>6750</v>
      </c>
      <c r="E42" s="228">
        <v>0</v>
      </c>
      <c r="F42" s="228">
        <v>134.26</v>
      </c>
      <c r="G42" s="228">
        <v>134.78</v>
      </c>
      <c r="H42" s="228">
        <v>-0.52</v>
      </c>
      <c r="I42" s="229">
        <v>-3.8999999999999998E-3</v>
      </c>
      <c r="J42" s="228">
        <v>133.15</v>
      </c>
      <c r="K42" s="228">
        <v>133.69999999999999</v>
      </c>
      <c r="L42" s="228">
        <v>-0.55000000000000004</v>
      </c>
      <c r="M42" s="229">
        <v>-4.1000000000000003E-3</v>
      </c>
      <c r="N42" s="228">
        <v>133.33000000000001</v>
      </c>
      <c r="O42" s="228">
        <v>133.94</v>
      </c>
      <c r="P42" s="228">
        <v>-0.61</v>
      </c>
      <c r="Q42" s="229">
        <v>-4.5999999999999999E-3</v>
      </c>
      <c r="R42" s="228">
        <v>134.26</v>
      </c>
      <c r="S42" s="228">
        <v>134.78</v>
      </c>
      <c r="T42" s="228">
        <v>-0.52</v>
      </c>
      <c r="U42" s="229">
        <v>-3.8999999999999998E-3</v>
      </c>
      <c r="V42" s="228">
        <v>135.16999999999999</v>
      </c>
      <c r="W42" s="228">
        <v>135.51</v>
      </c>
      <c r="X42" s="228">
        <v>-0.34</v>
      </c>
      <c r="Y42" s="229">
        <v>-2.5000000000000001E-3</v>
      </c>
      <c r="Z42" s="228">
        <v>1.1100000000000001</v>
      </c>
      <c r="AA42" s="228">
        <v>0.24</v>
      </c>
      <c r="AB42" s="228">
        <v>0.87</v>
      </c>
      <c r="AC42" s="229">
        <v>8.3000000000000001E-3</v>
      </c>
      <c r="AD42" s="228">
        <v>0.18</v>
      </c>
      <c r="AE42" s="228">
        <v>0.24</v>
      </c>
      <c r="AF42" s="228">
        <v>-0.06</v>
      </c>
      <c r="AG42" s="229">
        <v>1.4E-3</v>
      </c>
      <c r="AH42" s="228">
        <v>1.1100000000000001</v>
      </c>
      <c r="AI42" s="228">
        <v>1.08</v>
      </c>
      <c r="AJ42" s="228">
        <v>0.03</v>
      </c>
      <c r="AK42" s="229">
        <v>8.3000000000000001E-3</v>
      </c>
      <c r="AL42" s="228">
        <v>2.02</v>
      </c>
      <c r="AM42" s="228">
        <v>1.81</v>
      </c>
      <c r="AN42" s="228">
        <v>0.21</v>
      </c>
      <c r="AO42" s="229">
        <v>1.52E-2</v>
      </c>
      <c r="AP42" s="228">
        <v>133.84</v>
      </c>
      <c r="AQ42" s="228">
        <v>134.74</v>
      </c>
      <c r="AR42" s="228">
        <v>0</v>
      </c>
      <c r="AS42" s="230">
        <v>1566</v>
      </c>
      <c r="AT42" s="230">
        <v>1901</v>
      </c>
      <c r="AU42" s="228">
        <v>-335</v>
      </c>
      <c r="AV42" s="229">
        <v>-0.1762</v>
      </c>
      <c r="AW42" s="228">
        <v>659</v>
      </c>
      <c r="AX42" s="228">
        <v>864</v>
      </c>
      <c r="AY42" s="228">
        <v>-205</v>
      </c>
      <c r="AZ42" s="229">
        <v>-0.23760000000000001</v>
      </c>
      <c r="BA42" s="228">
        <v>886</v>
      </c>
      <c r="BB42" s="230">
        <v>1014</v>
      </c>
      <c r="BC42" s="228">
        <v>-128</v>
      </c>
      <c r="BD42" s="229">
        <v>-0.1258</v>
      </c>
      <c r="BE42" s="228">
        <v>21</v>
      </c>
      <c r="BF42" s="228">
        <v>23</v>
      </c>
      <c r="BG42" s="228">
        <v>-2</v>
      </c>
      <c r="BH42" s="229">
        <v>-9.3399999999999997E-2</v>
      </c>
      <c r="BI42" s="230">
        <v>1006</v>
      </c>
      <c r="BJ42" s="230">
        <v>1890</v>
      </c>
      <c r="BK42" s="228">
        <v>-884</v>
      </c>
      <c r="BL42" s="229">
        <v>-0.4677</v>
      </c>
      <c r="BM42" s="228">
        <v>604</v>
      </c>
      <c r="BN42" s="230">
        <v>1347</v>
      </c>
      <c r="BO42" s="228">
        <v>-742</v>
      </c>
      <c r="BP42" s="229">
        <v>-0.55130000000000001</v>
      </c>
      <c r="BQ42" s="230">
        <v>3177</v>
      </c>
      <c r="BR42" s="230">
        <v>5138</v>
      </c>
      <c r="BS42" s="230">
        <v>-1961</v>
      </c>
      <c r="BT42" s="229">
        <v>-0.38179999999999997</v>
      </c>
      <c r="BU42" s="230">
        <v>24942446</v>
      </c>
      <c r="BV42" s="230">
        <v>29929707</v>
      </c>
      <c r="BW42" s="230">
        <v>-4987261</v>
      </c>
      <c r="BX42" s="229">
        <v>-0.1666</v>
      </c>
      <c r="BY42" s="230">
        <v>3279</v>
      </c>
      <c r="BZ42" s="230">
        <v>3388</v>
      </c>
      <c r="CA42" s="228">
        <v>-109</v>
      </c>
      <c r="CB42" s="229">
        <v>-3.2199999999999999E-2</v>
      </c>
      <c r="CC42" s="228">
        <v>162</v>
      </c>
      <c r="CD42" s="228">
        <v>676</v>
      </c>
      <c r="CE42" s="228">
        <v>-514</v>
      </c>
      <c r="CF42" s="229">
        <v>-0.76080000000000003</v>
      </c>
      <c r="CG42" s="230">
        <v>3161</v>
      </c>
      <c r="CH42" s="230">
        <v>2604</v>
      </c>
      <c r="CI42" s="228">
        <v>557</v>
      </c>
      <c r="CJ42" s="229">
        <v>0.21379999999999999</v>
      </c>
      <c r="CK42" s="228">
        <v>119</v>
      </c>
      <c r="CL42" s="228">
        <v>108</v>
      </c>
      <c r="CM42" s="228">
        <v>10</v>
      </c>
      <c r="CN42" s="229">
        <v>9.4600000000000004E-2</v>
      </c>
      <c r="CO42" s="228">
        <v>491</v>
      </c>
      <c r="CP42" s="230">
        <v>1318</v>
      </c>
      <c r="CQ42" s="228">
        <v>-827</v>
      </c>
      <c r="CR42" s="229">
        <v>-0.62749999999999995</v>
      </c>
      <c r="CS42" s="228">
        <v>564</v>
      </c>
      <c r="CT42" s="230">
        <v>1098</v>
      </c>
      <c r="CU42" s="228">
        <v>-534</v>
      </c>
      <c r="CV42" s="229">
        <v>-0.48659999999999998</v>
      </c>
      <c r="CW42" s="230">
        <v>4334</v>
      </c>
      <c r="CX42" s="230">
        <v>5805</v>
      </c>
      <c r="CY42" s="230">
        <v>-1471</v>
      </c>
      <c r="CZ42" s="229">
        <v>-0.25330000000000003</v>
      </c>
      <c r="DA42" s="228">
        <v>28.25</v>
      </c>
      <c r="DB42" s="228">
        <v>29.72</v>
      </c>
      <c r="DC42" s="228">
        <v>-1.47</v>
      </c>
      <c r="DD42" s="228">
        <v>-1.47</v>
      </c>
      <c r="DE42" s="228">
        <v>38.58</v>
      </c>
      <c r="DF42" s="228">
        <v>38.68</v>
      </c>
      <c r="DG42" s="228">
        <v>-10.33</v>
      </c>
      <c r="DH42" s="228">
        <v>-0.1</v>
      </c>
      <c r="DI42" s="228">
        <v>28.38</v>
      </c>
      <c r="DJ42" s="228">
        <v>29.68</v>
      </c>
      <c r="DK42" s="228">
        <v>-1.3</v>
      </c>
      <c r="DL42" s="228">
        <v>-1.3</v>
      </c>
      <c r="DM42" s="228">
        <v>28.09</v>
      </c>
      <c r="DN42" s="228">
        <v>29.76</v>
      </c>
      <c r="DO42" s="228">
        <v>-1.67</v>
      </c>
      <c r="DP42" s="228">
        <v>-1.67</v>
      </c>
      <c r="DQ42" s="228">
        <v>1.1499999999999999</v>
      </c>
      <c r="DR42" s="228">
        <v>0.83</v>
      </c>
      <c r="DS42" s="228">
        <v>0.32</v>
      </c>
      <c r="DT42" s="229">
        <v>0.38550000000000001</v>
      </c>
      <c r="DU42" s="228">
        <v>135</v>
      </c>
      <c r="DV42" s="228">
        <v>130</v>
      </c>
      <c r="DW42" s="228">
        <v>0.6</v>
      </c>
      <c r="DX42" s="228">
        <v>0.71</v>
      </c>
      <c r="DY42" s="228">
        <v>-0.11</v>
      </c>
      <c r="DZ42" s="229">
        <v>-0.15490000000000001</v>
      </c>
      <c r="EA42" s="229">
        <v>0.95299999999999996</v>
      </c>
      <c r="EB42" s="230">
        <v>202014000</v>
      </c>
      <c r="EC42" s="229">
        <v>7.0000000000000001E-3</v>
      </c>
      <c r="ED42" s="229">
        <v>0.95299999999999996</v>
      </c>
      <c r="EE42" s="228">
        <v>0.9</v>
      </c>
      <c r="EF42" s="229">
        <v>6.7000000000000002E-3</v>
      </c>
      <c r="EG42" s="230">
        <v>10016269</v>
      </c>
      <c r="EH42" s="230">
        <v>12084735</v>
      </c>
      <c r="EI42" s="229">
        <v>-0.17119999999999999</v>
      </c>
      <c r="EJ42" s="229">
        <v>0.40160000000000001</v>
      </c>
      <c r="EK42" s="231">
        <v>1048.99</v>
      </c>
      <c r="EL42" s="228">
        <v>607.66999999999996</v>
      </c>
      <c r="EM42" s="231">
        <v>1567.67</v>
      </c>
      <c r="EN42" s="228">
        <v>135.21</v>
      </c>
      <c r="EO42" s="231">
        <v>3224.34</v>
      </c>
      <c r="EP42" s="231">
        <v>5162.0200000000004</v>
      </c>
      <c r="EQ42" s="231">
        <v>-1937.68</v>
      </c>
      <c r="ER42" s="229">
        <v>-0.37540000000000001</v>
      </c>
      <c r="ES42" s="228">
        <v>503.24</v>
      </c>
      <c r="ET42" s="228">
        <v>560.76</v>
      </c>
      <c r="EU42" s="231">
        <v>3280.09</v>
      </c>
      <c r="EV42" s="231">
        <v>504315430</v>
      </c>
      <c r="EW42" s="231">
        <v>4344.09</v>
      </c>
      <c r="EX42" s="231">
        <v>5845.93</v>
      </c>
      <c r="EY42" s="231">
        <v>-1501.84</v>
      </c>
      <c r="EZ42" s="229">
        <v>-0.25690000000000002</v>
      </c>
      <c r="FA42" s="229">
        <v>0.6401</v>
      </c>
      <c r="FB42" s="227" t="s">
        <v>567</v>
      </c>
      <c r="FC42">
        <f t="shared" si="0"/>
        <v>3117</v>
      </c>
    </row>
    <row r="43" spans="1:159" ht="17.25" thickBot="1" x14ac:dyDescent="0.3">
      <c r="A43" s="226">
        <v>46168</v>
      </c>
      <c r="B43" s="227" t="s">
        <v>175</v>
      </c>
      <c r="C43" s="227" t="s">
        <v>596</v>
      </c>
      <c r="D43" s="228">
        <v>475</v>
      </c>
      <c r="E43" s="228">
        <v>0</v>
      </c>
      <c r="F43" s="231">
        <v>1233.3</v>
      </c>
      <c r="G43" s="231">
        <v>1216.5999999999999</v>
      </c>
      <c r="H43" s="228">
        <v>16.7</v>
      </c>
      <c r="I43" s="229">
        <v>1.37E-2</v>
      </c>
      <c r="J43" s="231">
        <v>1226.3</v>
      </c>
      <c r="K43" s="231">
        <v>1217.4000000000001</v>
      </c>
      <c r="L43" s="228">
        <v>8.9</v>
      </c>
      <c r="M43" s="229">
        <v>7.3000000000000001E-3</v>
      </c>
      <c r="N43" s="231">
        <v>1222.0999999999999</v>
      </c>
      <c r="O43" s="231">
        <v>1221.8</v>
      </c>
      <c r="P43" s="228">
        <v>0.3</v>
      </c>
      <c r="Q43" s="229">
        <v>2.0000000000000001E-4</v>
      </c>
      <c r="R43" s="231">
        <v>1233.3</v>
      </c>
      <c r="S43" s="231">
        <v>1216.5999999999999</v>
      </c>
      <c r="T43" s="228">
        <v>16.7</v>
      </c>
      <c r="U43" s="229">
        <v>1.37E-2</v>
      </c>
      <c r="V43" s="231">
        <v>1236.7</v>
      </c>
      <c r="W43" s="231">
        <v>1219.0999999999999</v>
      </c>
      <c r="X43" s="228">
        <v>17.600000000000001</v>
      </c>
      <c r="Y43" s="229">
        <v>1.44E-2</v>
      </c>
      <c r="Z43" s="228">
        <v>7</v>
      </c>
      <c r="AA43" s="228">
        <v>4.4000000000000004</v>
      </c>
      <c r="AB43" s="228">
        <v>2.6</v>
      </c>
      <c r="AC43" s="229">
        <v>5.7000000000000002E-3</v>
      </c>
      <c r="AD43" s="228">
        <v>-4.2</v>
      </c>
      <c r="AE43" s="228">
        <v>4.4000000000000004</v>
      </c>
      <c r="AF43" s="228">
        <v>-8.6</v>
      </c>
      <c r="AG43" s="229">
        <v>-3.3999999999999998E-3</v>
      </c>
      <c r="AH43" s="228">
        <v>7</v>
      </c>
      <c r="AI43" s="228">
        <v>-0.8</v>
      </c>
      <c r="AJ43" s="228">
        <v>7.8</v>
      </c>
      <c r="AK43" s="229">
        <v>5.7000000000000002E-3</v>
      </c>
      <c r="AL43" s="228">
        <v>10.4</v>
      </c>
      <c r="AM43" s="228">
        <v>1.7</v>
      </c>
      <c r="AN43" s="228">
        <v>8.6999999999999993</v>
      </c>
      <c r="AO43" s="229">
        <v>8.5000000000000006E-3</v>
      </c>
      <c r="AP43" s="231">
        <v>1222.54</v>
      </c>
      <c r="AQ43" s="231">
        <v>1225.8599999999999</v>
      </c>
      <c r="AR43" s="228">
        <v>0</v>
      </c>
      <c r="AS43" s="228">
        <v>920</v>
      </c>
      <c r="AT43" s="230">
        <v>1145</v>
      </c>
      <c r="AU43" s="228">
        <v>-225</v>
      </c>
      <c r="AV43" s="229">
        <v>-0.19670000000000001</v>
      </c>
      <c r="AW43" s="228">
        <v>382</v>
      </c>
      <c r="AX43" s="228">
        <v>538</v>
      </c>
      <c r="AY43" s="228">
        <v>-156</v>
      </c>
      <c r="AZ43" s="229">
        <v>-0.29010000000000002</v>
      </c>
      <c r="BA43" s="228">
        <v>513</v>
      </c>
      <c r="BB43" s="228">
        <v>581</v>
      </c>
      <c r="BC43" s="228">
        <v>-69</v>
      </c>
      <c r="BD43" s="229">
        <v>-0.1182</v>
      </c>
      <c r="BE43" s="228">
        <v>25</v>
      </c>
      <c r="BF43" s="228">
        <v>25</v>
      </c>
      <c r="BG43" s="228">
        <v>0</v>
      </c>
      <c r="BH43" s="229">
        <v>-7.0000000000000001E-3</v>
      </c>
      <c r="BI43" s="228">
        <v>819</v>
      </c>
      <c r="BJ43" s="230">
        <v>1626</v>
      </c>
      <c r="BK43" s="228">
        <v>-808</v>
      </c>
      <c r="BL43" s="229">
        <v>-0.49669999999999997</v>
      </c>
      <c r="BM43" s="228">
        <v>408</v>
      </c>
      <c r="BN43" s="228">
        <v>723</v>
      </c>
      <c r="BO43" s="228">
        <v>-315</v>
      </c>
      <c r="BP43" s="229">
        <v>-0.43559999999999999</v>
      </c>
      <c r="BQ43" s="230">
        <v>2146</v>
      </c>
      <c r="BR43" s="230">
        <v>3494</v>
      </c>
      <c r="BS43" s="230">
        <v>-1348</v>
      </c>
      <c r="BT43" s="229">
        <v>-0.38579999999999998</v>
      </c>
      <c r="BU43" s="230">
        <v>1592677</v>
      </c>
      <c r="BV43" s="230">
        <v>1199970</v>
      </c>
      <c r="BW43" s="230">
        <v>392707</v>
      </c>
      <c r="BX43" s="229">
        <v>0.32729999999999998</v>
      </c>
      <c r="BY43" s="230">
        <v>1460</v>
      </c>
      <c r="BZ43" s="230">
        <v>1778</v>
      </c>
      <c r="CA43" s="228">
        <v>-318</v>
      </c>
      <c r="CB43" s="229">
        <v>-0.17879999999999999</v>
      </c>
      <c r="CC43" s="228">
        <v>111</v>
      </c>
      <c r="CD43" s="228">
        <v>306</v>
      </c>
      <c r="CE43" s="228">
        <v>-195</v>
      </c>
      <c r="CF43" s="229">
        <v>-0.63660000000000005</v>
      </c>
      <c r="CG43" s="230">
        <v>1333</v>
      </c>
      <c r="CH43" s="230">
        <v>1355</v>
      </c>
      <c r="CI43" s="228">
        <v>-22</v>
      </c>
      <c r="CJ43" s="229">
        <v>-1.61E-2</v>
      </c>
      <c r="CK43" s="228">
        <v>127</v>
      </c>
      <c r="CL43" s="228">
        <v>117</v>
      </c>
      <c r="CM43" s="228">
        <v>10</v>
      </c>
      <c r="CN43" s="229">
        <v>8.1299999999999997E-2</v>
      </c>
      <c r="CO43" s="228">
        <v>510</v>
      </c>
      <c r="CP43" s="230">
        <v>1105</v>
      </c>
      <c r="CQ43" s="228">
        <v>-595</v>
      </c>
      <c r="CR43" s="229">
        <v>-0.53820000000000001</v>
      </c>
      <c r="CS43" s="228">
        <v>420</v>
      </c>
      <c r="CT43" s="228">
        <v>741</v>
      </c>
      <c r="CU43" s="228">
        <v>-321</v>
      </c>
      <c r="CV43" s="229">
        <v>-0.43280000000000002</v>
      </c>
      <c r="CW43" s="230">
        <v>2390</v>
      </c>
      <c r="CX43" s="230">
        <v>3623</v>
      </c>
      <c r="CY43" s="230">
        <v>-1233</v>
      </c>
      <c r="CZ43" s="229">
        <v>-0.34029999999999999</v>
      </c>
      <c r="DA43" s="228">
        <v>29.89</v>
      </c>
      <c r="DB43" s="228">
        <v>31.03</v>
      </c>
      <c r="DC43" s="228">
        <v>-1.1399999999999999</v>
      </c>
      <c r="DD43" s="228">
        <v>-1.1399999999999999</v>
      </c>
      <c r="DE43" s="228">
        <v>45.43</v>
      </c>
      <c r="DF43" s="228">
        <v>45.51</v>
      </c>
      <c r="DG43" s="228">
        <v>-15.54</v>
      </c>
      <c r="DH43" s="228">
        <v>-0.08</v>
      </c>
      <c r="DI43" s="228">
        <v>30.19</v>
      </c>
      <c r="DJ43" s="228">
        <v>31.23</v>
      </c>
      <c r="DK43" s="228">
        <v>-1.04</v>
      </c>
      <c r="DL43" s="228">
        <v>-1.04</v>
      </c>
      <c r="DM43" s="228">
        <v>29.34</v>
      </c>
      <c r="DN43" s="228">
        <v>30.74</v>
      </c>
      <c r="DO43" s="228">
        <v>-1.4</v>
      </c>
      <c r="DP43" s="228">
        <v>-1.4</v>
      </c>
      <c r="DQ43" s="228">
        <v>0.82</v>
      </c>
      <c r="DR43" s="228">
        <v>0.67</v>
      </c>
      <c r="DS43" s="228">
        <v>0.15</v>
      </c>
      <c r="DT43" s="229">
        <v>0.22389999999999999</v>
      </c>
      <c r="DU43" s="231">
        <v>1300</v>
      </c>
      <c r="DV43" s="231">
        <v>1200</v>
      </c>
      <c r="DW43" s="228">
        <v>0.5</v>
      </c>
      <c r="DX43" s="228">
        <v>0.44</v>
      </c>
      <c r="DY43" s="228">
        <v>0.06</v>
      </c>
      <c r="DZ43" s="229">
        <v>0.13639999999999999</v>
      </c>
      <c r="EA43" s="229">
        <v>0.92930000000000001</v>
      </c>
      <c r="EB43" s="230">
        <v>11935325</v>
      </c>
      <c r="EC43" s="229">
        <v>9.1999999999999998E-3</v>
      </c>
      <c r="ED43" s="229">
        <v>0.92930000000000001</v>
      </c>
      <c r="EE43" s="228">
        <v>3.32</v>
      </c>
      <c r="EF43" s="229">
        <v>2.7000000000000001E-3</v>
      </c>
      <c r="EG43" s="230">
        <v>693766</v>
      </c>
      <c r="EH43" s="230">
        <v>507661</v>
      </c>
      <c r="EI43" s="229">
        <v>0.36659999999999998</v>
      </c>
      <c r="EJ43" s="229">
        <v>0.43559999999999999</v>
      </c>
      <c r="EK43" s="228">
        <v>864.16</v>
      </c>
      <c r="EL43" s="228">
        <v>418.49</v>
      </c>
      <c r="EM43" s="228">
        <v>913.15</v>
      </c>
      <c r="EN43" s="228">
        <v>139.49</v>
      </c>
      <c r="EO43" s="231">
        <v>2195.8000000000002</v>
      </c>
      <c r="EP43" s="231">
        <v>3558.94</v>
      </c>
      <c r="EQ43" s="231">
        <v>-1363.14</v>
      </c>
      <c r="ER43" s="229">
        <v>-0.38300000000000001</v>
      </c>
      <c r="ES43" s="228">
        <v>532.16999999999996</v>
      </c>
      <c r="ET43" s="228">
        <v>416.47</v>
      </c>
      <c r="EU43" s="231">
        <v>1460.09</v>
      </c>
      <c r="EV43" s="231">
        <v>26647500</v>
      </c>
      <c r="EW43" s="231">
        <v>2408.73</v>
      </c>
      <c r="EX43" s="231">
        <v>3652.21</v>
      </c>
      <c r="EY43" s="231">
        <v>-1243.48</v>
      </c>
      <c r="EZ43" s="229">
        <v>-0.34050000000000002</v>
      </c>
      <c r="FA43" s="229">
        <v>0.72729999999999995</v>
      </c>
      <c r="FB43" s="227" t="s">
        <v>691</v>
      </c>
      <c r="FC43">
        <f t="shared" si="0"/>
        <v>1349</v>
      </c>
    </row>
    <row r="44" spans="1:159" ht="17.25" thickBot="1" x14ac:dyDescent="0.3">
      <c r="A44" s="226">
        <v>46168</v>
      </c>
      <c r="B44" s="227" t="s">
        <v>161</v>
      </c>
      <c r="C44" s="227" t="s">
        <v>611</v>
      </c>
      <c r="D44" s="228">
        <v>850</v>
      </c>
      <c r="E44" s="228">
        <v>0</v>
      </c>
      <c r="F44" s="228">
        <v>884.3</v>
      </c>
      <c r="G44" s="228">
        <v>874.85</v>
      </c>
      <c r="H44" s="228">
        <v>9.4499999999999993</v>
      </c>
      <c r="I44" s="229">
        <v>1.0800000000000001E-2</v>
      </c>
      <c r="J44" s="228">
        <v>879.15</v>
      </c>
      <c r="K44" s="228">
        <v>867.9</v>
      </c>
      <c r="L44" s="228">
        <v>11.25</v>
      </c>
      <c r="M44" s="229">
        <v>1.2999999999999999E-2</v>
      </c>
      <c r="N44" s="228">
        <v>879.1</v>
      </c>
      <c r="O44" s="228">
        <v>869.3</v>
      </c>
      <c r="P44" s="228">
        <v>9.8000000000000007</v>
      </c>
      <c r="Q44" s="229">
        <v>1.1299999999999999E-2</v>
      </c>
      <c r="R44" s="228">
        <v>884.3</v>
      </c>
      <c r="S44" s="228">
        <v>874.85</v>
      </c>
      <c r="T44" s="228">
        <v>9.4499999999999993</v>
      </c>
      <c r="U44" s="229">
        <v>1.0800000000000001E-2</v>
      </c>
      <c r="V44" s="228">
        <v>889.45</v>
      </c>
      <c r="W44" s="228">
        <v>879.95</v>
      </c>
      <c r="X44" s="228">
        <v>9.5</v>
      </c>
      <c r="Y44" s="229">
        <v>1.0800000000000001E-2</v>
      </c>
      <c r="Z44" s="228">
        <v>5.15</v>
      </c>
      <c r="AA44" s="228">
        <v>1.4</v>
      </c>
      <c r="AB44" s="228">
        <v>3.75</v>
      </c>
      <c r="AC44" s="229">
        <v>5.8999999999999999E-3</v>
      </c>
      <c r="AD44" s="228">
        <v>-0.05</v>
      </c>
      <c r="AE44" s="228">
        <v>1.4</v>
      </c>
      <c r="AF44" s="228">
        <v>-1.45</v>
      </c>
      <c r="AG44" s="229">
        <v>-1E-4</v>
      </c>
      <c r="AH44" s="228">
        <v>5.15</v>
      </c>
      <c r="AI44" s="228">
        <v>6.95</v>
      </c>
      <c r="AJ44" s="228">
        <v>-1.8</v>
      </c>
      <c r="AK44" s="229">
        <v>5.8999999999999999E-3</v>
      </c>
      <c r="AL44" s="228">
        <v>10.3</v>
      </c>
      <c r="AM44" s="228">
        <v>12.05</v>
      </c>
      <c r="AN44" s="228">
        <v>-1.75</v>
      </c>
      <c r="AO44" s="229">
        <v>1.17E-2</v>
      </c>
      <c r="AP44" s="228">
        <v>875.82</v>
      </c>
      <c r="AQ44" s="228">
        <v>883.62</v>
      </c>
      <c r="AR44" s="228">
        <v>0</v>
      </c>
      <c r="AS44" s="228">
        <v>603</v>
      </c>
      <c r="AT44" s="228">
        <v>902</v>
      </c>
      <c r="AU44" s="228">
        <v>-298</v>
      </c>
      <c r="AV44" s="229">
        <v>-0.33100000000000002</v>
      </c>
      <c r="AW44" s="228">
        <v>221</v>
      </c>
      <c r="AX44" s="228">
        <v>424</v>
      </c>
      <c r="AY44" s="228">
        <v>-204</v>
      </c>
      <c r="AZ44" s="229">
        <v>-0.48039999999999999</v>
      </c>
      <c r="BA44" s="228">
        <v>379</v>
      </c>
      <c r="BB44" s="228">
        <v>473</v>
      </c>
      <c r="BC44" s="228">
        <v>-94</v>
      </c>
      <c r="BD44" s="229">
        <v>-0.19800000000000001</v>
      </c>
      <c r="BE44" s="228">
        <v>4</v>
      </c>
      <c r="BF44" s="228">
        <v>5</v>
      </c>
      <c r="BG44" s="228">
        <v>-1</v>
      </c>
      <c r="BH44" s="229">
        <v>-0.21310000000000001</v>
      </c>
      <c r="BI44" s="228">
        <v>830</v>
      </c>
      <c r="BJ44" s="228">
        <v>987</v>
      </c>
      <c r="BK44" s="228">
        <v>-157</v>
      </c>
      <c r="BL44" s="229">
        <v>-0.15909999999999999</v>
      </c>
      <c r="BM44" s="228">
        <v>204</v>
      </c>
      <c r="BN44" s="228">
        <v>407</v>
      </c>
      <c r="BO44" s="228">
        <v>-203</v>
      </c>
      <c r="BP44" s="229">
        <v>-0.49890000000000001</v>
      </c>
      <c r="BQ44" s="230">
        <v>1637</v>
      </c>
      <c r="BR44" s="230">
        <v>2296</v>
      </c>
      <c r="BS44" s="228">
        <v>-659</v>
      </c>
      <c r="BT44" s="229">
        <v>-0.2868</v>
      </c>
      <c r="BU44" s="230">
        <v>3013247</v>
      </c>
      <c r="BV44" s="230">
        <v>2438481</v>
      </c>
      <c r="BW44" s="230">
        <v>574766</v>
      </c>
      <c r="BX44" s="229">
        <v>0.23569999999999999</v>
      </c>
      <c r="BY44" s="230">
        <v>1760</v>
      </c>
      <c r="BZ44" s="230">
        <v>1885</v>
      </c>
      <c r="CA44" s="228">
        <v>-124</v>
      </c>
      <c r="CB44" s="229">
        <v>-6.6000000000000003E-2</v>
      </c>
      <c r="CC44" s="228">
        <v>87</v>
      </c>
      <c r="CD44" s="228">
        <v>203</v>
      </c>
      <c r="CE44" s="228">
        <v>-117</v>
      </c>
      <c r="CF44" s="229">
        <v>-0.57330000000000003</v>
      </c>
      <c r="CG44" s="230">
        <v>1553</v>
      </c>
      <c r="CH44" s="230">
        <v>1475</v>
      </c>
      <c r="CI44" s="228">
        <v>79</v>
      </c>
      <c r="CJ44" s="229">
        <v>5.3400000000000003E-2</v>
      </c>
      <c r="CK44" s="228">
        <v>207</v>
      </c>
      <c r="CL44" s="228">
        <v>207</v>
      </c>
      <c r="CM44" s="228">
        <v>0</v>
      </c>
      <c r="CN44" s="229">
        <v>1.8E-3</v>
      </c>
      <c r="CO44" s="228">
        <v>237</v>
      </c>
      <c r="CP44" s="228">
        <v>539</v>
      </c>
      <c r="CQ44" s="228">
        <v>-302</v>
      </c>
      <c r="CR44" s="229">
        <v>-0.56110000000000004</v>
      </c>
      <c r="CS44" s="228">
        <v>153</v>
      </c>
      <c r="CT44" s="228">
        <v>466</v>
      </c>
      <c r="CU44" s="228">
        <v>-313</v>
      </c>
      <c r="CV44" s="229">
        <v>-0.6724</v>
      </c>
      <c r="CW44" s="230">
        <v>2150</v>
      </c>
      <c r="CX44" s="230">
        <v>2890</v>
      </c>
      <c r="CY44" s="228">
        <v>-740</v>
      </c>
      <c r="CZ44" s="229">
        <v>-0.25619999999999998</v>
      </c>
      <c r="DA44" s="228">
        <v>31.6</v>
      </c>
      <c r="DB44" s="228">
        <v>32</v>
      </c>
      <c r="DC44" s="228">
        <v>-0.4</v>
      </c>
      <c r="DD44" s="228">
        <v>-0.4</v>
      </c>
      <c r="DE44" s="228">
        <v>41.83</v>
      </c>
      <c r="DF44" s="228">
        <v>41.9</v>
      </c>
      <c r="DG44" s="228">
        <v>-10.23</v>
      </c>
      <c r="DH44" s="228">
        <v>-7.0000000000000007E-2</v>
      </c>
      <c r="DI44" s="228">
        <v>31.52</v>
      </c>
      <c r="DJ44" s="228">
        <v>31.89</v>
      </c>
      <c r="DK44" s="228">
        <v>-0.37</v>
      </c>
      <c r="DL44" s="228">
        <v>-0.37</v>
      </c>
      <c r="DM44" s="228">
        <v>31.89</v>
      </c>
      <c r="DN44" s="228">
        <v>32.19</v>
      </c>
      <c r="DO44" s="228">
        <v>-0.3</v>
      </c>
      <c r="DP44" s="228">
        <v>-0.3</v>
      </c>
      <c r="DQ44" s="228">
        <v>0.65</v>
      </c>
      <c r="DR44" s="228">
        <v>0.86</v>
      </c>
      <c r="DS44" s="228">
        <v>-0.21</v>
      </c>
      <c r="DT44" s="229">
        <v>-0.2442</v>
      </c>
      <c r="DU44" s="228">
        <v>900</v>
      </c>
      <c r="DV44" s="228">
        <v>800</v>
      </c>
      <c r="DW44" s="228">
        <v>0.25</v>
      </c>
      <c r="DX44" s="228">
        <v>0.41</v>
      </c>
      <c r="DY44" s="228">
        <v>-0.16</v>
      </c>
      <c r="DZ44" s="229">
        <v>-0.39019999999999999</v>
      </c>
      <c r="EA44" s="229">
        <v>0.95299999999999996</v>
      </c>
      <c r="EB44" s="230">
        <v>19012800</v>
      </c>
      <c r="EC44" s="229">
        <v>5.8999999999999999E-3</v>
      </c>
      <c r="ED44" s="229">
        <v>0.95299999999999996</v>
      </c>
      <c r="EE44" s="228">
        <v>7.8</v>
      </c>
      <c r="EF44" s="229">
        <v>8.8999999999999999E-3</v>
      </c>
      <c r="EG44" s="230">
        <v>1345604</v>
      </c>
      <c r="EH44" s="230">
        <v>933324</v>
      </c>
      <c r="EI44" s="229">
        <v>0.44169999999999998</v>
      </c>
      <c r="EJ44" s="229">
        <v>0.4466</v>
      </c>
      <c r="EK44" s="228">
        <v>853.87</v>
      </c>
      <c r="EL44" s="228">
        <v>197.79</v>
      </c>
      <c r="EM44" s="228">
        <v>600.82000000000005</v>
      </c>
      <c r="EN44" s="228">
        <v>113.32</v>
      </c>
      <c r="EO44" s="231">
        <v>1652.48</v>
      </c>
      <c r="EP44" s="231">
        <v>2292.09</v>
      </c>
      <c r="EQ44" s="228">
        <v>-639.61</v>
      </c>
      <c r="ER44" s="229">
        <v>-0.27910000000000001</v>
      </c>
      <c r="ES44" s="228">
        <v>237.74</v>
      </c>
      <c r="ET44" s="228">
        <v>143.69999999999999</v>
      </c>
      <c r="EU44" s="231">
        <v>1761.58</v>
      </c>
      <c r="EV44" s="231">
        <v>103080397</v>
      </c>
      <c r="EW44" s="231">
        <v>2143.02</v>
      </c>
      <c r="EX44" s="231">
        <v>2825.89</v>
      </c>
      <c r="EY44" s="228">
        <v>-682.87</v>
      </c>
      <c r="EZ44" s="229">
        <v>-0.24160000000000001</v>
      </c>
      <c r="FA44" s="229">
        <v>0.23580000000000001</v>
      </c>
      <c r="FB44" s="227" t="s">
        <v>691</v>
      </c>
      <c r="FC44">
        <f t="shared" si="0"/>
        <v>1673</v>
      </c>
    </row>
    <row r="45" spans="1:159" ht="17.25" thickBot="1" x14ac:dyDescent="0.3">
      <c r="A45" s="226">
        <v>46168</v>
      </c>
      <c r="B45" s="227" t="s">
        <v>175</v>
      </c>
      <c r="C45" s="227" t="s">
        <v>198</v>
      </c>
      <c r="D45" s="228">
        <v>625</v>
      </c>
      <c r="E45" s="228">
        <v>0</v>
      </c>
      <c r="F45" s="231">
        <v>1579.8</v>
      </c>
      <c r="G45" s="231">
        <v>1599.4</v>
      </c>
      <c r="H45" s="228">
        <v>-19.600000000000001</v>
      </c>
      <c r="I45" s="229">
        <v>-1.23E-2</v>
      </c>
      <c r="J45" s="231">
        <v>1567.3</v>
      </c>
      <c r="K45" s="231">
        <v>1591</v>
      </c>
      <c r="L45" s="228">
        <v>-23.7</v>
      </c>
      <c r="M45" s="229">
        <v>-1.49E-2</v>
      </c>
      <c r="N45" s="231">
        <v>1567.5</v>
      </c>
      <c r="O45" s="231">
        <v>1587.5</v>
      </c>
      <c r="P45" s="228">
        <v>-20</v>
      </c>
      <c r="Q45" s="229">
        <v>-1.26E-2</v>
      </c>
      <c r="R45" s="231">
        <v>1579.8</v>
      </c>
      <c r="S45" s="231">
        <v>1599.4</v>
      </c>
      <c r="T45" s="228">
        <v>-19.600000000000001</v>
      </c>
      <c r="U45" s="229">
        <v>-1.23E-2</v>
      </c>
      <c r="V45" s="231">
        <v>1587.6</v>
      </c>
      <c r="W45" s="231">
        <v>1609.5</v>
      </c>
      <c r="X45" s="228">
        <v>-21.9</v>
      </c>
      <c r="Y45" s="229">
        <v>-1.3599999999999999E-2</v>
      </c>
      <c r="Z45" s="228">
        <v>12.5</v>
      </c>
      <c r="AA45" s="228">
        <v>-3.5</v>
      </c>
      <c r="AB45" s="228">
        <v>16</v>
      </c>
      <c r="AC45" s="229">
        <v>8.0000000000000002E-3</v>
      </c>
      <c r="AD45" s="228">
        <v>0.2</v>
      </c>
      <c r="AE45" s="228">
        <v>-3.5</v>
      </c>
      <c r="AF45" s="228">
        <v>3.7</v>
      </c>
      <c r="AG45" s="229">
        <v>1E-4</v>
      </c>
      <c r="AH45" s="228">
        <v>12.5</v>
      </c>
      <c r="AI45" s="228">
        <v>8.4</v>
      </c>
      <c r="AJ45" s="228">
        <v>4.0999999999999996</v>
      </c>
      <c r="AK45" s="229">
        <v>8.0000000000000002E-3</v>
      </c>
      <c r="AL45" s="228">
        <v>20.3</v>
      </c>
      <c r="AM45" s="228">
        <v>18.5</v>
      </c>
      <c r="AN45" s="228">
        <v>1.8</v>
      </c>
      <c r="AO45" s="229">
        <v>1.2999999999999999E-2</v>
      </c>
      <c r="AP45" s="231">
        <v>1574.34</v>
      </c>
      <c r="AQ45" s="231">
        <v>1586.62</v>
      </c>
      <c r="AR45" s="228">
        <v>0</v>
      </c>
      <c r="AS45" s="228">
        <v>560</v>
      </c>
      <c r="AT45" s="230">
        <v>1837</v>
      </c>
      <c r="AU45" s="230">
        <v>-1278</v>
      </c>
      <c r="AV45" s="229">
        <v>-0.69530000000000003</v>
      </c>
      <c r="AW45" s="228">
        <v>216</v>
      </c>
      <c r="AX45" s="228">
        <v>797</v>
      </c>
      <c r="AY45" s="228">
        <v>-580</v>
      </c>
      <c r="AZ45" s="229">
        <v>-0.72840000000000005</v>
      </c>
      <c r="BA45" s="228">
        <v>339</v>
      </c>
      <c r="BB45" s="230">
        <v>1023</v>
      </c>
      <c r="BC45" s="228">
        <v>-683</v>
      </c>
      <c r="BD45" s="229">
        <v>-0.66820000000000002</v>
      </c>
      <c r="BE45" s="228">
        <v>4</v>
      </c>
      <c r="BF45" s="228">
        <v>18</v>
      </c>
      <c r="BG45" s="228">
        <v>-14</v>
      </c>
      <c r="BH45" s="229">
        <v>-0.77600000000000002</v>
      </c>
      <c r="BI45" s="228">
        <v>461</v>
      </c>
      <c r="BJ45" s="230">
        <v>1641</v>
      </c>
      <c r="BK45" s="230">
        <v>-1180</v>
      </c>
      <c r="BL45" s="229">
        <v>-0.71909999999999996</v>
      </c>
      <c r="BM45" s="228">
        <v>595</v>
      </c>
      <c r="BN45" s="228">
        <v>812</v>
      </c>
      <c r="BO45" s="228">
        <v>-217</v>
      </c>
      <c r="BP45" s="229">
        <v>-0.26700000000000002</v>
      </c>
      <c r="BQ45" s="230">
        <v>1616</v>
      </c>
      <c r="BR45" s="230">
        <v>4291</v>
      </c>
      <c r="BS45" s="230">
        <v>-2675</v>
      </c>
      <c r="BT45" s="229">
        <v>-0.62339999999999995</v>
      </c>
      <c r="BU45" s="230">
        <v>887577</v>
      </c>
      <c r="BV45" s="230">
        <v>1726173</v>
      </c>
      <c r="BW45" s="230">
        <v>-838596</v>
      </c>
      <c r="BX45" s="229">
        <v>-0.48580000000000001</v>
      </c>
      <c r="BY45" s="230">
        <v>2760</v>
      </c>
      <c r="BZ45" s="230">
        <v>2958</v>
      </c>
      <c r="CA45" s="228">
        <v>-198</v>
      </c>
      <c r="CB45" s="229">
        <v>-6.6900000000000001E-2</v>
      </c>
      <c r="CC45" s="228">
        <v>186</v>
      </c>
      <c r="CD45" s="228">
        <v>325</v>
      </c>
      <c r="CE45" s="228">
        <v>-139</v>
      </c>
      <c r="CF45" s="229">
        <v>-0.42770000000000002</v>
      </c>
      <c r="CG45" s="230">
        <v>2392</v>
      </c>
      <c r="CH45" s="230">
        <v>2267</v>
      </c>
      <c r="CI45" s="228">
        <v>125</v>
      </c>
      <c r="CJ45" s="229">
        <v>5.5100000000000003E-2</v>
      </c>
      <c r="CK45" s="228">
        <v>368</v>
      </c>
      <c r="CL45" s="228">
        <v>366</v>
      </c>
      <c r="CM45" s="228">
        <v>2</v>
      </c>
      <c r="CN45" s="229">
        <v>5.7000000000000002E-3</v>
      </c>
      <c r="CO45" s="228">
        <v>214</v>
      </c>
      <c r="CP45" s="228">
        <v>573</v>
      </c>
      <c r="CQ45" s="228">
        <v>-360</v>
      </c>
      <c r="CR45" s="229">
        <v>-0.62729999999999997</v>
      </c>
      <c r="CS45" s="228">
        <v>157</v>
      </c>
      <c r="CT45" s="228">
        <v>412</v>
      </c>
      <c r="CU45" s="228">
        <v>-255</v>
      </c>
      <c r="CV45" s="229">
        <v>-0.61809999999999998</v>
      </c>
      <c r="CW45" s="230">
        <v>3131</v>
      </c>
      <c r="CX45" s="230">
        <v>3943</v>
      </c>
      <c r="CY45" s="228">
        <v>-812</v>
      </c>
      <c r="CZ45" s="229">
        <v>-0.20599999999999999</v>
      </c>
      <c r="DA45" s="228">
        <v>29.37</v>
      </c>
      <c r="DB45" s="228">
        <v>30.59</v>
      </c>
      <c r="DC45" s="228">
        <v>-1.22</v>
      </c>
      <c r="DD45" s="228">
        <v>-1.22</v>
      </c>
      <c r="DE45" s="228">
        <v>40.619999999999997</v>
      </c>
      <c r="DF45" s="228">
        <v>40.67</v>
      </c>
      <c r="DG45" s="228">
        <v>-11.25</v>
      </c>
      <c r="DH45" s="228">
        <v>-0.05</v>
      </c>
      <c r="DI45" s="228">
        <v>29.35</v>
      </c>
      <c r="DJ45" s="228">
        <v>30.71</v>
      </c>
      <c r="DK45" s="228">
        <v>-1.36</v>
      </c>
      <c r="DL45" s="228">
        <v>-1.36</v>
      </c>
      <c r="DM45" s="228">
        <v>29.4</v>
      </c>
      <c r="DN45" s="228">
        <v>30.4</v>
      </c>
      <c r="DO45" s="228">
        <v>-1</v>
      </c>
      <c r="DP45" s="228">
        <v>-1</v>
      </c>
      <c r="DQ45" s="228">
        <v>0.74</v>
      </c>
      <c r="DR45" s="228">
        <v>0.72</v>
      </c>
      <c r="DS45" s="228">
        <v>0.02</v>
      </c>
      <c r="DT45" s="229">
        <v>2.7799999999999998E-2</v>
      </c>
      <c r="DU45" s="231">
        <v>1600</v>
      </c>
      <c r="DV45" s="231">
        <v>1520</v>
      </c>
      <c r="DW45" s="228">
        <v>1.29</v>
      </c>
      <c r="DX45" s="228">
        <v>0.49</v>
      </c>
      <c r="DY45" s="228">
        <v>0.8</v>
      </c>
      <c r="DZ45" s="229">
        <v>1.6327</v>
      </c>
      <c r="EA45" s="229">
        <v>0.93689999999999996</v>
      </c>
      <c r="EB45" s="230">
        <v>16666250</v>
      </c>
      <c r="EC45" s="229">
        <v>7.7999999999999996E-3</v>
      </c>
      <c r="ED45" s="229">
        <v>0.93689999999999996</v>
      </c>
      <c r="EE45" s="228">
        <v>12.28</v>
      </c>
      <c r="EF45" s="229">
        <v>7.7999999999999996E-3</v>
      </c>
      <c r="EG45" s="230">
        <v>429879</v>
      </c>
      <c r="EH45" s="230">
        <v>881963</v>
      </c>
      <c r="EI45" s="229">
        <v>-0.51259999999999994</v>
      </c>
      <c r="EJ45" s="229">
        <v>0.48430000000000001</v>
      </c>
      <c r="EK45" s="228">
        <v>480.46</v>
      </c>
      <c r="EL45" s="228">
        <v>585.35</v>
      </c>
      <c r="EM45" s="228">
        <v>560.5</v>
      </c>
      <c r="EN45" s="228">
        <v>137.1</v>
      </c>
      <c r="EO45" s="231">
        <v>1626.31</v>
      </c>
      <c r="EP45" s="231">
        <v>4337.29</v>
      </c>
      <c r="EQ45" s="231">
        <v>-2710.98</v>
      </c>
      <c r="ER45" s="229">
        <v>-0.625</v>
      </c>
      <c r="ES45" s="228">
        <v>220.5</v>
      </c>
      <c r="ET45" s="228">
        <v>151.12</v>
      </c>
      <c r="EU45" s="231">
        <v>2761.83</v>
      </c>
      <c r="EV45" s="231">
        <v>63646863</v>
      </c>
      <c r="EW45" s="231">
        <v>3133.45</v>
      </c>
      <c r="EX45" s="231">
        <v>3977.42</v>
      </c>
      <c r="EY45" s="228">
        <v>-843.97</v>
      </c>
      <c r="EZ45" s="229">
        <v>-0.2122</v>
      </c>
      <c r="FA45" s="229">
        <v>0.31140000000000001</v>
      </c>
      <c r="FB45" s="227" t="s">
        <v>567</v>
      </c>
      <c r="FC45">
        <f t="shared" si="0"/>
        <v>2574</v>
      </c>
    </row>
    <row r="46" spans="1:159" ht="17.25" thickBot="1" x14ac:dyDescent="0.3">
      <c r="A46" s="226">
        <v>46168</v>
      </c>
      <c r="B46" s="227" t="s">
        <v>170</v>
      </c>
      <c r="C46" s="227" t="s">
        <v>199</v>
      </c>
      <c r="D46" s="228">
        <v>375</v>
      </c>
      <c r="E46" s="228">
        <v>0</v>
      </c>
      <c r="F46" s="231">
        <v>1417</v>
      </c>
      <c r="G46" s="231">
        <v>1411.9</v>
      </c>
      <c r="H46" s="228">
        <v>5.0999999999999996</v>
      </c>
      <c r="I46" s="229">
        <v>3.5999999999999999E-3</v>
      </c>
      <c r="J46" s="231">
        <v>1417.5</v>
      </c>
      <c r="K46" s="231">
        <v>1413.9</v>
      </c>
      <c r="L46" s="228">
        <v>3.6</v>
      </c>
      <c r="M46" s="229">
        <v>2.5000000000000001E-3</v>
      </c>
      <c r="N46" s="231">
        <v>1419.6</v>
      </c>
      <c r="O46" s="231">
        <v>1412.6</v>
      </c>
      <c r="P46" s="228">
        <v>7</v>
      </c>
      <c r="Q46" s="229">
        <v>5.0000000000000001E-3</v>
      </c>
      <c r="R46" s="231">
        <v>1417</v>
      </c>
      <c r="S46" s="231">
        <v>1411.9</v>
      </c>
      <c r="T46" s="228">
        <v>5.0999999999999996</v>
      </c>
      <c r="U46" s="229">
        <v>3.5999999999999999E-3</v>
      </c>
      <c r="V46" s="231">
        <v>1423</v>
      </c>
      <c r="W46" s="231">
        <v>1420.9</v>
      </c>
      <c r="X46" s="228">
        <v>2.1</v>
      </c>
      <c r="Y46" s="229">
        <v>1.5E-3</v>
      </c>
      <c r="Z46" s="228">
        <v>-0.5</v>
      </c>
      <c r="AA46" s="228">
        <v>-1.3</v>
      </c>
      <c r="AB46" s="228">
        <v>0.8</v>
      </c>
      <c r="AC46" s="229">
        <v>-4.0000000000000002E-4</v>
      </c>
      <c r="AD46" s="228">
        <v>2.1</v>
      </c>
      <c r="AE46" s="228">
        <v>-1.3</v>
      </c>
      <c r="AF46" s="228">
        <v>3.4</v>
      </c>
      <c r="AG46" s="229">
        <v>1.5E-3</v>
      </c>
      <c r="AH46" s="228">
        <v>-0.5</v>
      </c>
      <c r="AI46" s="228">
        <v>-2</v>
      </c>
      <c r="AJ46" s="228">
        <v>1.5</v>
      </c>
      <c r="AK46" s="229">
        <v>-4.0000000000000002E-4</v>
      </c>
      <c r="AL46" s="228">
        <v>5.5</v>
      </c>
      <c r="AM46" s="228">
        <v>7</v>
      </c>
      <c r="AN46" s="228">
        <v>-1.5</v>
      </c>
      <c r="AO46" s="229">
        <v>3.8999999999999998E-3</v>
      </c>
      <c r="AP46" s="231">
        <v>1415.77</v>
      </c>
      <c r="AQ46" s="231">
        <v>1414.64</v>
      </c>
      <c r="AR46" s="228">
        <v>0</v>
      </c>
      <c r="AS46" s="228">
        <v>509</v>
      </c>
      <c r="AT46" s="230">
        <v>1077</v>
      </c>
      <c r="AU46" s="228">
        <v>-568</v>
      </c>
      <c r="AV46" s="229">
        <v>-0.52749999999999997</v>
      </c>
      <c r="AW46" s="228">
        <v>255</v>
      </c>
      <c r="AX46" s="228">
        <v>511</v>
      </c>
      <c r="AY46" s="228">
        <v>-255</v>
      </c>
      <c r="AZ46" s="229">
        <v>-0.50029999999999997</v>
      </c>
      <c r="BA46" s="228">
        <v>252</v>
      </c>
      <c r="BB46" s="228">
        <v>564</v>
      </c>
      <c r="BC46" s="228">
        <v>-312</v>
      </c>
      <c r="BD46" s="229">
        <v>-0.55349999999999999</v>
      </c>
      <c r="BE46" s="228">
        <v>2</v>
      </c>
      <c r="BF46" s="228">
        <v>2</v>
      </c>
      <c r="BG46" s="228">
        <v>0</v>
      </c>
      <c r="BH46" s="229">
        <v>-0.18179999999999999</v>
      </c>
      <c r="BI46" s="228">
        <v>885</v>
      </c>
      <c r="BJ46" s="230">
        <v>1901</v>
      </c>
      <c r="BK46" s="230">
        <v>-1016</v>
      </c>
      <c r="BL46" s="229">
        <v>-0.5343</v>
      </c>
      <c r="BM46" s="228">
        <v>626</v>
      </c>
      <c r="BN46" s="228">
        <v>963</v>
      </c>
      <c r="BO46" s="228">
        <v>-338</v>
      </c>
      <c r="BP46" s="229">
        <v>-0.35039999999999999</v>
      </c>
      <c r="BQ46" s="230">
        <v>2020</v>
      </c>
      <c r="BR46" s="230">
        <v>3941</v>
      </c>
      <c r="BS46" s="230">
        <v>-1921</v>
      </c>
      <c r="BT46" s="229">
        <v>-0.48749999999999999</v>
      </c>
      <c r="BU46" s="230">
        <v>1398842</v>
      </c>
      <c r="BV46" s="230">
        <v>695262</v>
      </c>
      <c r="BW46" s="230">
        <v>703580</v>
      </c>
      <c r="BX46" s="229">
        <v>1.012</v>
      </c>
      <c r="BY46" s="230">
        <v>2095</v>
      </c>
      <c r="BZ46" s="230">
        <v>2302</v>
      </c>
      <c r="CA46" s="228">
        <v>-208</v>
      </c>
      <c r="CB46" s="229">
        <v>-9.0200000000000002E-2</v>
      </c>
      <c r="CC46" s="228">
        <v>260</v>
      </c>
      <c r="CD46" s="228">
        <v>323</v>
      </c>
      <c r="CE46" s="228">
        <v>-63</v>
      </c>
      <c r="CF46" s="229">
        <v>-0.19370000000000001</v>
      </c>
      <c r="CG46" s="230">
        <v>1859</v>
      </c>
      <c r="CH46" s="230">
        <v>1745</v>
      </c>
      <c r="CI46" s="228">
        <v>115</v>
      </c>
      <c r="CJ46" s="229">
        <v>6.59E-2</v>
      </c>
      <c r="CK46" s="228">
        <v>235</v>
      </c>
      <c r="CL46" s="228">
        <v>235</v>
      </c>
      <c r="CM46" s="228">
        <v>0</v>
      </c>
      <c r="CN46" s="229">
        <v>1.5E-3</v>
      </c>
      <c r="CO46" s="228">
        <v>246</v>
      </c>
      <c r="CP46" s="230">
        <v>1170</v>
      </c>
      <c r="CQ46" s="228">
        <v>-924</v>
      </c>
      <c r="CR46" s="229">
        <v>-0.78949999999999998</v>
      </c>
      <c r="CS46" s="228">
        <v>204</v>
      </c>
      <c r="CT46" s="230">
        <v>1071</v>
      </c>
      <c r="CU46" s="228">
        <v>-867</v>
      </c>
      <c r="CV46" s="229">
        <v>-0.80969999999999998</v>
      </c>
      <c r="CW46" s="230">
        <v>2545</v>
      </c>
      <c r="CX46" s="230">
        <v>4544</v>
      </c>
      <c r="CY46" s="230">
        <v>-1999</v>
      </c>
      <c r="CZ46" s="229">
        <v>-0.43990000000000001</v>
      </c>
      <c r="DA46" s="228">
        <v>20.82</v>
      </c>
      <c r="DB46" s="228">
        <v>22.13</v>
      </c>
      <c r="DC46" s="228">
        <v>-1.31</v>
      </c>
      <c r="DD46" s="228">
        <v>-1.31</v>
      </c>
      <c r="DE46" s="228">
        <v>27.78</v>
      </c>
      <c r="DF46" s="228">
        <v>27.85</v>
      </c>
      <c r="DG46" s="228">
        <v>-6.96</v>
      </c>
      <c r="DH46" s="228">
        <v>-7.0000000000000007E-2</v>
      </c>
      <c r="DI46" s="228">
        <v>20.079999999999998</v>
      </c>
      <c r="DJ46" s="228">
        <v>21.99</v>
      </c>
      <c r="DK46" s="228">
        <v>-1.91</v>
      </c>
      <c r="DL46" s="228">
        <v>-1.91</v>
      </c>
      <c r="DM46" s="228">
        <v>21.97</v>
      </c>
      <c r="DN46" s="228">
        <v>22.35</v>
      </c>
      <c r="DO46" s="228">
        <v>-0.38</v>
      </c>
      <c r="DP46" s="228">
        <v>-0.38</v>
      </c>
      <c r="DQ46" s="228">
        <v>0.83</v>
      </c>
      <c r="DR46" s="228">
        <v>0.92</v>
      </c>
      <c r="DS46" s="228">
        <v>-0.09</v>
      </c>
      <c r="DT46" s="229">
        <v>-9.7799999999999998E-2</v>
      </c>
      <c r="DU46" s="231">
        <v>1420</v>
      </c>
      <c r="DV46" s="231">
        <v>1300</v>
      </c>
      <c r="DW46" s="228">
        <v>0.71</v>
      </c>
      <c r="DX46" s="228">
        <v>0.51</v>
      </c>
      <c r="DY46" s="228">
        <v>0.2</v>
      </c>
      <c r="DZ46" s="229">
        <v>0.39219999999999999</v>
      </c>
      <c r="EA46" s="229">
        <v>0.88949999999999996</v>
      </c>
      <c r="EB46" s="230">
        <v>13968750</v>
      </c>
      <c r="EC46" s="229">
        <v>-1.8E-3</v>
      </c>
      <c r="ED46" s="229">
        <v>0.88949999999999996</v>
      </c>
      <c r="EE46" s="228">
        <v>-1.1299999999999999</v>
      </c>
      <c r="EF46" s="229">
        <v>-8.0000000000000004E-4</v>
      </c>
      <c r="EG46" s="230">
        <v>946298</v>
      </c>
      <c r="EH46" s="230">
        <v>359658</v>
      </c>
      <c r="EI46" s="229">
        <v>1.6311</v>
      </c>
      <c r="EJ46" s="229">
        <v>0.67649999999999999</v>
      </c>
      <c r="EK46" s="228">
        <v>904.01</v>
      </c>
      <c r="EL46" s="228">
        <v>612.30999999999995</v>
      </c>
      <c r="EM46" s="228">
        <v>508.52</v>
      </c>
      <c r="EN46" s="228">
        <v>173.12</v>
      </c>
      <c r="EO46" s="231">
        <v>2024.84</v>
      </c>
      <c r="EP46" s="231">
        <v>3930.51</v>
      </c>
      <c r="EQ46" s="231">
        <v>-1905.67</v>
      </c>
      <c r="ER46" s="229">
        <v>-0.48480000000000001</v>
      </c>
      <c r="ES46" s="228">
        <v>250.18</v>
      </c>
      <c r="ET46" s="228">
        <v>195.5</v>
      </c>
      <c r="EU46" s="231">
        <v>2095.61</v>
      </c>
      <c r="EV46" s="231">
        <v>76385219</v>
      </c>
      <c r="EW46" s="231">
        <v>2541.29</v>
      </c>
      <c r="EX46" s="231">
        <v>4471.1099999999997</v>
      </c>
      <c r="EY46" s="231">
        <v>-1929.82</v>
      </c>
      <c r="EZ46" s="229">
        <v>-0.43159999999999998</v>
      </c>
      <c r="FA46" s="229">
        <v>0.2351</v>
      </c>
      <c r="FB46" s="227" t="s">
        <v>691</v>
      </c>
      <c r="FC46">
        <f t="shared" si="0"/>
        <v>1835</v>
      </c>
    </row>
    <row r="47" spans="1:159" ht="17.25" thickBot="1" x14ac:dyDescent="0.3">
      <c r="A47" s="226">
        <v>46168</v>
      </c>
      <c r="B47" s="227" t="s">
        <v>227</v>
      </c>
      <c r="C47" s="227" t="s">
        <v>200</v>
      </c>
      <c r="D47" s="228">
        <v>1350</v>
      </c>
      <c r="E47" s="228">
        <v>0</v>
      </c>
      <c r="F47" s="228">
        <v>456.55</v>
      </c>
      <c r="G47" s="228">
        <v>460.1</v>
      </c>
      <c r="H47" s="228">
        <v>-3.55</v>
      </c>
      <c r="I47" s="229">
        <v>-7.7000000000000002E-3</v>
      </c>
      <c r="J47" s="228">
        <v>458.15</v>
      </c>
      <c r="K47" s="228">
        <v>458</v>
      </c>
      <c r="L47" s="228">
        <v>0.15</v>
      </c>
      <c r="M47" s="229">
        <v>2.9999999999999997E-4</v>
      </c>
      <c r="N47" s="228">
        <v>458.75</v>
      </c>
      <c r="O47" s="228">
        <v>460.1</v>
      </c>
      <c r="P47" s="228">
        <v>-1.35</v>
      </c>
      <c r="Q47" s="229">
        <v>-2.8999999999999998E-3</v>
      </c>
      <c r="R47" s="228">
        <v>456.55</v>
      </c>
      <c r="S47" s="228">
        <v>460.1</v>
      </c>
      <c r="T47" s="228">
        <v>-3.55</v>
      </c>
      <c r="U47" s="229">
        <v>-7.7000000000000002E-3</v>
      </c>
      <c r="V47" s="228">
        <v>457</v>
      </c>
      <c r="W47" s="228">
        <v>460.65</v>
      </c>
      <c r="X47" s="228">
        <v>-3.65</v>
      </c>
      <c r="Y47" s="229">
        <v>-7.9000000000000008E-3</v>
      </c>
      <c r="Z47" s="228">
        <v>-1.6</v>
      </c>
      <c r="AA47" s="228">
        <v>2.1</v>
      </c>
      <c r="AB47" s="228">
        <v>-3.7</v>
      </c>
      <c r="AC47" s="229">
        <v>-3.5000000000000001E-3</v>
      </c>
      <c r="AD47" s="228">
        <v>0.6</v>
      </c>
      <c r="AE47" s="228">
        <v>2.1</v>
      </c>
      <c r="AF47" s="228">
        <v>-1.5</v>
      </c>
      <c r="AG47" s="229">
        <v>1.2999999999999999E-3</v>
      </c>
      <c r="AH47" s="228">
        <v>-1.6</v>
      </c>
      <c r="AI47" s="228">
        <v>2.1</v>
      </c>
      <c r="AJ47" s="228">
        <v>-3.7</v>
      </c>
      <c r="AK47" s="229">
        <v>-3.5000000000000001E-3</v>
      </c>
      <c r="AL47" s="228">
        <v>-1.1499999999999999</v>
      </c>
      <c r="AM47" s="228">
        <v>2.65</v>
      </c>
      <c r="AN47" s="228">
        <v>-3.8</v>
      </c>
      <c r="AO47" s="229">
        <v>-2.5000000000000001E-3</v>
      </c>
      <c r="AP47" s="228">
        <v>466.64</v>
      </c>
      <c r="AQ47" s="228">
        <v>466.13</v>
      </c>
      <c r="AR47" s="228">
        <v>0</v>
      </c>
      <c r="AS47" s="230">
        <v>2033</v>
      </c>
      <c r="AT47" s="230">
        <v>1685</v>
      </c>
      <c r="AU47" s="228">
        <v>348</v>
      </c>
      <c r="AV47" s="229">
        <v>0.20660000000000001</v>
      </c>
      <c r="AW47" s="228">
        <v>557</v>
      </c>
      <c r="AX47" s="228">
        <v>811</v>
      </c>
      <c r="AY47" s="228">
        <v>-255</v>
      </c>
      <c r="AZ47" s="229">
        <v>-0.31380000000000002</v>
      </c>
      <c r="BA47" s="230">
        <v>1442</v>
      </c>
      <c r="BB47" s="228">
        <v>865</v>
      </c>
      <c r="BC47" s="228">
        <v>577</v>
      </c>
      <c r="BD47" s="229">
        <v>0.66669999999999996</v>
      </c>
      <c r="BE47" s="228">
        <v>35</v>
      </c>
      <c r="BF47" s="228">
        <v>9</v>
      </c>
      <c r="BG47" s="228">
        <v>26</v>
      </c>
      <c r="BH47" s="229">
        <v>2.9306000000000001</v>
      </c>
      <c r="BI47" s="230">
        <v>4561</v>
      </c>
      <c r="BJ47" s="230">
        <v>1448</v>
      </c>
      <c r="BK47" s="230">
        <v>3113</v>
      </c>
      <c r="BL47" s="229">
        <v>2.1503999999999999</v>
      </c>
      <c r="BM47" s="230">
        <v>2980</v>
      </c>
      <c r="BN47" s="230">
        <v>1275</v>
      </c>
      <c r="BO47" s="230">
        <v>1705</v>
      </c>
      <c r="BP47" s="229">
        <v>1.3374999999999999</v>
      </c>
      <c r="BQ47" s="230">
        <v>9574</v>
      </c>
      <c r="BR47" s="230">
        <v>4408</v>
      </c>
      <c r="BS47" s="230">
        <v>5166</v>
      </c>
      <c r="BT47" s="229">
        <v>1.1720999999999999</v>
      </c>
      <c r="BU47" s="230">
        <v>18168918</v>
      </c>
      <c r="BV47" s="230">
        <v>8650635</v>
      </c>
      <c r="BW47" s="230">
        <v>9518283</v>
      </c>
      <c r="BX47" s="229">
        <v>1.1003000000000001</v>
      </c>
      <c r="BY47" s="230">
        <v>2605</v>
      </c>
      <c r="BZ47" s="230">
        <v>2652</v>
      </c>
      <c r="CA47" s="228">
        <v>-48</v>
      </c>
      <c r="CB47" s="229">
        <v>-1.7899999999999999E-2</v>
      </c>
      <c r="CC47" s="228">
        <v>194</v>
      </c>
      <c r="CD47" s="228">
        <v>316</v>
      </c>
      <c r="CE47" s="228">
        <v>-121</v>
      </c>
      <c r="CF47" s="229">
        <v>-0.3846</v>
      </c>
      <c r="CG47" s="230">
        <v>2579</v>
      </c>
      <c r="CH47" s="230">
        <v>2316</v>
      </c>
      <c r="CI47" s="228">
        <v>263</v>
      </c>
      <c r="CJ47" s="229">
        <v>0.1137</v>
      </c>
      <c r="CK47" s="228">
        <v>26</v>
      </c>
      <c r="CL47" s="228">
        <v>21</v>
      </c>
      <c r="CM47" s="228">
        <v>5</v>
      </c>
      <c r="CN47" s="229">
        <v>0.2155</v>
      </c>
      <c r="CO47" s="228">
        <v>913</v>
      </c>
      <c r="CP47" s="230">
        <v>1621</v>
      </c>
      <c r="CQ47" s="228">
        <v>-708</v>
      </c>
      <c r="CR47" s="229">
        <v>-0.43680000000000002</v>
      </c>
      <c r="CS47" s="228">
        <v>849</v>
      </c>
      <c r="CT47" s="228">
        <v>955</v>
      </c>
      <c r="CU47" s="228">
        <v>-106</v>
      </c>
      <c r="CV47" s="229">
        <v>-0.1114</v>
      </c>
      <c r="CW47" s="230">
        <v>4367</v>
      </c>
      <c r="CX47" s="230">
        <v>5229</v>
      </c>
      <c r="CY47" s="228">
        <v>-862</v>
      </c>
      <c r="CZ47" s="229">
        <v>-0.16489999999999999</v>
      </c>
      <c r="DA47" s="228">
        <v>27.05</v>
      </c>
      <c r="DB47" s="228">
        <v>24.85</v>
      </c>
      <c r="DC47" s="228">
        <v>2.2000000000000002</v>
      </c>
      <c r="DD47" s="228">
        <v>2.2000000000000002</v>
      </c>
      <c r="DE47" s="228">
        <v>30.53</v>
      </c>
      <c r="DF47" s="228">
        <v>30.59</v>
      </c>
      <c r="DG47" s="228">
        <v>-3.48</v>
      </c>
      <c r="DH47" s="228">
        <v>-0.06</v>
      </c>
      <c r="DI47" s="228">
        <v>26.12</v>
      </c>
      <c r="DJ47" s="228">
        <v>24.62</v>
      </c>
      <c r="DK47" s="228">
        <v>1.5</v>
      </c>
      <c r="DL47" s="228">
        <v>1.5</v>
      </c>
      <c r="DM47" s="228">
        <v>28.36</v>
      </c>
      <c r="DN47" s="228">
        <v>25.03</v>
      </c>
      <c r="DO47" s="228">
        <v>3.33</v>
      </c>
      <c r="DP47" s="228">
        <v>3.33</v>
      </c>
      <c r="DQ47" s="228">
        <v>0.93</v>
      </c>
      <c r="DR47" s="228">
        <v>0.59</v>
      </c>
      <c r="DS47" s="228">
        <v>0.34</v>
      </c>
      <c r="DT47" s="229">
        <v>0.57630000000000003</v>
      </c>
      <c r="DU47" s="228">
        <v>460</v>
      </c>
      <c r="DV47" s="228">
        <v>450</v>
      </c>
      <c r="DW47" s="228">
        <v>0.65</v>
      </c>
      <c r="DX47" s="228">
        <v>0.88</v>
      </c>
      <c r="DY47" s="228">
        <v>-0.23</v>
      </c>
      <c r="DZ47" s="229">
        <v>-0.26140000000000002</v>
      </c>
      <c r="EA47" s="229">
        <v>0.93059999999999998</v>
      </c>
      <c r="EB47" s="230">
        <v>51187950</v>
      </c>
      <c r="EC47" s="229">
        <v>-4.7999999999999996E-3</v>
      </c>
      <c r="ED47" s="229">
        <v>0.93059999999999998</v>
      </c>
      <c r="EE47" s="228">
        <v>-0.51</v>
      </c>
      <c r="EF47" s="229">
        <v>-1.1000000000000001E-3</v>
      </c>
      <c r="EG47" s="230">
        <v>5399718</v>
      </c>
      <c r="EH47" s="230">
        <v>5013225</v>
      </c>
      <c r="EI47" s="229">
        <v>7.7100000000000002E-2</v>
      </c>
      <c r="EJ47" s="229">
        <v>0.29720000000000002</v>
      </c>
      <c r="EK47" s="231">
        <v>4840.68</v>
      </c>
      <c r="EL47" s="231">
        <v>3033.27</v>
      </c>
      <c r="EM47" s="231">
        <v>2076.54</v>
      </c>
      <c r="EN47" s="228">
        <v>247.88</v>
      </c>
      <c r="EO47" s="231">
        <v>9950.49</v>
      </c>
      <c r="EP47" s="231">
        <v>4487.91</v>
      </c>
      <c r="EQ47" s="231">
        <v>5462.58</v>
      </c>
      <c r="ER47" s="229">
        <v>1.2172000000000001</v>
      </c>
      <c r="ES47" s="228">
        <v>950.88</v>
      </c>
      <c r="ET47" s="228">
        <v>841.94</v>
      </c>
      <c r="EU47" s="231">
        <v>2604.94</v>
      </c>
      <c r="EV47" s="231">
        <v>320531323</v>
      </c>
      <c r="EW47" s="231">
        <v>4397.75</v>
      </c>
      <c r="EX47" s="231">
        <v>5338.23</v>
      </c>
      <c r="EY47" s="228">
        <v>-940.48</v>
      </c>
      <c r="EZ47" s="229">
        <v>-0.1762</v>
      </c>
      <c r="FA47" s="229">
        <v>0.2984</v>
      </c>
      <c r="FB47" s="227" t="s">
        <v>567</v>
      </c>
      <c r="FC47">
        <f t="shared" si="0"/>
        <v>2411</v>
      </c>
    </row>
    <row r="48" spans="1:159" ht="17.25" thickBot="1" x14ac:dyDescent="0.3">
      <c r="A48" s="226">
        <v>46168</v>
      </c>
      <c r="B48" s="227" t="s">
        <v>215</v>
      </c>
      <c r="C48" s="227" t="s">
        <v>694</v>
      </c>
      <c r="D48" s="228">
        <v>400</v>
      </c>
      <c r="E48" s="228">
        <v>0</v>
      </c>
      <c r="F48" s="231">
        <v>1535</v>
      </c>
      <c r="G48" s="231">
        <v>1521.7</v>
      </c>
      <c r="H48" s="228">
        <v>13.3</v>
      </c>
      <c r="I48" s="229">
        <v>8.6999999999999994E-3</v>
      </c>
      <c r="J48" s="231">
        <v>1526.2</v>
      </c>
      <c r="K48" s="231">
        <v>1529</v>
      </c>
      <c r="L48" s="228">
        <v>-2.8</v>
      </c>
      <c r="M48" s="229">
        <v>-1.8E-3</v>
      </c>
      <c r="N48" s="231">
        <v>1528.9</v>
      </c>
      <c r="O48" s="231">
        <v>1530.1</v>
      </c>
      <c r="P48" s="228">
        <v>-1.2</v>
      </c>
      <c r="Q48" s="229">
        <v>-8.0000000000000004E-4</v>
      </c>
      <c r="R48" s="231">
        <v>1535</v>
      </c>
      <c r="S48" s="231">
        <v>1521.7</v>
      </c>
      <c r="T48" s="228">
        <v>13.3</v>
      </c>
      <c r="U48" s="229">
        <v>8.6999999999999994E-3</v>
      </c>
      <c r="V48" s="231">
        <v>1536.9</v>
      </c>
      <c r="W48" s="231">
        <v>1526.6</v>
      </c>
      <c r="X48" s="228">
        <v>10.3</v>
      </c>
      <c r="Y48" s="229">
        <v>6.7000000000000002E-3</v>
      </c>
      <c r="Z48" s="228">
        <v>8.8000000000000007</v>
      </c>
      <c r="AA48" s="228">
        <v>1.1000000000000001</v>
      </c>
      <c r="AB48" s="228">
        <v>7.7</v>
      </c>
      <c r="AC48" s="229">
        <v>5.7999999999999996E-3</v>
      </c>
      <c r="AD48" s="228">
        <v>2.7</v>
      </c>
      <c r="AE48" s="228">
        <v>1.1000000000000001</v>
      </c>
      <c r="AF48" s="228">
        <v>1.6</v>
      </c>
      <c r="AG48" s="229">
        <v>1.8E-3</v>
      </c>
      <c r="AH48" s="228">
        <v>8.8000000000000007</v>
      </c>
      <c r="AI48" s="228">
        <v>-7.3</v>
      </c>
      <c r="AJ48" s="228">
        <v>16.100000000000001</v>
      </c>
      <c r="AK48" s="229">
        <v>5.7999999999999996E-3</v>
      </c>
      <c r="AL48" s="228">
        <v>10.7</v>
      </c>
      <c r="AM48" s="228">
        <v>-2.4</v>
      </c>
      <c r="AN48" s="228">
        <v>13.1</v>
      </c>
      <c r="AO48" s="229">
        <v>7.0000000000000001E-3</v>
      </c>
      <c r="AP48" s="231">
        <v>1530.21</v>
      </c>
      <c r="AQ48" s="231">
        <v>1529.87</v>
      </c>
      <c r="AR48" s="228">
        <v>0</v>
      </c>
      <c r="AS48" s="228">
        <v>357</v>
      </c>
      <c r="AT48" s="228">
        <v>430</v>
      </c>
      <c r="AU48" s="228">
        <v>-73</v>
      </c>
      <c r="AV48" s="229">
        <v>-0.16919999999999999</v>
      </c>
      <c r="AW48" s="228">
        <v>154</v>
      </c>
      <c r="AX48" s="228">
        <v>212</v>
      </c>
      <c r="AY48" s="228">
        <v>-58</v>
      </c>
      <c r="AZ48" s="229">
        <v>-0.27379999999999999</v>
      </c>
      <c r="BA48" s="228">
        <v>179</v>
      </c>
      <c r="BB48" s="228">
        <v>216</v>
      </c>
      <c r="BC48" s="228">
        <v>-38</v>
      </c>
      <c r="BD48" s="229">
        <v>-0.17399999999999999</v>
      </c>
      <c r="BE48" s="228">
        <v>25</v>
      </c>
      <c r="BF48" s="228">
        <v>2</v>
      </c>
      <c r="BG48" s="228">
        <v>23</v>
      </c>
      <c r="BH48" s="229">
        <v>11.2727</v>
      </c>
      <c r="BI48" s="228">
        <v>271</v>
      </c>
      <c r="BJ48" s="228">
        <v>263</v>
      </c>
      <c r="BK48" s="228">
        <v>8</v>
      </c>
      <c r="BL48" s="229">
        <v>2.9399999999999999E-2</v>
      </c>
      <c r="BM48" s="228">
        <v>120</v>
      </c>
      <c r="BN48" s="228">
        <v>122</v>
      </c>
      <c r="BO48" s="228">
        <v>-2</v>
      </c>
      <c r="BP48" s="229">
        <v>-1.26E-2</v>
      </c>
      <c r="BQ48" s="228">
        <v>748</v>
      </c>
      <c r="BR48" s="228">
        <v>815</v>
      </c>
      <c r="BS48" s="228">
        <v>-67</v>
      </c>
      <c r="BT48" s="229">
        <v>-8.1699999999999995E-2</v>
      </c>
      <c r="BU48" s="230">
        <v>1069025</v>
      </c>
      <c r="BV48" s="230">
        <v>846338</v>
      </c>
      <c r="BW48" s="230">
        <v>222687</v>
      </c>
      <c r="BX48" s="229">
        <v>0.2631</v>
      </c>
      <c r="BY48" s="228">
        <v>488</v>
      </c>
      <c r="BZ48" s="228">
        <v>507</v>
      </c>
      <c r="CA48" s="228">
        <v>-19</v>
      </c>
      <c r="CB48" s="229">
        <v>-3.8300000000000001E-2</v>
      </c>
      <c r="CC48" s="228">
        <v>28</v>
      </c>
      <c r="CD48" s="228">
        <v>97</v>
      </c>
      <c r="CE48" s="228">
        <v>-69</v>
      </c>
      <c r="CF48" s="229">
        <v>-0.71089999999999998</v>
      </c>
      <c r="CG48" s="228">
        <v>463</v>
      </c>
      <c r="CH48" s="228">
        <v>400</v>
      </c>
      <c r="CI48" s="228">
        <v>63</v>
      </c>
      <c r="CJ48" s="229">
        <v>0.15720000000000001</v>
      </c>
      <c r="CK48" s="228">
        <v>24</v>
      </c>
      <c r="CL48" s="228">
        <v>10</v>
      </c>
      <c r="CM48" s="228">
        <v>14</v>
      </c>
      <c r="CN48" s="229">
        <v>1.4294</v>
      </c>
      <c r="CO48" s="228">
        <v>74</v>
      </c>
      <c r="CP48" s="228">
        <v>317</v>
      </c>
      <c r="CQ48" s="228">
        <v>-243</v>
      </c>
      <c r="CR48" s="229">
        <v>-0.76770000000000005</v>
      </c>
      <c r="CS48" s="228">
        <v>52</v>
      </c>
      <c r="CT48" s="228">
        <v>167</v>
      </c>
      <c r="CU48" s="228">
        <v>-115</v>
      </c>
      <c r="CV48" s="229">
        <v>-0.68710000000000004</v>
      </c>
      <c r="CW48" s="228">
        <v>613</v>
      </c>
      <c r="CX48" s="228">
        <v>991</v>
      </c>
      <c r="CY48" s="228">
        <v>-377</v>
      </c>
      <c r="CZ48" s="229">
        <v>-0.38090000000000002</v>
      </c>
      <c r="DA48" s="228">
        <v>37.21</v>
      </c>
      <c r="DB48" s="228">
        <v>37.659999999999997</v>
      </c>
      <c r="DC48" s="228">
        <v>-0.45</v>
      </c>
      <c r="DD48" s="228">
        <v>-0.45</v>
      </c>
      <c r="DE48" s="228">
        <v>54.23</v>
      </c>
      <c r="DF48" s="228">
        <v>54.37</v>
      </c>
      <c r="DG48" s="228">
        <v>-17.02</v>
      </c>
      <c r="DH48" s="228">
        <v>-0.14000000000000001</v>
      </c>
      <c r="DI48" s="228">
        <v>36.97</v>
      </c>
      <c r="DJ48" s="228">
        <v>38.57</v>
      </c>
      <c r="DK48" s="228">
        <v>-1.6</v>
      </c>
      <c r="DL48" s="228">
        <v>-1.6</v>
      </c>
      <c r="DM48" s="228">
        <v>37.72</v>
      </c>
      <c r="DN48" s="228">
        <v>36.4</v>
      </c>
      <c r="DO48" s="228">
        <v>1.32</v>
      </c>
      <c r="DP48" s="228">
        <v>1.32</v>
      </c>
      <c r="DQ48" s="228">
        <v>0.71</v>
      </c>
      <c r="DR48" s="228">
        <v>0.53</v>
      </c>
      <c r="DS48" s="228">
        <v>0.18</v>
      </c>
      <c r="DT48" s="229">
        <v>0.33960000000000001</v>
      </c>
      <c r="DU48" s="231">
        <v>1800</v>
      </c>
      <c r="DV48" s="231">
        <v>1500</v>
      </c>
      <c r="DW48" s="228">
        <v>0.44</v>
      </c>
      <c r="DX48" s="228">
        <v>0.46</v>
      </c>
      <c r="DY48" s="228">
        <v>-0.02</v>
      </c>
      <c r="DZ48" s="229">
        <v>-4.3499999999999997E-2</v>
      </c>
      <c r="EA48" s="229">
        <v>0.94579999999999997</v>
      </c>
      <c r="EB48" s="230">
        <v>2672800</v>
      </c>
      <c r="EC48" s="229">
        <v>4.0000000000000001E-3</v>
      </c>
      <c r="ED48" s="229">
        <v>0.94579999999999997</v>
      </c>
      <c r="EE48" s="228">
        <v>-0.34</v>
      </c>
      <c r="EF48" s="229">
        <v>-2.0000000000000001E-4</v>
      </c>
      <c r="EG48" s="230">
        <v>257822</v>
      </c>
      <c r="EH48" s="230">
        <v>285248</v>
      </c>
      <c r="EI48" s="229">
        <v>-9.6100000000000005E-2</v>
      </c>
      <c r="EJ48" s="229">
        <v>0.2412</v>
      </c>
      <c r="EK48" s="228">
        <v>283.5</v>
      </c>
      <c r="EL48" s="228">
        <v>123.16</v>
      </c>
      <c r="EM48" s="228">
        <v>356.39</v>
      </c>
      <c r="EN48" s="228">
        <v>49.18</v>
      </c>
      <c r="EO48" s="228">
        <v>763.05</v>
      </c>
      <c r="EP48" s="228">
        <v>829.87</v>
      </c>
      <c r="EQ48" s="228">
        <v>-66.83</v>
      </c>
      <c r="ER48" s="229">
        <v>-8.0500000000000002E-2</v>
      </c>
      <c r="ES48" s="228">
        <v>78.33</v>
      </c>
      <c r="ET48" s="228">
        <v>53.19</v>
      </c>
      <c r="EU48" s="228">
        <v>487.55</v>
      </c>
      <c r="EV48" s="231">
        <v>12661431</v>
      </c>
      <c r="EW48" s="228">
        <v>619.07000000000005</v>
      </c>
      <c r="EX48" s="231">
        <v>1025.6400000000001</v>
      </c>
      <c r="EY48" s="228">
        <v>-406.57</v>
      </c>
      <c r="EZ48" s="229">
        <v>-0.39639999999999997</v>
      </c>
      <c r="FA48" s="229">
        <v>0.31559999999999999</v>
      </c>
      <c r="FB48" s="227" t="s">
        <v>691</v>
      </c>
      <c r="FC48">
        <f t="shared" si="0"/>
        <v>460</v>
      </c>
    </row>
    <row r="49" spans="1:159" ht="17.25" thickBot="1" x14ac:dyDescent="0.3">
      <c r="A49" s="226">
        <v>46168</v>
      </c>
      <c r="B49" s="227" t="s">
        <v>221</v>
      </c>
      <c r="C49" s="227" t="s">
        <v>470</v>
      </c>
      <c r="D49" s="228">
        <v>375</v>
      </c>
      <c r="E49" s="228">
        <v>0</v>
      </c>
      <c r="F49" s="231">
        <v>1424.1</v>
      </c>
      <c r="G49" s="231">
        <v>1408.3</v>
      </c>
      <c r="H49" s="228">
        <v>15.8</v>
      </c>
      <c r="I49" s="229">
        <v>1.12E-2</v>
      </c>
      <c r="J49" s="231">
        <v>1422.8</v>
      </c>
      <c r="K49" s="231">
        <v>1398</v>
      </c>
      <c r="L49" s="228">
        <v>24.8</v>
      </c>
      <c r="M49" s="229">
        <v>1.77E-2</v>
      </c>
      <c r="N49" s="231">
        <v>1427.2</v>
      </c>
      <c r="O49" s="231">
        <v>1400.3</v>
      </c>
      <c r="P49" s="228">
        <v>26.9</v>
      </c>
      <c r="Q49" s="229">
        <v>1.9199999999999998E-2</v>
      </c>
      <c r="R49" s="231">
        <v>1424.1</v>
      </c>
      <c r="S49" s="231">
        <v>1408.3</v>
      </c>
      <c r="T49" s="228">
        <v>15.8</v>
      </c>
      <c r="U49" s="229">
        <v>1.12E-2</v>
      </c>
      <c r="V49" s="231">
        <v>1427.4</v>
      </c>
      <c r="W49" s="231">
        <v>1413.8</v>
      </c>
      <c r="X49" s="228">
        <v>13.6</v>
      </c>
      <c r="Y49" s="229">
        <v>9.5999999999999992E-3</v>
      </c>
      <c r="Z49" s="228">
        <v>1.3</v>
      </c>
      <c r="AA49" s="228">
        <v>2.2999999999999998</v>
      </c>
      <c r="AB49" s="228">
        <v>-1</v>
      </c>
      <c r="AC49" s="229">
        <v>8.9999999999999998E-4</v>
      </c>
      <c r="AD49" s="228">
        <v>4.4000000000000004</v>
      </c>
      <c r="AE49" s="228">
        <v>2.2999999999999998</v>
      </c>
      <c r="AF49" s="228">
        <v>2.1</v>
      </c>
      <c r="AG49" s="229">
        <v>3.0999999999999999E-3</v>
      </c>
      <c r="AH49" s="228">
        <v>1.3</v>
      </c>
      <c r="AI49" s="228">
        <v>10.3</v>
      </c>
      <c r="AJ49" s="228">
        <v>-9</v>
      </c>
      <c r="AK49" s="229">
        <v>8.9999999999999998E-4</v>
      </c>
      <c r="AL49" s="228">
        <v>4.5999999999999996</v>
      </c>
      <c r="AM49" s="228">
        <v>15.8</v>
      </c>
      <c r="AN49" s="228">
        <v>-11.2</v>
      </c>
      <c r="AO49" s="229">
        <v>3.2000000000000002E-3</v>
      </c>
      <c r="AP49" s="231">
        <v>1416.76</v>
      </c>
      <c r="AQ49" s="231">
        <v>1421.02</v>
      </c>
      <c r="AR49" s="228">
        <v>0</v>
      </c>
      <c r="AS49" s="228">
        <v>860</v>
      </c>
      <c r="AT49" s="230">
        <v>1572</v>
      </c>
      <c r="AU49" s="228">
        <v>-712</v>
      </c>
      <c r="AV49" s="229">
        <v>-0.45290000000000002</v>
      </c>
      <c r="AW49" s="228">
        <v>391</v>
      </c>
      <c r="AX49" s="228">
        <v>761</v>
      </c>
      <c r="AY49" s="228">
        <v>-370</v>
      </c>
      <c r="AZ49" s="229">
        <v>-0.48659999999999998</v>
      </c>
      <c r="BA49" s="228">
        <v>463</v>
      </c>
      <c r="BB49" s="228">
        <v>805</v>
      </c>
      <c r="BC49" s="228">
        <v>-343</v>
      </c>
      <c r="BD49" s="229">
        <v>-0.4254</v>
      </c>
      <c r="BE49" s="228">
        <v>7</v>
      </c>
      <c r="BF49" s="228">
        <v>6</v>
      </c>
      <c r="BG49" s="228">
        <v>1</v>
      </c>
      <c r="BH49" s="229">
        <v>0.18099999999999999</v>
      </c>
      <c r="BI49" s="230">
        <v>1582</v>
      </c>
      <c r="BJ49" s="230">
        <v>2948</v>
      </c>
      <c r="BK49" s="230">
        <v>-1366</v>
      </c>
      <c r="BL49" s="229">
        <v>-0.46329999999999999</v>
      </c>
      <c r="BM49" s="228">
        <v>814</v>
      </c>
      <c r="BN49" s="230">
        <v>1562</v>
      </c>
      <c r="BO49" s="228">
        <v>-748</v>
      </c>
      <c r="BP49" s="229">
        <v>-0.47910000000000003</v>
      </c>
      <c r="BQ49" s="230">
        <v>3256</v>
      </c>
      <c r="BR49" s="230">
        <v>6082</v>
      </c>
      <c r="BS49" s="230">
        <v>-2826</v>
      </c>
      <c r="BT49" s="229">
        <v>-0.4647</v>
      </c>
      <c r="BU49" s="230">
        <v>1847124</v>
      </c>
      <c r="BV49" s="230">
        <v>1452751</v>
      </c>
      <c r="BW49" s="230">
        <v>394373</v>
      </c>
      <c r="BX49" s="229">
        <v>0.27150000000000002</v>
      </c>
      <c r="BY49" s="230">
        <v>2167</v>
      </c>
      <c r="BZ49" s="230">
        <v>2563</v>
      </c>
      <c r="CA49" s="228">
        <v>-395</v>
      </c>
      <c r="CB49" s="229">
        <v>-0.1542</v>
      </c>
      <c r="CC49" s="228">
        <v>488</v>
      </c>
      <c r="CD49" s="228">
        <v>531</v>
      </c>
      <c r="CE49" s="228">
        <v>-43</v>
      </c>
      <c r="CF49" s="229">
        <v>-8.1699999999999995E-2</v>
      </c>
      <c r="CG49" s="230">
        <v>2139</v>
      </c>
      <c r="CH49" s="230">
        <v>2006</v>
      </c>
      <c r="CI49" s="228">
        <v>132</v>
      </c>
      <c r="CJ49" s="229">
        <v>6.6000000000000003E-2</v>
      </c>
      <c r="CK49" s="228">
        <v>29</v>
      </c>
      <c r="CL49" s="228">
        <v>25</v>
      </c>
      <c r="CM49" s="228">
        <v>3</v>
      </c>
      <c r="CN49" s="229">
        <v>0.13439999999999999</v>
      </c>
      <c r="CO49" s="228">
        <v>544</v>
      </c>
      <c r="CP49" s="230">
        <v>1510</v>
      </c>
      <c r="CQ49" s="228">
        <v>-966</v>
      </c>
      <c r="CR49" s="229">
        <v>-0.63990000000000002</v>
      </c>
      <c r="CS49" s="228">
        <v>314</v>
      </c>
      <c r="CT49" s="230">
        <v>1221</v>
      </c>
      <c r="CU49" s="228">
        <v>-907</v>
      </c>
      <c r="CV49" s="229">
        <v>-0.74270000000000003</v>
      </c>
      <c r="CW49" s="230">
        <v>3025</v>
      </c>
      <c r="CX49" s="230">
        <v>5294</v>
      </c>
      <c r="CY49" s="230">
        <v>-2268</v>
      </c>
      <c r="CZ49" s="229">
        <v>-0.42849999999999999</v>
      </c>
      <c r="DA49" s="228">
        <v>33.81</v>
      </c>
      <c r="DB49" s="228">
        <v>36.1</v>
      </c>
      <c r="DC49" s="228">
        <v>-2.29</v>
      </c>
      <c r="DD49" s="228">
        <v>-2.29</v>
      </c>
      <c r="DE49" s="228">
        <v>46.32</v>
      </c>
      <c r="DF49" s="228">
        <v>46.38</v>
      </c>
      <c r="DG49" s="228">
        <v>-12.51</v>
      </c>
      <c r="DH49" s="228">
        <v>-0.06</v>
      </c>
      <c r="DI49" s="228">
        <v>33.229999999999997</v>
      </c>
      <c r="DJ49" s="228">
        <v>35.24</v>
      </c>
      <c r="DK49" s="228">
        <v>-2.0099999999999998</v>
      </c>
      <c r="DL49" s="228">
        <v>-2.0099999999999998</v>
      </c>
      <c r="DM49" s="228">
        <v>35.26</v>
      </c>
      <c r="DN49" s="228">
        <v>37.89</v>
      </c>
      <c r="DO49" s="228">
        <v>-2.63</v>
      </c>
      <c r="DP49" s="228">
        <v>-2.63</v>
      </c>
      <c r="DQ49" s="228">
        <v>0.57999999999999996</v>
      </c>
      <c r="DR49" s="228">
        <v>0.81</v>
      </c>
      <c r="DS49" s="228">
        <v>-0.23</v>
      </c>
      <c r="DT49" s="229">
        <v>-0.28399999999999997</v>
      </c>
      <c r="DU49" s="231">
        <v>1400</v>
      </c>
      <c r="DV49" s="231">
        <v>1300</v>
      </c>
      <c r="DW49" s="228">
        <v>0.51</v>
      </c>
      <c r="DX49" s="228">
        <v>0.53</v>
      </c>
      <c r="DY49" s="228">
        <v>-0.02</v>
      </c>
      <c r="DZ49" s="229">
        <v>-3.7699999999999997E-2</v>
      </c>
      <c r="EA49" s="229">
        <v>0.81630000000000003</v>
      </c>
      <c r="EB49" s="230">
        <v>14265075</v>
      </c>
      <c r="EC49" s="229">
        <v>-2.2000000000000001E-3</v>
      </c>
      <c r="ED49" s="229">
        <v>0.81630000000000003</v>
      </c>
      <c r="EE49" s="228">
        <v>4.26</v>
      </c>
      <c r="EF49" s="229">
        <v>3.0000000000000001E-3</v>
      </c>
      <c r="EG49" s="230">
        <v>910121</v>
      </c>
      <c r="EH49" s="230">
        <v>468283</v>
      </c>
      <c r="EI49" s="229">
        <v>0.94350000000000001</v>
      </c>
      <c r="EJ49" s="229">
        <v>0.49270000000000003</v>
      </c>
      <c r="EK49" s="231">
        <v>1633.19</v>
      </c>
      <c r="EL49" s="228">
        <v>777.81</v>
      </c>
      <c r="EM49" s="228">
        <v>858.72</v>
      </c>
      <c r="EN49" s="228">
        <v>270.44</v>
      </c>
      <c r="EO49" s="231">
        <v>3269.72</v>
      </c>
      <c r="EP49" s="231">
        <v>6024.73</v>
      </c>
      <c r="EQ49" s="231">
        <v>-2755.01</v>
      </c>
      <c r="ER49" s="229">
        <v>-0.45729999999999998</v>
      </c>
      <c r="ES49" s="228">
        <v>547.88</v>
      </c>
      <c r="ET49" s="228">
        <v>295.08</v>
      </c>
      <c r="EU49" s="231">
        <v>2167.38</v>
      </c>
      <c r="EV49" s="231">
        <v>50256271</v>
      </c>
      <c r="EW49" s="231">
        <v>3010.34</v>
      </c>
      <c r="EX49" s="231">
        <v>5084.83</v>
      </c>
      <c r="EY49" s="231">
        <v>-2074.4899999999998</v>
      </c>
      <c r="EZ49" s="229">
        <v>-0.40799999999999997</v>
      </c>
      <c r="FA49" s="229">
        <v>0.42270000000000002</v>
      </c>
      <c r="FB49" s="227" t="s">
        <v>691</v>
      </c>
      <c r="FC49">
        <f t="shared" si="0"/>
        <v>1679</v>
      </c>
    </row>
    <row r="50" spans="1:159" ht="17.25" thickBot="1" x14ac:dyDescent="0.3">
      <c r="A50" s="226">
        <v>46168</v>
      </c>
      <c r="B50" s="227" t="s">
        <v>168</v>
      </c>
      <c r="C50" s="227" t="s">
        <v>201</v>
      </c>
      <c r="D50" s="228">
        <v>225</v>
      </c>
      <c r="E50" s="228">
        <v>0</v>
      </c>
      <c r="F50" s="231">
        <v>2072.1999999999998</v>
      </c>
      <c r="G50" s="231">
        <v>2088.1</v>
      </c>
      <c r="H50" s="228">
        <v>-15.9</v>
      </c>
      <c r="I50" s="229">
        <v>-7.6E-3</v>
      </c>
      <c r="J50" s="231">
        <v>2077.1</v>
      </c>
      <c r="K50" s="231">
        <v>2097</v>
      </c>
      <c r="L50" s="228">
        <v>-19.899999999999999</v>
      </c>
      <c r="M50" s="229">
        <v>-9.4999999999999998E-3</v>
      </c>
      <c r="N50" s="231">
        <v>2077.6</v>
      </c>
      <c r="O50" s="231">
        <v>2108.9</v>
      </c>
      <c r="P50" s="228">
        <v>-31.3</v>
      </c>
      <c r="Q50" s="229">
        <v>-1.4800000000000001E-2</v>
      </c>
      <c r="R50" s="231">
        <v>2072.1999999999998</v>
      </c>
      <c r="S50" s="231">
        <v>2088.1</v>
      </c>
      <c r="T50" s="228">
        <v>-15.9</v>
      </c>
      <c r="U50" s="229">
        <v>-7.6E-3</v>
      </c>
      <c r="V50" s="231">
        <v>2080.5</v>
      </c>
      <c r="W50" s="231">
        <v>2097.8000000000002</v>
      </c>
      <c r="X50" s="228">
        <v>-17.3</v>
      </c>
      <c r="Y50" s="229">
        <v>-8.2000000000000007E-3</v>
      </c>
      <c r="Z50" s="228">
        <v>-4.9000000000000004</v>
      </c>
      <c r="AA50" s="228">
        <v>11.9</v>
      </c>
      <c r="AB50" s="228">
        <v>-16.8</v>
      </c>
      <c r="AC50" s="229">
        <v>-2.3999999999999998E-3</v>
      </c>
      <c r="AD50" s="228">
        <v>0.5</v>
      </c>
      <c r="AE50" s="228">
        <v>11.9</v>
      </c>
      <c r="AF50" s="228">
        <v>-11.4</v>
      </c>
      <c r="AG50" s="229">
        <v>2.0000000000000001E-4</v>
      </c>
      <c r="AH50" s="228">
        <v>-4.9000000000000004</v>
      </c>
      <c r="AI50" s="228">
        <v>-8.9</v>
      </c>
      <c r="AJ50" s="228">
        <v>4</v>
      </c>
      <c r="AK50" s="229">
        <v>-2.3999999999999998E-3</v>
      </c>
      <c r="AL50" s="228">
        <v>3.4</v>
      </c>
      <c r="AM50" s="228">
        <v>0.8</v>
      </c>
      <c r="AN50" s="228">
        <v>2.6</v>
      </c>
      <c r="AO50" s="229">
        <v>1.6000000000000001E-3</v>
      </c>
      <c r="AP50" s="231">
        <v>2065.96</v>
      </c>
      <c r="AQ50" s="231">
        <v>2058</v>
      </c>
      <c r="AR50" s="228">
        <v>0</v>
      </c>
      <c r="AS50" s="228">
        <v>494</v>
      </c>
      <c r="AT50" s="230">
        <v>1185</v>
      </c>
      <c r="AU50" s="228">
        <v>-691</v>
      </c>
      <c r="AV50" s="229">
        <v>-0.58279999999999998</v>
      </c>
      <c r="AW50" s="228">
        <v>158</v>
      </c>
      <c r="AX50" s="228">
        <v>477</v>
      </c>
      <c r="AY50" s="228">
        <v>-319</v>
      </c>
      <c r="AZ50" s="229">
        <v>-0.66800000000000004</v>
      </c>
      <c r="BA50" s="228">
        <v>330</v>
      </c>
      <c r="BB50" s="228">
        <v>700</v>
      </c>
      <c r="BC50" s="228">
        <v>-370</v>
      </c>
      <c r="BD50" s="229">
        <v>-0.52859999999999996</v>
      </c>
      <c r="BE50" s="228">
        <v>6</v>
      </c>
      <c r="BF50" s="228">
        <v>9</v>
      </c>
      <c r="BG50" s="228">
        <v>-2</v>
      </c>
      <c r="BH50" s="229">
        <v>-0.26229999999999998</v>
      </c>
      <c r="BI50" s="228">
        <v>800</v>
      </c>
      <c r="BJ50" s="230">
        <v>2616</v>
      </c>
      <c r="BK50" s="230">
        <v>-1816</v>
      </c>
      <c r="BL50" s="229">
        <v>-0.69420000000000004</v>
      </c>
      <c r="BM50" s="228">
        <v>442</v>
      </c>
      <c r="BN50" s="230">
        <v>2139</v>
      </c>
      <c r="BO50" s="230">
        <v>-1698</v>
      </c>
      <c r="BP50" s="229">
        <v>-0.79349999999999998</v>
      </c>
      <c r="BQ50" s="230">
        <v>1736</v>
      </c>
      <c r="BR50" s="230">
        <v>5941</v>
      </c>
      <c r="BS50" s="230">
        <v>-4205</v>
      </c>
      <c r="BT50" s="229">
        <v>-0.7077</v>
      </c>
      <c r="BU50" s="230">
        <v>997506</v>
      </c>
      <c r="BV50" s="230">
        <v>1535173</v>
      </c>
      <c r="BW50" s="230">
        <v>-537667</v>
      </c>
      <c r="BX50" s="229">
        <v>-0.35020000000000001</v>
      </c>
      <c r="BY50" s="230">
        <v>1006</v>
      </c>
      <c r="BZ50" s="230">
        <v>1036</v>
      </c>
      <c r="CA50" s="228">
        <v>-29</v>
      </c>
      <c r="CB50" s="229">
        <v>-2.8400000000000002E-2</v>
      </c>
      <c r="CC50" s="228">
        <v>38</v>
      </c>
      <c r="CD50" s="228">
        <v>119</v>
      </c>
      <c r="CE50" s="228">
        <v>-82</v>
      </c>
      <c r="CF50" s="229">
        <v>-0.68589999999999995</v>
      </c>
      <c r="CG50" s="228">
        <v>988</v>
      </c>
      <c r="CH50" s="228">
        <v>902</v>
      </c>
      <c r="CI50" s="228">
        <v>87</v>
      </c>
      <c r="CJ50" s="229">
        <v>9.6000000000000002E-2</v>
      </c>
      <c r="CK50" s="228">
        <v>18</v>
      </c>
      <c r="CL50" s="228">
        <v>15</v>
      </c>
      <c r="CM50" s="228">
        <v>3</v>
      </c>
      <c r="CN50" s="229">
        <v>0.2374</v>
      </c>
      <c r="CO50" s="228">
        <v>298</v>
      </c>
      <c r="CP50" s="228">
        <v>441</v>
      </c>
      <c r="CQ50" s="228">
        <v>-143</v>
      </c>
      <c r="CR50" s="229">
        <v>-0.32440000000000002</v>
      </c>
      <c r="CS50" s="228">
        <v>196</v>
      </c>
      <c r="CT50" s="228">
        <v>239</v>
      </c>
      <c r="CU50" s="228">
        <v>-43</v>
      </c>
      <c r="CV50" s="229">
        <v>-0.18060000000000001</v>
      </c>
      <c r="CW50" s="230">
        <v>1500</v>
      </c>
      <c r="CX50" s="230">
        <v>1716</v>
      </c>
      <c r="CY50" s="228">
        <v>-216</v>
      </c>
      <c r="CZ50" s="229">
        <v>-0.12570000000000001</v>
      </c>
      <c r="DA50" s="228">
        <v>24.74</v>
      </c>
      <c r="DB50" s="228">
        <v>25.56</v>
      </c>
      <c r="DC50" s="228">
        <v>-0.82</v>
      </c>
      <c r="DD50" s="228">
        <v>-0.82</v>
      </c>
      <c r="DE50" s="228">
        <v>30.01</v>
      </c>
      <c r="DF50" s="228">
        <v>30.07</v>
      </c>
      <c r="DG50" s="228">
        <v>-5.27</v>
      </c>
      <c r="DH50" s="228">
        <v>-0.06</v>
      </c>
      <c r="DI50" s="228">
        <v>24.97</v>
      </c>
      <c r="DJ50" s="228">
        <v>25.63</v>
      </c>
      <c r="DK50" s="228">
        <v>-0.66</v>
      </c>
      <c r="DL50" s="228">
        <v>-0.66</v>
      </c>
      <c r="DM50" s="228">
        <v>24.32</v>
      </c>
      <c r="DN50" s="228">
        <v>25.42</v>
      </c>
      <c r="DO50" s="228">
        <v>-1.1000000000000001</v>
      </c>
      <c r="DP50" s="228">
        <v>-1.1000000000000001</v>
      </c>
      <c r="DQ50" s="228">
        <v>0.66</v>
      </c>
      <c r="DR50" s="228">
        <v>0.54</v>
      </c>
      <c r="DS50" s="228">
        <v>0.12</v>
      </c>
      <c r="DT50" s="229">
        <v>0.22220000000000001</v>
      </c>
      <c r="DU50" s="231">
        <v>2200</v>
      </c>
      <c r="DV50" s="231">
        <v>2000</v>
      </c>
      <c r="DW50" s="228">
        <v>0.55000000000000004</v>
      </c>
      <c r="DX50" s="228">
        <v>0.82</v>
      </c>
      <c r="DY50" s="228">
        <v>-0.27</v>
      </c>
      <c r="DZ50" s="229">
        <v>-0.32929999999999998</v>
      </c>
      <c r="EA50" s="229">
        <v>0.96399999999999997</v>
      </c>
      <c r="EB50" s="230">
        <v>4421275</v>
      </c>
      <c r="EC50" s="229">
        <v>-2.5999999999999999E-3</v>
      </c>
      <c r="ED50" s="229">
        <v>0.96399999999999997</v>
      </c>
      <c r="EE50" s="228">
        <v>-7.96</v>
      </c>
      <c r="EF50" s="229">
        <v>-3.8999999999999998E-3</v>
      </c>
      <c r="EG50" s="230">
        <v>476529</v>
      </c>
      <c r="EH50" s="230">
        <v>522125</v>
      </c>
      <c r="EI50" s="229">
        <v>-8.7300000000000003E-2</v>
      </c>
      <c r="EJ50" s="229">
        <v>0.47770000000000001</v>
      </c>
      <c r="EK50" s="228">
        <v>846.34</v>
      </c>
      <c r="EL50" s="228">
        <v>443.95</v>
      </c>
      <c r="EM50" s="228">
        <v>493.01</v>
      </c>
      <c r="EN50" s="228">
        <v>147.96</v>
      </c>
      <c r="EO50" s="231">
        <v>1783.3</v>
      </c>
      <c r="EP50" s="231">
        <v>6153.55</v>
      </c>
      <c r="EQ50" s="231">
        <v>-4370.25</v>
      </c>
      <c r="ER50" s="229">
        <v>-0.71020000000000005</v>
      </c>
      <c r="ES50" s="228">
        <v>318.44</v>
      </c>
      <c r="ET50" s="228">
        <v>194.91</v>
      </c>
      <c r="EU50" s="231">
        <v>1006.31</v>
      </c>
      <c r="EV50" s="231">
        <v>19054573</v>
      </c>
      <c r="EW50" s="231">
        <v>1519.65</v>
      </c>
      <c r="EX50" s="231">
        <v>1758.6</v>
      </c>
      <c r="EY50" s="228">
        <v>-238.95</v>
      </c>
      <c r="EZ50" s="229">
        <v>-0.13589999999999999</v>
      </c>
      <c r="FA50" s="229">
        <v>0.37990000000000002</v>
      </c>
      <c r="FB50" s="227" t="s">
        <v>567</v>
      </c>
      <c r="FC50">
        <f t="shared" si="0"/>
        <v>968</v>
      </c>
    </row>
    <row r="51" spans="1:159" ht="17.25" thickBot="1" x14ac:dyDescent="0.3">
      <c r="A51" s="226">
        <v>46168</v>
      </c>
      <c r="B51" s="227" t="s">
        <v>215</v>
      </c>
      <c r="C51" s="227" t="s">
        <v>202</v>
      </c>
      <c r="D51" s="228">
        <v>1250</v>
      </c>
      <c r="E51" s="228">
        <v>0</v>
      </c>
      <c r="F51" s="228">
        <v>479</v>
      </c>
      <c r="G51" s="228">
        <v>515.6</v>
      </c>
      <c r="H51" s="228">
        <v>-36.6</v>
      </c>
      <c r="I51" s="229">
        <v>-7.0999999999999994E-2</v>
      </c>
      <c r="J51" s="228">
        <v>475.9</v>
      </c>
      <c r="K51" s="228">
        <v>512.04999999999995</v>
      </c>
      <c r="L51" s="228">
        <v>-36.15</v>
      </c>
      <c r="M51" s="229">
        <v>-7.0599999999999996E-2</v>
      </c>
      <c r="N51" s="228">
        <v>477.05</v>
      </c>
      <c r="O51" s="228">
        <v>512.65</v>
      </c>
      <c r="P51" s="228">
        <v>-35.6</v>
      </c>
      <c r="Q51" s="229">
        <v>-6.9400000000000003E-2</v>
      </c>
      <c r="R51" s="228">
        <v>479</v>
      </c>
      <c r="S51" s="228">
        <v>515.6</v>
      </c>
      <c r="T51" s="228">
        <v>-36.6</v>
      </c>
      <c r="U51" s="229">
        <v>-7.0999999999999994E-2</v>
      </c>
      <c r="V51" s="228">
        <v>481.95</v>
      </c>
      <c r="W51" s="228">
        <v>519</v>
      </c>
      <c r="X51" s="228">
        <v>-37.049999999999997</v>
      </c>
      <c r="Y51" s="229">
        <v>-7.1400000000000005E-2</v>
      </c>
      <c r="Z51" s="228">
        <v>3.1</v>
      </c>
      <c r="AA51" s="228">
        <v>0.6</v>
      </c>
      <c r="AB51" s="228">
        <v>2.5</v>
      </c>
      <c r="AC51" s="229">
        <v>6.4999999999999997E-3</v>
      </c>
      <c r="AD51" s="228">
        <v>1.1499999999999999</v>
      </c>
      <c r="AE51" s="228">
        <v>0.6</v>
      </c>
      <c r="AF51" s="228">
        <v>0.55000000000000004</v>
      </c>
      <c r="AG51" s="229">
        <v>2.3999999999999998E-3</v>
      </c>
      <c r="AH51" s="228">
        <v>3.1</v>
      </c>
      <c r="AI51" s="228">
        <v>3.55</v>
      </c>
      <c r="AJ51" s="228">
        <v>-0.45</v>
      </c>
      <c r="AK51" s="229">
        <v>6.4999999999999997E-3</v>
      </c>
      <c r="AL51" s="228">
        <v>6.05</v>
      </c>
      <c r="AM51" s="228">
        <v>6.95</v>
      </c>
      <c r="AN51" s="228">
        <v>-0.9</v>
      </c>
      <c r="AO51" s="229">
        <v>1.2699999999999999E-2</v>
      </c>
      <c r="AP51" s="228">
        <v>480.04</v>
      </c>
      <c r="AQ51" s="228">
        <v>482.98</v>
      </c>
      <c r="AR51" s="228">
        <v>0</v>
      </c>
      <c r="AS51" s="228">
        <v>930</v>
      </c>
      <c r="AT51" s="228">
        <v>674</v>
      </c>
      <c r="AU51" s="228">
        <v>256</v>
      </c>
      <c r="AV51" s="229">
        <v>0.37990000000000002</v>
      </c>
      <c r="AW51" s="228">
        <v>273</v>
      </c>
      <c r="AX51" s="228">
        <v>329</v>
      </c>
      <c r="AY51" s="228">
        <v>-57</v>
      </c>
      <c r="AZ51" s="229">
        <v>-0.1716</v>
      </c>
      <c r="BA51" s="228">
        <v>634</v>
      </c>
      <c r="BB51" s="228">
        <v>340</v>
      </c>
      <c r="BC51" s="228">
        <v>294</v>
      </c>
      <c r="BD51" s="229">
        <v>0.86450000000000005</v>
      </c>
      <c r="BE51" s="228">
        <v>23</v>
      </c>
      <c r="BF51" s="228">
        <v>4</v>
      </c>
      <c r="BG51" s="228">
        <v>18</v>
      </c>
      <c r="BH51" s="229">
        <v>4.2778</v>
      </c>
      <c r="BI51" s="230">
        <v>1564</v>
      </c>
      <c r="BJ51" s="228">
        <v>466</v>
      </c>
      <c r="BK51" s="230">
        <v>1098</v>
      </c>
      <c r="BL51" s="229">
        <v>2.3578000000000001</v>
      </c>
      <c r="BM51" s="230">
        <v>1287</v>
      </c>
      <c r="BN51" s="228">
        <v>342</v>
      </c>
      <c r="BO51" s="228">
        <v>945</v>
      </c>
      <c r="BP51" s="229">
        <v>2.7593000000000001</v>
      </c>
      <c r="BQ51" s="230">
        <v>3782</v>
      </c>
      <c r="BR51" s="230">
        <v>1482</v>
      </c>
      <c r="BS51" s="230">
        <v>2299</v>
      </c>
      <c r="BT51" s="229">
        <v>1.5511999999999999</v>
      </c>
      <c r="BU51" s="230">
        <v>9735878</v>
      </c>
      <c r="BV51" s="230">
        <v>747442</v>
      </c>
      <c r="BW51" s="230">
        <v>8988436</v>
      </c>
      <c r="BX51" s="229">
        <v>12.025600000000001</v>
      </c>
      <c r="BY51" s="230">
        <v>1171</v>
      </c>
      <c r="BZ51" s="230">
        <v>1229</v>
      </c>
      <c r="CA51" s="228">
        <v>-58</v>
      </c>
      <c r="CB51" s="229">
        <v>-4.7500000000000001E-2</v>
      </c>
      <c r="CC51" s="228">
        <v>204</v>
      </c>
      <c r="CD51" s="228">
        <v>349</v>
      </c>
      <c r="CE51" s="228">
        <v>-145</v>
      </c>
      <c r="CF51" s="229">
        <v>-0.41449999999999998</v>
      </c>
      <c r="CG51" s="230">
        <v>1140</v>
      </c>
      <c r="CH51" s="228">
        <v>868</v>
      </c>
      <c r="CI51" s="228">
        <v>273</v>
      </c>
      <c r="CJ51" s="229">
        <v>0.31430000000000002</v>
      </c>
      <c r="CK51" s="228">
        <v>30</v>
      </c>
      <c r="CL51" s="228">
        <v>12</v>
      </c>
      <c r="CM51" s="228">
        <v>18</v>
      </c>
      <c r="CN51" s="229">
        <v>1.4540999999999999</v>
      </c>
      <c r="CO51" s="228">
        <v>381</v>
      </c>
      <c r="CP51" s="228">
        <v>239</v>
      </c>
      <c r="CQ51" s="228">
        <v>142</v>
      </c>
      <c r="CR51" s="229">
        <v>0.59350000000000003</v>
      </c>
      <c r="CS51" s="228">
        <v>280</v>
      </c>
      <c r="CT51" s="228">
        <v>217</v>
      </c>
      <c r="CU51" s="228">
        <v>63</v>
      </c>
      <c r="CV51" s="229">
        <v>0.28920000000000001</v>
      </c>
      <c r="CW51" s="230">
        <v>1832</v>
      </c>
      <c r="CX51" s="230">
        <v>1685</v>
      </c>
      <c r="CY51" s="228">
        <v>146</v>
      </c>
      <c r="CZ51" s="229">
        <v>8.6900000000000005E-2</v>
      </c>
      <c r="DA51" s="228">
        <v>27.69</v>
      </c>
      <c r="DB51" s="228">
        <v>30.87</v>
      </c>
      <c r="DC51" s="228">
        <v>-3.18</v>
      </c>
      <c r="DD51" s="228">
        <v>-3.18</v>
      </c>
      <c r="DE51" s="228">
        <v>35.31</v>
      </c>
      <c r="DF51" s="228">
        <v>33.96</v>
      </c>
      <c r="DG51" s="228">
        <v>-7.62</v>
      </c>
      <c r="DH51" s="228">
        <v>1.35</v>
      </c>
      <c r="DI51" s="228">
        <v>27.85</v>
      </c>
      <c r="DJ51" s="228">
        <v>31.09</v>
      </c>
      <c r="DK51" s="228">
        <v>-3.24</v>
      </c>
      <c r="DL51" s="228">
        <v>-3.24</v>
      </c>
      <c r="DM51" s="228">
        <v>27.49</v>
      </c>
      <c r="DN51" s="228">
        <v>30.55</v>
      </c>
      <c r="DO51" s="228">
        <v>-3.06</v>
      </c>
      <c r="DP51" s="228">
        <v>-3.06</v>
      </c>
      <c r="DQ51" s="228">
        <v>0.73</v>
      </c>
      <c r="DR51" s="228">
        <v>0.91</v>
      </c>
      <c r="DS51" s="228">
        <v>-0.18</v>
      </c>
      <c r="DT51" s="229">
        <v>-0.1978</v>
      </c>
      <c r="DU51" s="228">
        <v>500</v>
      </c>
      <c r="DV51" s="228">
        <v>500</v>
      </c>
      <c r="DW51" s="228">
        <v>0.82</v>
      </c>
      <c r="DX51" s="228">
        <v>0.74</v>
      </c>
      <c r="DY51" s="228">
        <v>0.08</v>
      </c>
      <c r="DZ51" s="229">
        <v>0.1081</v>
      </c>
      <c r="EA51" s="229">
        <v>0.85140000000000005</v>
      </c>
      <c r="EB51" s="230">
        <v>18370000</v>
      </c>
      <c r="EC51" s="229">
        <v>4.1000000000000003E-3</v>
      </c>
      <c r="ED51" s="229">
        <v>0.85140000000000005</v>
      </c>
      <c r="EE51" s="228">
        <v>2.94</v>
      </c>
      <c r="EF51" s="229">
        <v>6.1000000000000004E-3</v>
      </c>
      <c r="EG51" s="230">
        <v>3562412</v>
      </c>
      <c r="EH51" s="230">
        <v>302089</v>
      </c>
      <c r="EI51" s="229">
        <v>10.7926</v>
      </c>
      <c r="EJ51" s="229">
        <v>0.3659</v>
      </c>
      <c r="EK51" s="231">
        <v>1679.17</v>
      </c>
      <c r="EL51" s="231">
        <v>1332.7</v>
      </c>
      <c r="EM51" s="228">
        <v>936.29</v>
      </c>
      <c r="EN51" s="228">
        <v>73.62</v>
      </c>
      <c r="EO51" s="231">
        <v>3948.16</v>
      </c>
      <c r="EP51" s="231">
        <v>1607.88</v>
      </c>
      <c r="EQ51" s="231">
        <v>2340.27</v>
      </c>
      <c r="ER51" s="229">
        <v>1.4555</v>
      </c>
      <c r="ES51" s="228">
        <v>406.41</v>
      </c>
      <c r="ET51" s="228">
        <v>287.19</v>
      </c>
      <c r="EU51" s="231">
        <v>1170.8</v>
      </c>
      <c r="EV51" s="231">
        <v>51639257</v>
      </c>
      <c r="EW51" s="231">
        <v>1864.4</v>
      </c>
      <c r="EX51" s="231">
        <v>1821.47</v>
      </c>
      <c r="EY51" s="228">
        <v>42.93</v>
      </c>
      <c r="EZ51" s="229">
        <v>2.3599999999999999E-2</v>
      </c>
      <c r="FA51" s="229">
        <v>0.74050000000000005</v>
      </c>
      <c r="FB51" s="227" t="s">
        <v>567</v>
      </c>
      <c r="FC51">
        <f t="shared" si="0"/>
        <v>967</v>
      </c>
    </row>
    <row r="52" spans="1:159" ht="17.25" thickBot="1" x14ac:dyDescent="0.3">
      <c r="A52" s="226">
        <v>46168</v>
      </c>
      <c r="B52" s="227" t="s">
        <v>184</v>
      </c>
      <c r="C52" s="227" t="s">
        <v>523</v>
      </c>
      <c r="D52" s="228">
        <v>1800</v>
      </c>
      <c r="E52" s="228">
        <v>0</v>
      </c>
      <c r="F52" s="228">
        <v>290.55</v>
      </c>
      <c r="G52" s="228">
        <v>295.60000000000002</v>
      </c>
      <c r="H52" s="228">
        <v>-5.05</v>
      </c>
      <c r="I52" s="229">
        <v>-1.7100000000000001E-2</v>
      </c>
      <c r="J52" s="228">
        <v>289.05</v>
      </c>
      <c r="K52" s="228">
        <v>293.5</v>
      </c>
      <c r="L52" s="228">
        <v>-4.45</v>
      </c>
      <c r="M52" s="229">
        <v>-1.52E-2</v>
      </c>
      <c r="N52" s="228">
        <v>288.45</v>
      </c>
      <c r="O52" s="228">
        <v>293.75</v>
      </c>
      <c r="P52" s="228">
        <v>-5.3</v>
      </c>
      <c r="Q52" s="229">
        <v>-1.7999999999999999E-2</v>
      </c>
      <c r="R52" s="228">
        <v>290.55</v>
      </c>
      <c r="S52" s="228">
        <v>295.60000000000002</v>
      </c>
      <c r="T52" s="228">
        <v>-5.05</v>
      </c>
      <c r="U52" s="229">
        <v>-1.7100000000000001E-2</v>
      </c>
      <c r="V52" s="228">
        <v>290.05</v>
      </c>
      <c r="W52" s="228">
        <v>294.8</v>
      </c>
      <c r="X52" s="228">
        <v>-4.75</v>
      </c>
      <c r="Y52" s="229">
        <v>-1.61E-2</v>
      </c>
      <c r="Z52" s="228">
        <v>1.5</v>
      </c>
      <c r="AA52" s="228">
        <v>0.25</v>
      </c>
      <c r="AB52" s="228">
        <v>1.25</v>
      </c>
      <c r="AC52" s="229">
        <v>5.1999999999999998E-3</v>
      </c>
      <c r="AD52" s="228">
        <v>-0.6</v>
      </c>
      <c r="AE52" s="228">
        <v>0.25</v>
      </c>
      <c r="AF52" s="228">
        <v>-0.85</v>
      </c>
      <c r="AG52" s="229">
        <v>-2.0999999999999999E-3</v>
      </c>
      <c r="AH52" s="228">
        <v>1.5</v>
      </c>
      <c r="AI52" s="228">
        <v>2.1</v>
      </c>
      <c r="AJ52" s="228">
        <v>-0.6</v>
      </c>
      <c r="AK52" s="229">
        <v>5.1999999999999998E-3</v>
      </c>
      <c r="AL52" s="228">
        <v>1</v>
      </c>
      <c r="AM52" s="228">
        <v>1.3</v>
      </c>
      <c r="AN52" s="228">
        <v>-0.3</v>
      </c>
      <c r="AO52" s="229">
        <v>3.5000000000000001E-3</v>
      </c>
      <c r="AP52" s="228">
        <v>289.73</v>
      </c>
      <c r="AQ52" s="228">
        <v>291.86</v>
      </c>
      <c r="AR52" s="228">
        <v>0</v>
      </c>
      <c r="AS52" s="228">
        <v>541</v>
      </c>
      <c r="AT52" s="228">
        <v>834</v>
      </c>
      <c r="AU52" s="228">
        <v>-294</v>
      </c>
      <c r="AV52" s="229">
        <v>-0.35189999999999999</v>
      </c>
      <c r="AW52" s="228">
        <v>234</v>
      </c>
      <c r="AX52" s="228">
        <v>416</v>
      </c>
      <c r="AY52" s="228">
        <v>-182</v>
      </c>
      <c r="AZ52" s="229">
        <v>-0.43719999999999998</v>
      </c>
      <c r="BA52" s="228">
        <v>302</v>
      </c>
      <c r="BB52" s="228">
        <v>410</v>
      </c>
      <c r="BC52" s="228">
        <v>-108</v>
      </c>
      <c r="BD52" s="229">
        <v>-0.26419999999999999</v>
      </c>
      <c r="BE52" s="228">
        <v>5</v>
      </c>
      <c r="BF52" s="228">
        <v>8</v>
      </c>
      <c r="BG52" s="228">
        <v>-3</v>
      </c>
      <c r="BH52" s="229">
        <v>-0.41289999999999999</v>
      </c>
      <c r="BI52" s="228">
        <v>321</v>
      </c>
      <c r="BJ52" s="228">
        <v>420</v>
      </c>
      <c r="BK52" s="228">
        <v>-99</v>
      </c>
      <c r="BL52" s="229">
        <v>-0.23499999999999999</v>
      </c>
      <c r="BM52" s="228">
        <v>154</v>
      </c>
      <c r="BN52" s="228">
        <v>186</v>
      </c>
      <c r="BO52" s="228">
        <v>-32</v>
      </c>
      <c r="BP52" s="229">
        <v>-0.1726</v>
      </c>
      <c r="BQ52" s="230">
        <v>1016</v>
      </c>
      <c r="BR52" s="230">
        <v>1441</v>
      </c>
      <c r="BS52" s="228">
        <v>-424</v>
      </c>
      <c r="BT52" s="229">
        <v>-0.29459999999999997</v>
      </c>
      <c r="BU52" s="230">
        <v>1609429</v>
      </c>
      <c r="BV52" s="230">
        <v>1684660</v>
      </c>
      <c r="BW52" s="230">
        <v>-75231</v>
      </c>
      <c r="BX52" s="229">
        <v>-4.4699999999999997E-2</v>
      </c>
      <c r="BY52" s="230">
        <v>1564</v>
      </c>
      <c r="BZ52" s="230">
        <v>1623</v>
      </c>
      <c r="CA52" s="228">
        <v>-59</v>
      </c>
      <c r="CB52" s="229">
        <v>-3.6400000000000002E-2</v>
      </c>
      <c r="CC52" s="228">
        <v>46</v>
      </c>
      <c r="CD52" s="228">
        <v>180</v>
      </c>
      <c r="CE52" s="228">
        <v>-134</v>
      </c>
      <c r="CF52" s="229">
        <v>-0.74390000000000001</v>
      </c>
      <c r="CG52" s="230">
        <v>1539</v>
      </c>
      <c r="CH52" s="230">
        <v>1422</v>
      </c>
      <c r="CI52" s="228">
        <v>117</v>
      </c>
      <c r="CJ52" s="229">
        <v>8.2199999999999995E-2</v>
      </c>
      <c r="CK52" s="228">
        <v>25</v>
      </c>
      <c r="CL52" s="228">
        <v>21</v>
      </c>
      <c r="CM52" s="228">
        <v>4</v>
      </c>
      <c r="CN52" s="229">
        <v>0.1893</v>
      </c>
      <c r="CO52" s="228">
        <v>150</v>
      </c>
      <c r="CP52" s="228">
        <v>551</v>
      </c>
      <c r="CQ52" s="228">
        <v>-401</v>
      </c>
      <c r="CR52" s="229">
        <v>-0.72740000000000005</v>
      </c>
      <c r="CS52" s="228">
        <v>60</v>
      </c>
      <c r="CT52" s="228">
        <v>315</v>
      </c>
      <c r="CU52" s="228">
        <v>-255</v>
      </c>
      <c r="CV52" s="229">
        <v>-0.80959999999999999</v>
      </c>
      <c r="CW52" s="230">
        <v>1774</v>
      </c>
      <c r="CX52" s="230">
        <v>2489</v>
      </c>
      <c r="CY52" s="228">
        <v>-715</v>
      </c>
      <c r="CZ52" s="229">
        <v>-0.28720000000000001</v>
      </c>
      <c r="DA52" s="228">
        <v>31.63</v>
      </c>
      <c r="DB52" s="228">
        <v>33.06</v>
      </c>
      <c r="DC52" s="228">
        <v>-1.43</v>
      </c>
      <c r="DD52" s="228">
        <v>-1.43</v>
      </c>
      <c r="DE52" s="228">
        <v>36</v>
      </c>
      <c r="DF52" s="228">
        <v>36.01</v>
      </c>
      <c r="DG52" s="228">
        <v>-4.37</v>
      </c>
      <c r="DH52" s="228">
        <v>-0.01</v>
      </c>
      <c r="DI52" s="228">
        <v>32.020000000000003</v>
      </c>
      <c r="DJ52" s="228">
        <v>32.81</v>
      </c>
      <c r="DK52" s="228">
        <v>-0.79</v>
      </c>
      <c r="DL52" s="228">
        <v>-0.79</v>
      </c>
      <c r="DM52" s="228">
        <v>30.72</v>
      </c>
      <c r="DN52" s="228">
        <v>33.590000000000003</v>
      </c>
      <c r="DO52" s="228">
        <v>-2.87</v>
      </c>
      <c r="DP52" s="228">
        <v>-2.87</v>
      </c>
      <c r="DQ52" s="228">
        <v>0.4</v>
      </c>
      <c r="DR52" s="228">
        <v>0.56999999999999995</v>
      </c>
      <c r="DS52" s="228">
        <v>-0.17</v>
      </c>
      <c r="DT52" s="229">
        <v>-0.29820000000000002</v>
      </c>
      <c r="DU52" s="228">
        <v>320</v>
      </c>
      <c r="DV52" s="228">
        <v>280</v>
      </c>
      <c r="DW52" s="228">
        <v>0.48</v>
      </c>
      <c r="DX52" s="228">
        <v>0.44</v>
      </c>
      <c r="DY52" s="228">
        <v>0.04</v>
      </c>
      <c r="DZ52" s="229">
        <v>9.0899999999999995E-2</v>
      </c>
      <c r="EA52" s="229">
        <v>0.97140000000000004</v>
      </c>
      <c r="EB52" s="230">
        <v>49675900</v>
      </c>
      <c r="EC52" s="229">
        <v>7.3000000000000001E-3</v>
      </c>
      <c r="ED52" s="229">
        <v>0.97140000000000004</v>
      </c>
      <c r="EE52" s="228">
        <v>2.13</v>
      </c>
      <c r="EF52" s="229">
        <v>7.4000000000000003E-3</v>
      </c>
      <c r="EG52" s="230">
        <v>460672</v>
      </c>
      <c r="EH52" s="230">
        <v>620855</v>
      </c>
      <c r="EI52" s="229">
        <v>-0.25800000000000001</v>
      </c>
      <c r="EJ52" s="229">
        <v>0.28620000000000001</v>
      </c>
      <c r="EK52" s="228">
        <v>334.66</v>
      </c>
      <c r="EL52" s="228">
        <v>155.09</v>
      </c>
      <c r="EM52" s="228">
        <v>542.4</v>
      </c>
      <c r="EN52" s="228">
        <v>134.65</v>
      </c>
      <c r="EO52" s="231">
        <v>1032.1600000000001</v>
      </c>
      <c r="EP52" s="231">
        <v>1481.1</v>
      </c>
      <c r="EQ52" s="228">
        <v>-448.95</v>
      </c>
      <c r="ER52" s="229">
        <v>-0.30309999999999998</v>
      </c>
      <c r="ES52" s="228">
        <v>161.29</v>
      </c>
      <c r="ET52" s="228">
        <v>57.65</v>
      </c>
      <c r="EU52" s="231">
        <v>1564.18</v>
      </c>
      <c r="EV52" s="231">
        <v>96587231</v>
      </c>
      <c r="EW52" s="231">
        <v>1783.12</v>
      </c>
      <c r="EX52" s="231">
        <v>2524.92</v>
      </c>
      <c r="EY52" s="228">
        <v>-741.8</v>
      </c>
      <c r="EZ52" s="229">
        <v>-0.29380000000000001</v>
      </c>
      <c r="FA52" s="229">
        <v>0.63229999999999997</v>
      </c>
      <c r="FB52" s="227" t="s">
        <v>567</v>
      </c>
      <c r="FC52">
        <f t="shared" si="0"/>
        <v>1518</v>
      </c>
    </row>
    <row r="53" spans="1:159" ht="17.25" thickBot="1" x14ac:dyDescent="0.3">
      <c r="A53" s="226">
        <v>46168</v>
      </c>
      <c r="B53" s="227" t="s">
        <v>184</v>
      </c>
      <c r="C53" s="227" t="s">
        <v>203</v>
      </c>
      <c r="D53" s="228">
        <v>200</v>
      </c>
      <c r="E53" s="228">
        <v>0</v>
      </c>
      <c r="F53" s="231">
        <v>5462</v>
      </c>
      <c r="G53" s="231">
        <v>5413.5</v>
      </c>
      <c r="H53" s="228">
        <v>48.5</v>
      </c>
      <c r="I53" s="229">
        <v>8.9999999999999993E-3</v>
      </c>
      <c r="J53" s="231">
        <v>5418.5</v>
      </c>
      <c r="K53" s="231">
        <v>5382</v>
      </c>
      <c r="L53" s="228">
        <v>36.5</v>
      </c>
      <c r="M53" s="229">
        <v>6.7999999999999996E-3</v>
      </c>
      <c r="N53" s="231">
        <v>5427</v>
      </c>
      <c r="O53" s="231">
        <v>5383</v>
      </c>
      <c r="P53" s="228">
        <v>44</v>
      </c>
      <c r="Q53" s="229">
        <v>8.2000000000000007E-3</v>
      </c>
      <c r="R53" s="231">
        <v>5462</v>
      </c>
      <c r="S53" s="231">
        <v>5413.5</v>
      </c>
      <c r="T53" s="228">
        <v>48.5</v>
      </c>
      <c r="U53" s="229">
        <v>8.9999999999999993E-3</v>
      </c>
      <c r="V53" s="231">
        <v>5449</v>
      </c>
      <c r="W53" s="231">
        <v>5411.5</v>
      </c>
      <c r="X53" s="228">
        <v>37.5</v>
      </c>
      <c r="Y53" s="229">
        <v>6.8999999999999999E-3</v>
      </c>
      <c r="Z53" s="228">
        <v>43.5</v>
      </c>
      <c r="AA53" s="228">
        <v>1</v>
      </c>
      <c r="AB53" s="228">
        <v>42.5</v>
      </c>
      <c r="AC53" s="229">
        <v>8.0000000000000002E-3</v>
      </c>
      <c r="AD53" s="228">
        <v>8.5</v>
      </c>
      <c r="AE53" s="228">
        <v>1</v>
      </c>
      <c r="AF53" s="228">
        <v>7.5</v>
      </c>
      <c r="AG53" s="229">
        <v>1.6000000000000001E-3</v>
      </c>
      <c r="AH53" s="228">
        <v>43.5</v>
      </c>
      <c r="AI53" s="228">
        <v>31.5</v>
      </c>
      <c r="AJ53" s="228">
        <v>12</v>
      </c>
      <c r="AK53" s="229">
        <v>8.0000000000000002E-3</v>
      </c>
      <c r="AL53" s="228">
        <v>30.5</v>
      </c>
      <c r="AM53" s="228">
        <v>29.5</v>
      </c>
      <c r="AN53" s="228">
        <v>1</v>
      </c>
      <c r="AO53" s="229">
        <v>5.5999999999999999E-3</v>
      </c>
      <c r="AP53" s="231">
        <v>5406.1</v>
      </c>
      <c r="AQ53" s="231">
        <v>5443.56</v>
      </c>
      <c r="AR53" s="228">
        <v>0</v>
      </c>
      <c r="AS53" s="228">
        <v>698</v>
      </c>
      <c r="AT53" s="230">
        <v>1211</v>
      </c>
      <c r="AU53" s="228">
        <v>-512</v>
      </c>
      <c r="AV53" s="229">
        <v>-0.42299999999999999</v>
      </c>
      <c r="AW53" s="228">
        <v>293</v>
      </c>
      <c r="AX53" s="228">
        <v>600</v>
      </c>
      <c r="AY53" s="228">
        <v>-307</v>
      </c>
      <c r="AZ53" s="229">
        <v>-0.51160000000000005</v>
      </c>
      <c r="BA53" s="228">
        <v>403</v>
      </c>
      <c r="BB53" s="228">
        <v>608</v>
      </c>
      <c r="BC53" s="228">
        <v>-205</v>
      </c>
      <c r="BD53" s="229">
        <v>-0.3367</v>
      </c>
      <c r="BE53" s="228">
        <v>2</v>
      </c>
      <c r="BF53" s="228">
        <v>3</v>
      </c>
      <c r="BG53" s="228">
        <v>-1</v>
      </c>
      <c r="BH53" s="229">
        <v>-0.21429999999999999</v>
      </c>
      <c r="BI53" s="228">
        <v>750</v>
      </c>
      <c r="BJ53" s="228">
        <v>800</v>
      </c>
      <c r="BK53" s="228">
        <v>-50</v>
      </c>
      <c r="BL53" s="229">
        <v>-6.2300000000000001E-2</v>
      </c>
      <c r="BM53" s="228">
        <v>497</v>
      </c>
      <c r="BN53" s="228">
        <v>462</v>
      </c>
      <c r="BO53" s="228">
        <v>35</v>
      </c>
      <c r="BP53" s="229">
        <v>7.5399999999999995E-2</v>
      </c>
      <c r="BQ53" s="230">
        <v>1946</v>
      </c>
      <c r="BR53" s="230">
        <v>2473</v>
      </c>
      <c r="BS53" s="228">
        <v>-527</v>
      </c>
      <c r="BT53" s="229">
        <v>-0.2132</v>
      </c>
      <c r="BU53" s="230">
        <v>311746</v>
      </c>
      <c r="BV53" s="230">
        <v>295390</v>
      </c>
      <c r="BW53" s="230">
        <v>16356</v>
      </c>
      <c r="BX53" s="229">
        <v>5.5399999999999998E-2</v>
      </c>
      <c r="BY53" s="230">
        <v>1833</v>
      </c>
      <c r="BZ53" s="230">
        <v>1997</v>
      </c>
      <c r="CA53" s="228">
        <v>-164</v>
      </c>
      <c r="CB53" s="229">
        <v>-8.2199999999999995E-2</v>
      </c>
      <c r="CC53" s="228">
        <v>164</v>
      </c>
      <c r="CD53" s="228">
        <v>351</v>
      </c>
      <c r="CE53" s="228">
        <v>-187</v>
      </c>
      <c r="CF53" s="229">
        <v>-0.53359999999999996</v>
      </c>
      <c r="CG53" s="230">
        <v>1827</v>
      </c>
      <c r="CH53" s="230">
        <v>1641</v>
      </c>
      <c r="CI53" s="228">
        <v>187</v>
      </c>
      <c r="CJ53" s="229">
        <v>0.1137</v>
      </c>
      <c r="CK53" s="228">
        <v>6</v>
      </c>
      <c r="CL53" s="228">
        <v>5</v>
      </c>
      <c r="CM53" s="228">
        <v>1</v>
      </c>
      <c r="CN53" s="229">
        <v>0.10639999999999999</v>
      </c>
      <c r="CO53" s="228">
        <v>190</v>
      </c>
      <c r="CP53" s="228">
        <v>464</v>
      </c>
      <c r="CQ53" s="228">
        <v>-275</v>
      </c>
      <c r="CR53" s="229">
        <v>-0.59130000000000005</v>
      </c>
      <c r="CS53" s="228">
        <v>161</v>
      </c>
      <c r="CT53" s="228">
        <v>360</v>
      </c>
      <c r="CU53" s="228">
        <v>-199</v>
      </c>
      <c r="CV53" s="229">
        <v>-0.5534</v>
      </c>
      <c r="CW53" s="230">
        <v>2184</v>
      </c>
      <c r="CX53" s="230">
        <v>2822</v>
      </c>
      <c r="CY53" s="228">
        <v>-638</v>
      </c>
      <c r="CZ53" s="229">
        <v>-0.2261</v>
      </c>
      <c r="DA53" s="228">
        <v>32.58</v>
      </c>
      <c r="DB53" s="228">
        <v>33.229999999999997</v>
      </c>
      <c r="DC53" s="228">
        <v>-0.65</v>
      </c>
      <c r="DD53" s="228">
        <v>-0.65</v>
      </c>
      <c r="DE53" s="228">
        <v>35.1</v>
      </c>
      <c r="DF53" s="228">
        <v>35.18</v>
      </c>
      <c r="DG53" s="228">
        <v>-2.52</v>
      </c>
      <c r="DH53" s="228">
        <v>-0.08</v>
      </c>
      <c r="DI53" s="228">
        <v>33.03</v>
      </c>
      <c r="DJ53" s="228">
        <v>33.06</v>
      </c>
      <c r="DK53" s="228">
        <v>-0.03</v>
      </c>
      <c r="DL53" s="228">
        <v>-0.03</v>
      </c>
      <c r="DM53" s="228">
        <v>31.87</v>
      </c>
      <c r="DN53" s="228">
        <v>33.450000000000003</v>
      </c>
      <c r="DO53" s="228">
        <v>-1.58</v>
      </c>
      <c r="DP53" s="228">
        <v>-1.58</v>
      </c>
      <c r="DQ53" s="228">
        <v>0.85</v>
      </c>
      <c r="DR53" s="228">
        <v>0.78</v>
      </c>
      <c r="DS53" s="228">
        <v>7.0000000000000007E-2</v>
      </c>
      <c r="DT53" s="229">
        <v>8.9700000000000002E-2</v>
      </c>
      <c r="DU53" s="231">
        <v>6000</v>
      </c>
      <c r="DV53" s="231">
        <v>5200</v>
      </c>
      <c r="DW53" s="228">
        <v>0.66</v>
      </c>
      <c r="DX53" s="228">
        <v>0.57999999999999996</v>
      </c>
      <c r="DY53" s="228">
        <v>0.08</v>
      </c>
      <c r="DZ53" s="229">
        <v>0.13789999999999999</v>
      </c>
      <c r="EA53" s="229">
        <v>0.91790000000000005</v>
      </c>
      <c r="EB53" s="230">
        <v>3013400</v>
      </c>
      <c r="EC53" s="229">
        <v>6.4000000000000003E-3</v>
      </c>
      <c r="ED53" s="229">
        <v>0.91790000000000005</v>
      </c>
      <c r="EE53" s="228">
        <v>37.46</v>
      </c>
      <c r="EF53" s="229">
        <v>6.8999999999999999E-3</v>
      </c>
      <c r="EG53" s="230">
        <v>144223</v>
      </c>
      <c r="EH53" s="230">
        <v>166602</v>
      </c>
      <c r="EI53" s="229">
        <v>-0.1343</v>
      </c>
      <c r="EJ53" s="229">
        <v>0.46260000000000001</v>
      </c>
      <c r="EK53" s="228">
        <v>774.95</v>
      </c>
      <c r="EL53" s="228">
        <v>480.41</v>
      </c>
      <c r="EM53" s="228">
        <v>694.11</v>
      </c>
      <c r="EN53" s="228">
        <v>81.64</v>
      </c>
      <c r="EO53" s="231">
        <v>1949.47</v>
      </c>
      <c r="EP53" s="231">
        <v>2449.98</v>
      </c>
      <c r="EQ53" s="228">
        <v>-500.5</v>
      </c>
      <c r="ER53" s="229">
        <v>-0.20430000000000001</v>
      </c>
      <c r="ES53" s="228">
        <v>197.48</v>
      </c>
      <c r="ET53" s="228">
        <v>150.36000000000001</v>
      </c>
      <c r="EU53" s="231">
        <v>1833.03</v>
      </c>
      <c r="EV53" s="231">
        <v>20374200</v>
      </c>
      <c r="EW53" s="231">
        <v>2180.87</v>
      </c>
      <c r="EX53" s="231">
        <v>2785.71</v>
      </c>
      <c r="EY53" s="228">
        <v>-604.84</v>
      </c>
      <c r="EZ53" s="229">
        <v>-0.21709999999999999</v>
      </c>
      <c r="FA53" s="229">
        <v>0.19620000000000001</v>
      </c>
      <c r="FB53" s="227" t="s">
        <v>691</v>
      </c>
      <c r="FC53">
        <f t="shared" si="0"/>
        <v>1669</v>
      </c>
    </row>
    <row r="54" spans="1:159" ht="17.25" thickBot="1" x14ac:dyDescent="0.3">
      <c r="A54" s="226">
        <v>46168</v>
      </c>
      <c r="B54" s="227" t="s">
        <v>168</v>
      </c>
      <c r="C54" s="227" t="s">
        <v>204</v>
      </c>
      <c r="D54" s="228">
        <v>1250</v>
      </c>
      <c r="E54" s="228">
        <v>0</v>
      </c>
      <c r="F54" s="228">
        <v>450.55</v>
      </c>
      <c r="G54" s="228">
        <v>450</v>
      </c>
      <c r="H54" s="228">
        <v>0.55000000000000004</v>
      </c>
      <c r="I54" s="229">
        <v>1.1999999999999999E-3</v>
      </c>
      <c r="J54" s="228">
        <v>447.6</v>
      </c>
      <c r="K54" s="228">
        <v>447.2</v>
      </c>
      <c r="L54" s="228">
        <v>0.4</v>
      </c>
      <c r="M54" s="229">
        <v>8.9999999999999998E-4</v>
      </c>
      <c r="N54" s="228">
        <v>446.95</v>
      </c>
      <c r="O54" s="228">
        <v>447.1</v>
      </c>
      <c r="P54" s="228">
        <v>-0.15</v>
      </c>
      <c r="Q54" s="229">
        <v>-2.9999999999999997E-4</v>
      </c>
      <c r="R54" s="228">
        <v>450.55</v>
      </c>
      <c r="S54" s="228">
        <v>450</v>
      </c>
      <c r="T54" s="228">
        <v>0.55000000000000004</v>
      </c>
      <c r="U54" s="229">
        <v>1.1999999999999999E-3</v>
      </c>
      <c r="V54" s="228">
        <v>448.8</v>
      </c>
      <c r="W54" s="228">
        <v>447.5</v>
      </c>
      <c r="X54" s="228">
        <v>1.3</v>
      </c>
      <c r="Y54" s="229">
        <v>2.8999999999999998E-3</v>
      </c>
      <c r="Z54" s="228">
        <v>2.95</v>
      </c>
      <c r="AA54" s="228">
        <v>-0.1</v>
      </c>
      <c r="AB54" s="228">
        <v>3.05</v>
      </c>
      <c r="AC54" s="229">
        <v>6.6E-3</v>
      </c>
      <c r="AD54" s="228">
        <v>-0.65</v>
      </c>
      <c r="AE54" s="228">
        <v>-0.1</v>
      </c>
      <c r="AF54" s="228">
        <v>-0.55000000000000004</v>
      </c>
      <c r="AG54" s="229">
        <v>-1.5E-3</v>
      </c>
      <c r="AH54" s="228">
        <v>2.95</v>
      </c>
      <c r="AI54" s="228">
        <v>2.8</v>
      </c>
      <c r="AJ54" s="228">
        <v>0.15</v>
      </c>
      <c r="AK54" s="229">
        <v>6.6E-3</v>
      </c>
      <c r="AL54" s="228">
        <v>1.2</v>
      </c>
      <c r="AM54" s="228">
        <v>0.3</v>
      </c>
      <c r="AN54" s="228">
        <v>0.9</v>
      </c>
      <c r="AO54" s="229">
        <v>2.7000000000000001E-3</v>
      </c>
      <c r="AP54" s="228">
        <v>446.43</v>
      </c>
      <c r="AQ54" s="228">
        <v>449.66</v>
      </c>
      <c r="AR54" s="228">
        <v>0</v>
      </c>
      <c r="AS54" s="228">
        <v>328</v>
      </c>
      <c r="AT54" s="228">
        <v>675</v>
      </c>
      <c r="AU54" s="228">
        <v>-347</v>
      </c>
      <c r="AV54" s="229">
        <v>-0.51359999999999995</v>
      </c>
      <c r="AW54" s="228">
        <v>130</v>
      </c>
      <c r="AX54" s="228">
        <v>300</v>
      </c>
      <c r="AY54" s="228">
        <v>-170</v>
      </c>
      <c r="AZ54" s="229">
        <v>-0.56710000000000005</v>
      </c>
      <c r="BA54" s="228">
        <v>188</v>
      </c>
      <c r="BB54" s="228">
        <v>366</v>
      </c>
      <c r="BC54" s="228">
        <v>-177</v>
      </c>
      <c r="BD54" s="229">
        <v>-0.48480000000000001</v>
      </c>
      <c r="BE54" s="228">
        <v>10</v>
      </c>
      <c r="BF54" s="228">
        <v>9</v>
      </c>
      <c r="BG54" s="228">
        <v>1</v>
      </c>
      <c r="BH54" s="229">
        <v>0.1154</v>
      </c>
      <c r="BI54" s="228">
        <v>208</v>
      </c>
      <c r="BJ54" s="228">
        <v>360</v>
      </c>
      <c r="BK54" s="228">
        <v>-152</v>
      </c>
      <c r="BL54" s="229">
        <v>-0.42330000000000001</v>
      </c>
      <c r="BM54" s="228">
        <v>165</v>
      </c>
      <c r="BN54" s="228">
        <v>163</v>
      </c>
      <c r="BO54" s="228">
        <v>2</v>
      </c>
      <c r="BP54" s="229">
        <v>1.2800000000000001E-2</v>
      </c>
      <c r="BQ54" s="228">
        <v>700</v>
      </c>
      <c r="BR54" s="230">
        <v>1197</v>
      </c>
      <c r="BS54" s="228">
        <v>-497</v>
      </c>
      <c r="BT54" s="229">
        <v>-0.41499999999999998</v>
      </c>
      <c r="BU54" s="230">
        <v>1215519</v>
      </c>
      <c r="BV54" s="230">
        <v>944564</v>
      </c>
      <c r="BW54" s="230">
        <v>270955</v>
      </c>
      <c r="BX54" s="229">
        <v>0.28689999999999999</v>
      </c>
      <c r="BY54" s="230">
        <v>1016</v>
      </c>
      <c r="BZ54" s="230">
        <v>1044</v>
      </c>
      <c r="CA54" s="228">
        <v>-29</v>
      </c>
      <c r="CB54" s="229">
        <v>-2.7300000000000001E-2</v>
      </c>
      <c r="CC54" s="228">
        <v>36</v>
      </c>
      <c r="CD54" s="228">
        <v>115</v>
      </c>
      <c r="CE54" s="228">
        <v>-79</v>
      </c>
      <c r="CF54" s="229">
        <v>-0.68820000000000003</v>
      </c>
      <c r="CG54" s="228">
        <v>920</v>
      </c>
      <c r="CH54" s="228">
        <v>840</v>
      </c>
      <c r="CI54" s="228">
        <v>80</v>
      </c>
      <c r="CJ54" s="229">
        <v>9.4600000000000004E-2</v>
      </c>
      <c r="CK54" s="228">
        <v>96</v>
      </c>
      <c r="CL54" s="228">
        <v>89</v>
      </c>
      <c r="CM54" s="228">
        <v>7</v>
      </c>
      <c r="CN54" s="229">
        <v>8.0600000000000005E-2</v>
      </c>
      <c r="CO54" s="228">
        <v>152</v>
      </c>
      <c r="CP54" s="228">
        <v>550</v>
      </c>
      <c r="CQ54" s="228">
        <v>-398</v>
      </c>
      <c r="CR54" s="229">
        <v>-0.72319999999999995</v>
      </c>
      <c r="CS54" s="228">
        <v>113</v>
      </c>
      <c r="CT54" s="228">
        <v>372</v>
      </c>
      <c r="CU54" s="228">
        <v>-259</v>
      </c>
      <c r="CV54" s="229">
        <v>-0.69630000000000003</v>
      </c>
      <c r="CW54" s="230">
        <v>1281</v>
      </c>
      <c r="CX54" s="230">
        <v>1967</v>
      </c>
      <c r="CY54" s="228">
        <v>-686</v>
      </c>
      <c r="CZ54" s="229">
        <v>-0.34870000000000001</v>
      </c>
      <c r="DA54" s="228">
        <v>23.52</v>
      </c>
      <c r="DB54" s="228">
        <v>24.57</v>
      </c>
      <c r="DC54" s="228">
        <v>-1.05</v>
      </c>
      <c r="DD54" s="228">
        <v>-1.05</v>
      </c>
      <c r="DE54" s="228">
        <v>27.88</v>
      </c>
      <c r="DF54" s="228">
        <v>27.95</v>
      </c>
      <c r="DG54" s="228">
        <v>-4.3600000000000003</v>
      </c>
      <c r="DH54" s="228">
        <v>-7.0000000000000007E-2</v>
      </c>
      <c r="DI54" s="228">
        <v>23.88</v>
      </c>
      <c r="DJ54" s="228">
        <v>24.95</v>
      </c>
      <c r="DK54" s="228">
        <v>-1.07</v>
      </c>
      <c r="DL54" s="228">
        <v>-1.07</v>
      </c>
      <c r="DM54" s="228">
        <v>23.02</v>
      </c>
      <c r="DN54" s="228">
        <v>23.83</v>
      </c>
      <c r="DO54" s="228">
        <v>-0.81</v>
      </c>
      <c r="DP54" s="228">
        <v>-0.81</v>
      </c>
      <c r="DQ54" s="228">
        <v>0.74</v>
      </c>
      <c r="DR54" s="228">
        <v>0.68</v>
      </c>
      <c r="DS54" s="228">
        <v>0.06</v>
      </c>
      <c r="DT54" s="229">
        <v>8.8200000000000001E-2</v>
      </c>
      <c r="DU54" s="228">
        <v>500</v>
      </c>
      <c r="DV54" s="228">
        <v>435</v>
      </c>
      <c r="DW54" s="228">
        <v>0.79</v>
      </c>
      <c r="DX54" s="228">
        <v>0.45</v>
      </c>
      <c r="DY54" s="228">
        <v>0.34</v>
      </c>
      <c r="DZ54" s="229">
        <v>0.75560000000000005</v>
      </c>
      <c r="EA54" s="229">
        <v>0.96579999999999999</v>
      </c>
      <c r="EB54" s="230">
        <v>20618750</v>
      </c>
      <c r="EC54" s="229">
        <v>8.0999999999999996E-3</v>
      </c>
      <c r="ED54" s="229">
        <v>0.96579999999999999</v>
      </c>
      <c r="EE54" s="228">
        <v>3.23</v>
      </c>
      <c r="EF54" s="229">
        <v>7.1999999999999998E-3</v>
      </c>
      <c r="EG54" s="230">
        <v>646130</v>
      </c>
      <c r="EH54" s="230">
        <v>399880</v>
      </c>
      <c r="EI54" s="229">
        <v>0.61580000000000001</v>
      </c>
      <c r="EJ54" s="229">
        <v>0.53159999999999996</v>
      </c>
      <c r="EK54" s="228">
        <v>216.96</v>
      </c>
      <c r="EL54" s="228">
        <v>167.18</v>
      </c>
      <c r="EM54" s="228">
        <v>326.58999999999997</v>
      </c>
      <c r="EN54" s="228">
        <v>85.45</v>
      </c>
      <c r="EO54" s="228">
        <v>710.73</v>
      </c>
      <c r="EP54" s="231">
        <v>1219.24</v>
      </c>
      <c r="EQ54" s="228">
        <v>-508.51</v>
      </c>
      <c r="ER54" s="229">
        <v>-0.41710000000000003</v>
      </c>
      <c r="ES54" s="228">
        <v>161.44999999999999</v>
      </c>
      <c r="ET54" s="228">
        <v>111.57</v>
      </c>
      <c r="EU54" s="231">
        <v>1015.28</v>
      </c>
      <c r="EV54" s="231">
        <v>76827821</v>
      </c>
      <c r="EW54" s="231">
        <v>1288.3</v>
      </c>
      <c r="EX54" s="231">
        <v>2003.98</v>
      </c>
      <c r="EY54" s="228">
        <v>-715.68</v>
      </c>
      <c r="EZ54" s="229">
        <v>-0.35709999999999997</v>
      </c>
      <c r="FA54" s="229">
        <v>0.37009999999999998</v>
      </c>
      <c r="FB54" s="227" t="s">
        <v>691</v>
      </c>
      <c r="FC54">
        <f t="shared" si="0"/>
        <v>980</v>
      </c>
    </row>
    <row r="55" spans="1:159" ht="17.25" thickBot="1" x14ac:dyDescent="0.3">
      <c r="A55" s="226">
        <v>46168</v>
      </c>
      <c r="B55" s="227" t="s">
        <v>157</v>
      </c>
      <c r="C55" s="227" t="s">
        <v>524</v>
      </c>
      <c r="D55" s="228">
        <v>325</v>
      </c>
      <c r="E55" s="228">
        <v>0</v>
      </c>
      <c r="F55" s="231">
        <v>1794.3</v>
      </c>
      <c r="G55" s="231">
        <v>1832</v>
      </c>
      <c r="H55" s="228">
        <v>-37.700000000000003</v>
      </c>
      <c r="I55" s="229">
        <v>-2.06E-2</v>
      </c>
      <c r="J55" s="231">
        <v>1785.6</v>
      </c>
      <c r="K55" s="231">
        <v>1822.6</v>
      </c>
      <c r="L55" s="228">
        <v>-37</v>
      </c>
      <c r="M55" s="229">
        <v>-2.0299999999999999E-2</v>
      </c>
      <c r="N55" s="231">
        <v>1788</v>
      </c>
      <c r="O55" s="231">
        <v>1827.5</v>
      </c>
      <c r="P55" s="228">
        <v>-39.5</v>
      </c>
      <c r="Q55" s="229">
        <v>-2.1600000000000001E-2</v>
      </c>
      <c r="R55" s="231">
        <v>1794.3</v>
      </c>
      <c r="S55" s="231">
        <v>1832</v>
      </c>
      <c r="T55" s="228">
        <v>-37.700000000000003</v>
      </c>
      <c r="U55" s="229">
        <v>-2.06E-2</v>
      </c>
      <c r="V55" s="231">
        <v>1806.7</v>
      </c>
      <c r="W55" s="231">
        <v>1840.5</v>
      </c>
      <c r="X55" s="228">
        <v>-33.799999999999997</v>
      </c>
      <c r="Y55" s="229">
        <v>-1.84E-2</v>
      </c>
      <c r="Z55" s="228">
        <v>8.6999999999999993</v>
      </c>
      <c r="AA55" s="228">
        <v>4.9000000000000004</v>
      </c>
      <c r="AB55" s="228">
        <v>3.8</v>
      </c>
      <c r="AC55" s="229">
        <v>4.8999999999999998E-3</v>
      </c>
      <c r="AD55" s="228">
        <v>2.4</v>
      </c>
      <c r="AE55" s="228">
        <v>4.9000000000000004</v>
      </c>
      <c r="AF55" s="228">
        <v>-2.5</v>
      </c>
      <c r="AG55" s="229">
        <v>1.2999999999999999E-3</v>
      </c>
      <c r="AH55" s="228">
        <v>8.6999999999999993</v>
      </c>
      <c r="AI55" s="228">
        <v>9.4</v>
      </c>
      <c r="AJ55" s="228">
        <v>-0.7</v>
      </c>
      <c r="AK55" s="229">
        <v>4.8999999999999998E-3</v>
      </c>
      <c r="AL55" s="228">
        <v>21.1</v>
      </c>
      <c r="AM55" s="228">
        <v>17.899999999999999</v>
      </c>
      <c r="AN55" s="228">
        <v>3.2</v>
      </c>
      <c r="AO55" s="229">
        <v>1.18E-2</v>
      </c>
      <c r="AP55" s="231">
        <v>1803.24</v>
      </c>
      <c r="AQ55" s="231">
        <v>1808.2</v>
      </c>
      <c r="AR55" s="228">
        <v>0</v>
      </c>
      <c r="AS55" s="228">
        <v>222</v>
      </c>
      <c r="AT55" s="228">
        <v>703</v>
      </c>
      <c r="AU55" s="228">
        <v>-481</v>
      </c>
      <c r="AV55" s="229">
        <v>-0.68410000000000004</v>
      </c>
      <c r="AW55" s="228">
        <v>84</v>
      </c>
      <c r="AX55" s="228">
        <v>354</v>
      </c>
      <c r="AY55" s="228">
        <v>-271</v>
      </c>
      <c r="AZ55" s="229">
        <v>-0.76419999999999999</v>
      </c>
      <c r="BA55" s="228">
        <v>138</v>
      </c>
      <c r="BB55" s="228">
        <v>346</v>
      </c>
      <c r="BC55" s="228">
        <v>-208</v>
      </c>
      <c r="BD55" s="229">
        <v>-0.60189999999999999</v>
      </c>
      <c r="BE55" s="228">
        <v>1</v>
      </c>
      <c r="BF55" s="228">
        <v>3</v>
      </c>
      <c r="BG55" s="228">
        <v>-2</v>
      </c>
      <c r="BH55" s="229">
        <v>-0.72919999999999996</v>
      </c>
      <c r="BI55" s="228">
        <v>270</v>
      </c>
      <c r="BJ55" s="228">
        <v>658</v>
      </c>
      <c r="BK55" s="228">
        <v>-388</v>
      </c>
      <c r="BL55" s="229">
        <v>-0.58930000000000005</v>
      </c>
      <c r="BM55" s="228">
        <v>137</v>
      </c>
      <c r="BN55" s="228">
        <v>306</v>
      </c>
      <c r="BO55" s="228">
        <v>-168</v>
      </c>
      <c r="BP55" s="229">
        <v>-0.55089999999999995</v>
      </c>
      <c r="BQ55" s="228">
        <v>630</v>
      </c>
      <c r="BR55" s="230">
        <v>1667</v>
      </c>
      <c r="BS55" s="230">
        <v>-1037</v>
      </c>
      <c r="BT55" s="229">
        <v>-0.62229999999999996</v>
      </c>
      <c r="BU55" s="230">
        <v>295359</v>
      </c>
      <c r="BV55" s="230">
        <v>346837</v>
      </c>
      <c r="BW55" s="230">
        <v>-51478</v>
      </c>
      <c r="BX55" s="229">
        <v>-0.1484</v>
      </c>
      <c r="BY55" s="228">
        <v>632</v>
      </c>
      <c r="BZ55" s="228">
        <v>754</v>
      </c>
      <c r="CA55" s="228">
        <v>-121</v>
      </c>
      <c r="CB55" s="229">
        <v>-0.16070000000000001</v>
      </c>
      <c r="CC55" s="228">
        <v>126</v>
      </c>
      <c r="CD55" s="228">
        <v>173</v>
      </c>
      <c r="CE55" s="228">
        <v>-47</v>
      </c>
      <c r="CF55" s="229">
        <v>-0.27039999999999997</v>
      </c>
      <c r="CG55" s="228">
        <v>628</v>
      </c>
      <c r="CH55" s="228">
        <v>577</v>
      </c>
      <c r="CI55" s="228">
        <v>51</v>
      </c>
      <c r="CJ55" s="229">
        <v>8.8900000000000007E-2</v>
      </c>
      <c r="CK55" s="228">
        <v>5</v>
      </c>
      <c r="CL55" s="228">
        <v>4</v>
      </c>
      <c r="CM55" s="228">
        <v>0</v>
      </c>
      <c r="CN55" s="229">
        <v>8.3299999999999999E-2</v>
      </c>
      <c r="CO55" s="228">
        <v>61</v>
      </c>
      <c r="CP55" s="228">
        <v>270</v>
      </c>
      <c r="CQ55" s="228">
        <v>-210</v>
      </c>
      <c r="CR55" s="229">
        <v>-0.77600000000000002</v>
      </c>
      <c r="CS55" s="228">
        <v>72</v>
      </c>
      <c r="CT55" s="228">
        <v>220</v>
      </c>
      <c r="CU55" s="228">
        <v>-148</v>
      </c>
      <c r="CV55" s="229">
        <v>-0.67200000000000004</v>
      </c>
      <c r="CW55" s="228">
        <v>765</v>
      </c>
      <c r="CX55" s="230">
        <v>1244</v>
      </c>
      <c r="CY55" s="228">
        <v>-479</v>
      </c>
      <c r="CZ55" s="229">
        <v>-0.38490000000000002</v>
      </c>
      <c r="DA55" s="228">
        <v>28.98</v>
      </c>
      <c r="DB55" s="228">
        <v>29.89</v>
      </c>
      <c r="DC55" s="228">
        <v>-0.91</v>
      </c>
      <c r="DD55" s="228">
        <v>-0.91</v>
      </c>
      <c r="DE55" s="228">
        <v>35.29</v>
      </c>
      <c r="DF55" s="228">
        <v>35.270000000000003</v>
      </c>
      <c r="DG55" s="228">
        <v>-6.31</v>
      </c>
      <c r="DH55" s="228">
        <v>0.02</v>
      </c>
      <c r="DI55" s="228">
        <v>28.98</v>
      </c>
      <c r="DJ55" s="228">
        <v>29.75</v>
      </c>
      <c r="DK55" s="228">
        <v>-0.77</v>
      </c>
      <c r="DL55" s="228">
        <v>-0.77</v>
      </c>
      <c r="DM55" s="228">
        <v>28.98</v>
      </c>
      <c r="DN55" s="228">
        <v>30.14</v>
      </c>
      <c r="DO55" s="228">
        <v>-1.1599999999999999</v>
      </c>
      <c r="DP55" s="228">
        <v>-1.1599999999999999</v>
      </c>
      <c r="DQ55" s="228">
        <v>1.19</v>
      </c>
      <c r="DR55" s="228">
        <v>0.81</v>
      </c>
      <c r="DS55" s="228">
        <v>0.38</v>
      </c>
      <c r="DT55" s="229">
        <v>0.46910000000000002</v>
      </c>
      <c r="DU55" s="231">
        <v>2100</v>
      </c>
      <c r="DV55" s="231">
        <v>1740</v>
      </c>
      <c r="DW55" s="228">
        <v>0.51</v>
      </c>
      <c r="DX55" s="228">
        <v>0.47</v>
      </c>
      <c r="DY55" s="228">
        <v>0.04</v>
      </c>
      <c r="DZ55" s="229">
        <v>8.5099999999999995E-2</v>
      </c>
      <c r="EA55" s="229">
        <v>0.83379999999999999</v>
      </c>
      <c r="EB55" s="230">
        <v>3237000</v>
      </c>
      <c r="EC55" s="229">
        <v>3.5000000000000001E-3</v>
      </c>
      <c r="ED55" s="229">
        <v>0.83379999999999999</v>
      </c>
      <c r="EE55" s="228">
        <v>4.96</v>
      </c>
      <c r="EF55" s="229">
        <v>2.8E-3</v>
      </c>
      <c r="EG55" s="230">
        <v>99693</v>
      </c>
      <c r="EH55" s="230">
        <v>148858</v>
      </c>
      <c r="EI55" s="229">
        <v>-0.33029999999999998</v>
      </c>
      <c r="EJ55" s="229">
        <v>0.33750000000000002</v>
      </c>
      <c r="EK55" s="228">
        <v>279.83</v>
      </c>
      <c r="EL55" s="228">
        <v>137.01</v>
      </c>
      <c r="EM55" s="228">
        <v>223.67</v>
      </c>
      <c r="EN55" s="228">
        <v>67.81</v>
      </c>
      <c r="EO55" s="228">
        <v>640.5</v>
      </c>
      <c r="EP55" s="231">
        <v>1696.49</v>
      </c>
      <c r="EQ55" s="231">
        <v>-1055.99</v>
      </c>
      <c r="ER55" s="229">
        <v>-0.62250000000000005</v>
      </c>
      <c r="ES55" s="228">
        <v>62.63</v>
      </c>
      <c r="ET55" s="228">
        <v>69.739999999999995</v>
      </c>
      <c r="EU55" s="228">
        <v>632.45000000000005</v>
      </c>
      <c r="EV55" s="231">
        <v>12425160</v>
      </c>
      <c r="EW55" s="228">
        <v>764.82</v>
      </c>
      <c r="EX55" s="231">
        <v>1273.83</v>
      </c>
      <c r="EY55" s="228">
        <v>-509.01</v>
      </c>
      <c r="EZ55" s="229">
        <v>-0.39960000000000001</v>
      </c>
      <c r="FA55" s="229">
        <v>0.34320000000000001</v>
      </c>
      <c r="FB55" s="227" t="s">
        <v>567</v>
      </c>
      <c r="FC55">
        <f t="shared" si="0"/>
        <v>506</v>
      </c>
    </row>
    <row r="56" spans="1:159" ht="17.25" thickBot="1" x14ac:dyDescent="0.3">
      <c r="A56" s="226">
        <v>46168</v>
      </c>
      <c r="B56" s="227" t="s">
        <v>614</v>
      </c>
      <c r="C56" s="227" t="s">
        <v>599</v>
      </c>
      <c r="D56" s="228">
        <v>2075</v>
      </c>
      <c r="E56" s="228">
        <v>0</v>
      </c>
      <c r="F56" s="228">
        <v>467.25</v>
      </c>
      <c r="G56" s="228">
        <v>458.75</v>
      </c>
      <c r="H56" s="228">
        <v>8.5</v>
      </c>
      <c r="I56" s="229">
        <v>1.8499999999999999E-2</v>
      </c>
      <c r="J56" s="228">
        <v>463.5</v>
      </c>
      <c r="K56" s="228">
        <v>455.45</v>
      </c>
      <c r="L56" s="228">
        <v>8.0500000000000007</v>
      </c>
      <c r="M56" s="229">
        <v>1.77E-2</v>
      </c>
      <c r="N56" s="228">
        <v>461.9</v>
      </c>
      <c r="O56" s="228">
        <v>455.5</v>
      </c>
      <c r="P56" s="228">
        <v>6.4</v>
      </c>
      <c r="Q56" s="229">
        <v>1.41E-2</v>
      </c>
      <c r="R56" s="228">
        <v>467.25</v>
      </c>
      <c r="S56" s="228">
        <v>458.75</v>
      </c>
      <c r="T56" s="228">
        <v>8.5</v>
      </c>
      <c r="U56" s="229">
        <v>1.8499999999999999E-2</v>
      </c>
      <c r="V56" s="228">
        <v>470.1</v>
      </c>
      <c r="W56" s="228">
        <v>461.85</v>
      </c>
      <c r="X56" s="228">
        <v>8.25</v>
      </c>
      <c r="Y56" s="229">
        <v>1.7899999999999999E-2</v>
      </c>
      <c r="Z56" s="228">
        <v>3.75</v>
      </c>
      <c r="AA56" s="228">
        <v>0.05</v>
      </c>
      <c r="AB56" s="228">
        <v>3.7</v>
      </c>
      <c r="AC56" s="229">
        <v>8.0999999999999996E-3</v>
      </c>
      <c r="AD56" s="228">
        <v>-1.6</v>
      </c>
      <c r="AE56" s="228">
        <v>0.05</v>
      </c>
      <c r="AF56" s="228">
        <v>-1.65</v>
      </c>
      <c r="AG56" s="229">
        <v>-3.5000000000000001E-3</v>
      </c>
      <c r="AH56" s="228">
        <v>3.75</v>
      </c>
      <c r="AI56" s="228">
        <v>3.3</v>
      </c>
      <c r="AJ56" s="228">
        <v>0.45</v>
      </c>
      <c r="AK56" s="229">
        <v>8.0999999999999996E-3</v>
      </c>
      <c r="AL56" s="228">
        <v>6.6</v>
      </c>
      <c r="AM56" s="228">
        <v>6.4</v>
      </c>
      <c r="AN56" s="228">
        <v>0.2</v>
      </c>
      <c r="AO56" s="229">
        <v>1.4200000000000001E-2</v>
      </c>
      <c r="AP56" s="228">
        <v>458.94</v>
      </c>
      <c r="AQ56" s="228">
        <v>463.09</v>
      </c>
      <c r="AR56" s="228">
        <v>0</v>
      </c>
      <c r="AS56" s="228">
        <v>504</v>
      </c>
      <c r="AT56" s="228">
        <v>928</v>
      </c>
      <c r="AU56" s="228">
        <v>-424</v>
      </c>
      <c r="AV56" s="229">
        <v>-0.45710000000000001</v>
      </c>
      <c r="AW56" s="228">
        <v>223</v>
      </c>
      <c r="AX56" s="228">
        <v>448</v>
      </c>
      <c r="AY56" s="228">
        <v>-225</v>
      </c>
      <c r="AZ56" s="229">
        <v>-0.50219999999999998</v>
      </c>
      <c r="BA56" s="228">
        <v>277</v>
      </c>
      <c r="BB56" s="228">
        <v>479</v>
      </c>
      <c r="BC56" s="228">
        <v>-201</v>
      </c>
      <c r="BD56" s="229">
        <v>-0.42059999999999997</v>
      </c>
      <c r="BE56" s="228">
        <v>4</v>
      </c>
      <c r="BF56" s="228">
        <v>2</v>
      </c>
      <c r="BG56" s="228">
        <v>2</v>
      </c>
      <c r="BH56" s="229">
        <v>0.95</v>
      </c>
      <c r="BI56" s="228">
        <v>380</v>
      </c>
      <c r="BJ56" s="228">
        <v>517</v>
      </c>
      <c r="BK56" s="228">
        <v>-137</v>
      </c>
      <c r="BL56" s="229">
        <v>-0.26469999999999999</v>
      </c>
      <c r="BM56" s="228">
        <v>154</v>
      </c>
      <c r="BN56" s="228">
        <v>232</v>
      </c>
      <c r="BO56" s="228">
        <v>-78</v>
      </c>
      <c r="BP56" s="229">
        <v>-0.33689999999999998</v>
      </c>
      <c r="BQ56" s="230">
        <v>1038</v>
      </c>
      <c r="BR56" s="230">
        <v>1678</v>
      </c>
      <c r="BS56" s="228">
        <v>-640</v>
      </c>
      <c r="BT56" s="229">
        <v>-0.38109999999999999</v>
      </c>
      <c r="BU56" s="230">
        <v>2727445</v>
      </c>
      <c r="BV56" s="230">
        <v>3532265</v>
      </c>
      <c r="BW56" s="230">
        <v>-804820</v>
      </c>
      <c r="BX56" s="229">
        <v>-0.2278</v>
      </c>
      <c r="BY56" s="230">
        <v>1362</v>
      </c>
      <c r="BZ56" s="230">
        <v>1425</v>
      </c>
      <c r="CA56" s="228">
        <v>-63</v>
      </c>
      <c r="CB56" s="229">
        <v>-4.4499999999999998E-2</v>
      </c>
      <c r="CC56" s="228">
        <v>54</v>
      </c>
      <c r="CD56" s="228">
        <v>171</v>
      </c>
      <c r="CE56" s="228">
        <v>-117</v>
      </c>
      <c r="CF56" s="229">
        <v>-0.68220000000000003</v>
      </c>
      <c r="CG56" s="230">
        <v>1353</v>
      </c>
      <c r="CH56" s="230">
        <v>1247</v>
      </c>
      <c r="CI56" s="228">
        <v>105</v>
      </c>
      <c r="CJ56" s="229">
        <v>8.4400000000000003E-2</v>
      </c>
      <c r="CK56" s="228">
        <v>10</v>
      </c>
      <c r="CL56" s="228">
        <v>7</v>
      </c>
      <c r="CM56" s="228">
        <v>2</v>
      </c>
      <c r="CN56" s="229">
        <v>0.28949999999999998</v>
      </c>
      <c r="CO56" s="228">
        <v>182</v>
      </c>
      <c r="CP56" s="228">
        <v>543</v>
      </c>
      <c r="CQ56" s="228">
        <v>-361</v>
      </c>
      <c r="CR56" s="229">
        <v>-0.66459999999999997</v>
      </c>
      <c r="CS56" s="228">
        <v>89</v>
      </c>
      <c r="CT56" s="228">
        <v>225</v>
      </c>
      <c r="CU56" s="228">
        <v>-136</v>
      </c>
      <c r="CV56" s="229">
        <v>-0.60509999999999997</v>
      </c>
      <c r="CW56" s="230">
        <v>1633</v>
      </c>
      <c r="CX56" s="230">
        <v>2193</v>
      </c>
      <c r="CY56" s="228">
        <v>-560</v>
      </c>
      <c r="CZ56" s="229">
        <v>-0.25540000000000002</v>
      </c>
      <c r="DA56" s="228">
        <v>26.35</v>
      </c>
      <c r="DB56" s="228">
        <v>29.42</v>
      </c>
      <c r="DC56" s="228">
        <v>-3.07</v>
      </c>
      <c r="DD56" s="228">
        <v>-3.07</v>
      </c>
      <c r="DE56" s="228">
        <v>38.770000000000003</v>
      </c>
      <c r="DF56" s="228">
        <v>38.79</v>
      </c>
      <c r="DG56" s="228">
        <v>-12.42</v>
      </c>
      <c r="DH56" s="228">
        <v>-0.02</v>
      </c>
      <c r="DI56" s="228">
        <v>25.91</v>
      </c>
      <c r="DJ56" s="228">
        <v>28.95</v>
      </c>
      <c r="DK56" s="228">
        <v>-3.04</v>
      </c>
      <c r="DL56" s="228">
        <v>-3.04</v>
      </c>
      <c r="DM56" s="228">
        <v>27.3</v>
      </c>
      <c r="DN56" s="228">
        <v>30.22</v>
      </c>
      <c r="DO56" s="228">
        <v>-2.92</v>
      </c>
      <c r="DP56" s="228">
        <v>-2.92</v>
      </c>
      <c r="DQ56" s="228">
        <v>0.49</v>
      </c>
      <c r="DR56" s="228">
        <v>0.41</v>
      </c>
      <c r="DS56" s="228">
        <v>0.08</v>
      </c>
      <c r="DT56" s="229">
        <v>0.1951</v>
      </c>
      <c r="DU56" s="228">
        <v>500</v>
      </c>
      <c r="DV56" s="228">
        <v>460</v>
      </c>
      <c r="DW56" s="228">
        <v>0.41</v>
      </c>
      <c r="DX56" s="228">
        <v>0.45</v>
      </c>
      <c r="DY56" s="228">
        <v>-0.04</v>
      </c>
      <c r="DZ56" s="229">
        <v>-8.8900000000000007E-2</v>
      </c>
      <c r="EA56" s="229">
        <v>0.9617</v>
      </c>
      <c r="EB56" s="230">
        <v>26850500</v>
      </c>
      <c r="EC56" s="229">
        <v>1.1599999999999999E-2</v>
      </c>
      <c r="ED56" s="229">
        <v>0.9617</v>
      </c>
      <c r="EE56" s="228">
        <v>4.1500000000000004</v>
      </c>
      <c r="EF56" s="229">
        <v>8.9999999999999993E-3</v>
      </c>
      <c r="EG56" s="230">
        <v>1543986</v>
      </c>
      <c r="EH56" s="230">
        <v>2182181</v>
      </c>
      <c r="EI56" s="229">
        <v>-0.29249999999999998</v>
      </c>
      <c r="EJ56" s="229">
        <v>0.56610000000000005</v>
      </c>
      <c r="EK56" s="228">
        <v>388.33</v>
      </c>
      <c r="EL56" s="228">
        <v>151.94</v>
      </c>
      <c r="EM56" s="228">
        <v>497.53</v>
      </c>
      <c r="EN56" s="228">
        <v>67.22</v>
      </c>
      <c r="EO56" s="231">
        <v>1037.8</v>
      </c>
      <c r="EP56" s="231">
        <v>1657.37</v>
      </c>
      <c r="EQ56" s="228">
        <v>-619.57000000000005</v>
      </c>
      <c r="ER56" s="229">
        <v>-0.37380000000000002</v>
      </c>
      <c r="ES56" s="228">
        <v>189.5</v>
      </c>
      <c r="ET56" s="228">
        <v>84.97</v>
      </c>
      <c r="EU56" s="231">
        <v>1362.07</v>
      </c>
      <c r="EV56" s="231">
        <v>83072620</v>
      </c>
      <c r="EW56" s="231">
        <v>1636.55</v>
      </c>
      <c r="EX56" s="231">
        <v>2179.29</v>
      </c>
      <c r="EY56" s="228">
        <v>-542.74</v>
      </c>
      <c r="EZ56" s="229">
        <v>-0.249</v>
      </c>
      <c r="FA56" s="229">
        <v>0.42059999999999997</v>
      </c>
      <c r="FB56" s="227" t="s">
        <v>691</v>
      </c>
      <c r="FC56">
        <f t="shared" si="0"/>
        <v>1308</v>
      </c>
    </row>
    <row r="57" spans="1:159" ht="17.25" thickBot="1" x14ac:dyDescent="0.3">
      <c r="A57" s="226">
        <v>46168</v>
      </c>
      <c r="B57" s="227" t="s">
        <v>170</v>
      </c>
      <c r="C57" s="227" t="s">
        <v>205</v>
      </c>
      <c r="D57" s="228">
        <v>100</v>
      </c>
      <c r="E57" s="228">
        <v>0</v>
      </c>
      <c r="F57" s="231">
        <v>6800.5</v>
      </c>
      <c r="G57" s="231">
        <v>6815.5</v>
      </c>
      <c r="H57" s="228">
        <v>-15</v>
      </c>
      <c r="I57" s="229">
        <v>-2.2000000000000001E-3</v>
      </c>
      <c r="J57" s="231">
        <v>6753</v>
      </c>
      <c r="K57" s="231">
        <v>6756.5</v>
      </c>
      <c r="L57" s="228">
        <v>-3.5</v>
      </c>
      <c r="M57" s="229">
        <v>-5.0000000000000001E-4</v>
      </c>
      <c r="N57" s="231">
        <v>6771.5</v>
      </c>
      <c r="O57" s="231">
        <v>6784</v>
      </c>
      <c r="P57" s="228">
        <v>-12.5</v>
      </c>
      <c r="Q57" s="229">
        <v>-1.8E-3</v>
      </c>
      <c r="R57" s="231">
        <v>6800.5</v>
      </c>
      <c r="S57" s="231">
        <v>6815.5</v>
      </c>
      <c r="T57" s="228">
        <v>-15</v>
      </c>
      <c r="U57" s="229">
        <v>-2.2000000000000001E-3</v>
      </c>
      <c r="V57" s="231">
        <v>6805.5</v>
      </c>
      <c r="W57" s="231">
        <v>6825</v>
      </c>
      <c r="X57" s="228">
        <v>-19.5</v>
      </c>
      <c r="Y57" s="229">
        <v>-2.8999999999999998E-3</v>
      </c>
      <c r="Z57" s="228">
        <v>47.5</v>
      </c>
      <c r="AA57" s="228">
        <v>27.5</v>
      </c>
      <c r="AB57" s="228">
        <v>20</v>
      </c>
      <c r="AC57" s="229">
        <v>7.0000000000000001E-3</v>
      </c>
      <c r="AD57" s="228">
        <v>18.5</v>
      </c>
      <c r="AE57" s="228">
        <v>27.5</v>
      </c>
      <c r="AF57" s="228">
        <v>-9</v>
      </c>
      <c r="AG57" s="229">
        <v>2.7000000000000001E-3</v>
      </c>
      <c r="AH57" s="228">
        <v>47.5</v>
      </c>
      <c r="AI57" s="228">
        <v>59</v>
      </c>
      <c r="AJ57" s="228">
        <v>-11.5</v>
      </c>
      <c r="AK57" s="229">
        <v>7.0000000000000001E-3</v>
      </c>
      <c r="AL57" s="228">
        <v>52.5</v>
      </c>
      <c r="AM57" s="228">
        <v>68.5</v>
      </c>
      <c r="AN57" s="228">
        <v>-16</v>
      </c>
      <c r="AO57" s="229">
        <v>7.7999999999999996E-3</v>
      </c>
      <c r="AP57" s="231">
        <v>6734.19</v>
      </c>
      <c r="AQ57" s="231">
        <v>6766.83</v>
      </c>
      <c r="AR57" s="228">
        <v>0</v>
      </c>
      <c r="AS57" s="228">
        <v>491</v>
      </c>
      <c r="AT57" s="230">
        <v>1811</v>
      </c>
      <c r="AU57" s="230">
        <v>-1320</v>
      </c>
      <c r="AV57" s="229">
        <v>-0.72870000000000001</v>
      </c>
      <c r="AW57" s="228">
        <v>182</v>
      </c>
      <c r="AX57" s="228">
        <v>777</v>
      </c>
      <c r="AY57" s="228">
        <v>-595</v>
      </c>
      <c r="AZ57" s="229">
        <v>-0.76559999999999995</v>
      </c>
      <c r="BA57" s="228">
        <v>304</v>
      </c>
      <c r="BB57" s="230">
        <v>1023</v>
      </c>
      <c r="BC57" s="228">
        <v>-719</v>
      </c>
      <c r="BD57" s="229">
        <v>-0.7026</v>
      </c>
      <c r="BE57" s="228">
        <v>5</v>
      </c>
      <c r="BF57" s="228">
        <v>11</v>
      </c>
      <c r="BG57" s="228">
        <v>-6</v>
      </c>
      <c r="BH57" s="229">
        <v>-0.54379999999999995</v>
      </c>
      <c r="BI57" s="230">
        <v>1310</v>
      </c>
      <c r="BJ57" s="230">
        <v>4452</v>
      </c>
      <c r="BK57" s="230">
        <v>-3142</v>
      </c>
      <c r="BL57" s="229">
        <v>-0.70579999999999998</v>
      </c>
      <c r="BM57" s="230">
        <v>1058</v>
      </c>
      <c r="BN57" s="230">
        <v>3253</v>
      </c>
      <c r="BO57" s="230">
        <v>-2195</v>
      </c>
      <c r="BP57" s="229">
        <v>-0.67469999999999997</v>
      </c>
      <c r="BQ57" s="230">
        <v>2859</v>
      </c>
      <c r="BR57" s="230">
        <v>9516</v>
      </c>
      <c r="BS57" s="230">
        <v>-6656</v>
      </c>
      <c r="BT57" s="229">
        <v>-0.69950000000000001</v>
      </c>
      <c r="BU57" s="230">
        <v>319134</v>
      </c>
      <c r="BV57" s="230">
        <v>995703</v>
      </c>
      <c r="BW57" s="230">
        <v>-676569</v>
      </c>
      <c r="BX57" s="229">
        <v>-0.67949999999999999</v>
      </c>
      <c r="BY57" s="230">
        <v>1501</v>
      </c>
      <c r="BZ57" s="230">
        <v>1631</v>
      </c>
      <c r="CA57" s="228">
        <v>-130</v>
      </c>
      <c r="CB57" s="229">
        <v>-7.9799999999999996E-2</v>
      </c>
      <c r="CC57" s="228">
        <v>173</v>
      </c>
      <c r="CD57" s="228">
        <v>242</v>
      </c>
      <c r="CE57" s="228">
        <v>-69</v>
      </c>
      <c r="CF57" s="229">
        <v>-0.28620000000000001</v>
      </c>
      <c r="CG57" s="230">
        <v>1492</v>
      </c>
      <c r="CH57" s="230">
        <v>1382</v>
      </c>
      <c r="CI57" s="228">
        <v>110</v>
      </c>
      <c r="CJ57" s="229">
        <v>7.9799999999999996E-2</v>
      </c>
      <c r="CK57" s="228">
        <v>9</v>
      </c>
      <c r="CL57" s="228">
        <v>8</v>
      </c>
      <c r="CM57" s="228">
        <v>1</v>
      </c>
      <c r="CN57" s="229">
        <v>0.15379999999999999</v>
      </c>
      <c r="CO57" s="228">
        <v>366</v>
      </c>
      <c r="CP57" s="228">
        <v>829</v>
      </c>
      <c r="CQ57" s="228">
        <v>-463</v>
      </c>
      <c r="CR57" s="229">
        <v>-0.55810000000000004</v>
      </c>
      <c r="CS57" s="228">
        <v>195</v>
      </c>
      <c r="CT57" s="228">
        <v>586</v>
      </c>
      <c r="CU57" s="228">
        <v>-391</v>
      </c>
      <c r="CV57" s="229">
        <v>-0.66720000000000002</v>
      </c>
      <c r="CW57" s="230">
        <v>2063</v>
      </c>
      <c r="CX57" s="230">
        <v>3047</v>
      </c>
      <c r="CY57" s="228">
        <v>-984</v>
      </c>
      <c r="CZ57" s="229">
        <v>-0.32300000000000001</v>
      </c>
      <c r="DA57" s="228">
        <v>21.57</v>
      </c>
      <c r="DB57" s="228">
        <v>22.95</v>
      </c>
      <c r="DC57" s="228">
        <v>-1.38</v>
      </c>
      <c r="DD57" s="228">
        <v>-1.38</v>
      </c>
      <c r="DE57" s="228">
        <v>28.93</v>
      </c>
      <c r="DF57" s="228">
        <v>29.01</v>
      </c>
      <c r="DG57" s="228">
        <v>-7.36</v>
      </c>
      <c r="DH57" s="228">
        <v>-0.08</v>
      </c>
      <c r="DI57" s="228">
        <v>21.58</v>
      </c>
      <c r="DJ57" s="228">
        <v>23.45</v>
      </c>
      <c r="DK57" s="228">
        <v>-1.87</v>
      </c>
      <c r="DL57" s="228">
        <v>-1.87</v>
      </c>
      <c r="DM57" s="228">
        <v>21.54</v>
      </c>
      <c r="DN57" s="228">
        <v>22.12</v>
      </c>
      <c r="DO57" s="228">
        <v>-0.57999999999999996</v>
      </c>
      <c r="DP57" s="228">
        <v>-0.57999999999999996</v>
      </c>
      <c r="DQ57" s="228">
        <v>0.53</v>
      </c>
      <c r="DR57" s="228">
        <v>0.71</v>
      </c>
      <c r="DS57" s="228">
        <v>-0.18</v>
      </c>
      <c r="DT57" s="229">
        <v>-0.2535</v>
      </c>
      <c r="DU57" s="231">
        <v>7000</v>
      </c>
      <c r="DV57" s="231">
        <v>6500</v>
      </c>
      <c r="DW57" s="228">
        <v>0.81</v>
      </c>
      <c r="DX57" s="228">
        <v>0.73</v>
      </c>
      <c r="DY57" s="228">
        <v>0.08</v>
      </c>
      <c r="DZ57" s="229">
        <v>0.1096</v>
      </c>
      <c r="EA57" s="229">
        <v>0.89690000000000003</v>
      </c>
      <c r="EB57" s="230">
        <v>2043500</v>
      </c>
      <c r="EC57" s="229">
        <v>4.3E-3</v>
      </c>
      <c r="ED57" s="229">
        <v>0.89690000000000003</v>
      </c>
      <c r="EE57" s="228">
        <v>32.64</v>
      </c>
      <c r="EF57" s="229">
        <v>4.7999999999999996E-3</v>
      </c>
      <c r="EG57" s="230">
        <v>142456</v>
      </c>
      <c r="EH57" s="230">
        <v>467689</v>
      </c>
      <c r="EI57" s="229">
        <v>-0.69540000000000002</v>
      </c>
      <c r="EJ57" s="229">
        <v>0.44640000000000002</v>
      </c>
      <c r="EK57" s="231">
        <v>1344.68</v>
      </c>
      <c r="EL57" s="231">
        <v>1033.83</v>
      </c>
      <c r="EM57" s="228">
        <v>488.03</v>
      </c>
      <c r="EN57" s="228">
        <v>140.03</v>
      </c>
      <c r="EO57" s="231">
        <v>2866.55</v>
      </c>
      <c r="EP57" s="231">
        <v>9675.7900000000009</v>
      </c>
      <c r="EQ57" s="231">
        <v>-6809.24</v>
      </c>
      <c r="ER57" s="229">
        <v>-0.70369999999999999</v>
      </c>
      <c r="ES57" s="228">
        <v>379.73</v>
      </c>
      <c r="ET57" s="228">
        <v>190.43</v>
      </c>
      <c r="EU57" s="231">
        <v>1501.15</v>
      </c>
      <c r="EV57" s="231">
        <v>15815194</v>
      </c>
      <c r="EW57" s="231">
        <v>2071.31</v>
      </c>
      <c r="EX57" s="231">
        <v>3052.49</v>
      </c>
      <c r="EY57" s="228">
        <v>-981.18</v>
      </c>
      <c r="EZ57" s="229">
        <v>-0.32140000000000002</v>
      </c>
      <c r="FA57" s="229">
        <v>0.1918</v>
      </c>
      <c r="FB57" s="227" t="s">
        <v>567</v>
      </c>
      <c r="FC57">
        <f t="shared" si="0"/>
        <v>1328</v>
      </c>
    </row>
    <row r="58" spans="1:159" ht="17.25" thickBot="1" x14ac:dyDescent="0.3">
      <c r="A58" s="226">
        <v>46168</v>
      </c>
      <c r="B58" s="227" t="s">
        <v>184</v>
      </c>
      <c r="C58" s="227" t="s">
        <v>512</v>
      </c>
      <c r="D58" s="228">
        <v>50</v>
      </c>
      <c r="E58" s="228">
        <v>0</v>
      </c>
      <c r="F58" s="231">
        <v>11632</v>
      </c>
      <c r="G58" s="231">
        <v>11826</v>
      </c>
      <c r="H58" s="228">
        <v>-194</v>
      </c>
      <c r="I58" s="229">
        <v>-1.6400000000000001E-2</v>
      </c>
      <c r="J58" s="231">
        <v>11673</v>
      </c>
      <c r="K58" s="231">
        <v>11824</v>
      </c>
      <c r="L58" s="228">
        <v>-151</v>
      </c>
      <c r="M58" s="229">
        <v>-1.2800000000000001E-2</v>
      </c>
      <c r="N58" s="231">
        <v>11651</v>
      </c>
      <c r="O58" s="231">
        <v>11829</v>
      </c>
      <c r="P58" s="228">
        <v>-178</v>
      </c>
      <c r="Q58" s="229">
        <v>-1.4999999999999999E-2</v>
      </c>
      <c r="R58" s="231">
        <v>11632</v>
      </c>
      <c r="S58" s="231">
        <v>11826</v>
      </c>
      <c r="T58" s="228">
        <v>-194</v>
      </c>
      <c r="U58" s="229">
        <v>-1.6400000000000001E-2</v>
      </c>
      <c r="V58" s="231">
        <v>11624</v>
      </c>
      <c r="W58" s="231">
        <v>11822</v>
      </c>
      <c r="X58" s="228">
        <v>-198</v>
      </c>
      <c r="Y58" s="229">
        <v>-1.67E-2</v>
      </c>
      <c r="Z58" s="228">
        <v>-41</v>
      </c>
      <c r="AA58" s="228">
        <v>5</v>
      </c>
      <c r="AB58" s="228">
        <v>-46</v>
      </c>
      <c r="AC58" s="229">
        <v>-3.5000000000000001E-3</v>
      </c>
      <c r="AD58" s="228">
        <v>-22</v>
      </c>
      <c r="AE58" s="228">
        <v>5</v>
      </c>
      <c r="AF58" s="228">
        <v>-27</v>
      </c>
      <c r="AG58" s="229">
        <v>-1.9E-3</v>
      </c>
      <c r="AH58" s="228">
        <v>-41</v>
      </c>
      <c r="AI58" s="228">
        <v>2</v>
      </c>
      <c r="AJ58" s="228">
        <v>-43</v>
      </c>
      <c r="AK58" s="229">
        <v>-3.5000000000000001E-3</v>
      </c>
      <c r="AL58" s="228">
        <v>-49</v>
      </c>
      <c r="AM58" s="228">
        <v>-2</v>
      </c>
      <c r="AN58" s="228">
        <v>-47</v>
      </c>
      <c r="AO58" s="229">
        <v>-4.1999999999999997E-3</v>
      </c>
      <c r="AP58" s="231">
        <v>11702.33</v>
      </c>
      <c r="AQ58" s="231">
        <v>11677.17</v>
      </c>
      <c r="AR58" s="228">
        <v>0</v>
      </c>
      <c r="AS58" s="230">
        <v>1039</v>
      </c>
      <c r="AT58" s="230">
        <v>1821</v>
      </c>
      <c r="AU58" s="228">
        <v>-783</v>
      </c>
      <c r="AV58" s="229">
        <v>-0.42980000000000002</v>
      </c>
      <c r="AW58" s="228">
        <v>406</v>
      </c>
      <c r="AX58" s="228">
        <v>870</v>
      </c>
      <c r="AY58" s="228">
        <v>-465</v>
      </c>
      <c r="AZ58" s="229">
        <v>-0.53400000000000003</v>
      </c>
      <c r="BA58" s="228">
        <v>588</v>
      </c>
      <c r="BB58" s="228">
        <v>919</v>
      </c>
      <c r="BC58" s="228">
        <v>-332</v>
      </c>
      <c r="BD58" s="229">
        <v>-0.36070000000000002</v>
      </c>
      <c r="BE58" s="228">
        <v>45</v>
      </c>
      <c r="BF58" s="228">
        <v>31</v>
      </c>
      <c r="BG58" s="228">
        <v>14</v>
      </c>
      <c r="BH58" s="229">
        <v>0.437</v>
      </c>
      <c r="BI58" s="230">
        <v>3985</v>
      </c>
      <c r="BJ58" s="230">
        <v>11249</v>
      </c>
      <c r="BK58" s="230">
        <v>-7264</v>
      </c>
      <c r="BL58" s="229">
        <v>-0.64570000000000005</v>
      </c>
      <c r="BM58" s="230">
        <v>2874</v>
      </c>
      <c r="BN58" s="230">
        <v>5452</v>
      </c>
      <c r="BO58" s="230">
        <v>-2578</v>
      </c>
      <c r="BP58" s="229">
        <v>-0.4728</v>
      </c>
      <c r="BQ58" s="230">
        <v>7898</v>
      </c>
      <c r="BR58" s="230">
        <v>18522</v>
      </c>
      <c r="BS58" s="230">
        <v>-10625</v>
      </c>
      <c r="BT58" s="229">
        <v>-0.5736</v>
      </c>
      <c r="BU58" s="230">
        <v>355171</v>
      </c>
      <c r="BV58" s="230">
        <v>635060</v>
      </c>
      <c r="BW58" s="230">
        <v>-279889</v>
      </c>
      <c r="BX58" s="229">
        <v>-0.44069999999999998</v>
      </c>
      <c r="BY58" s="230">
        <v>3045</v>
      </c>
      <c r="BZ58" s="230">
        <v>3256</v>
      </c>
      <c r="CA58" s="228">
        <v>-210</v>
      </c>
      <c r="CB58" s="229">
        <v>-6.4600000000000005E-2</v>
      </c>
      <c r="CC58" s="228">
        <v>213</v>
      </c>
      <c r="CD58" s="228">
        <v>390</v>
      </c>
      <c r="CE58" s="228">
        <v>-177</v>
      </c>
      <c r="CF58" s="229">
        <v>-0.45419999999999999</v>
      </c>
      <c r="CG58" s="230">
        <v>2945</v>
      </c>
      <c r="CH58" s="230">
        <v>2794</v>
      </c>
      <c r="CI58" s="228">
        <v>151</v>
      </c>
      <c r="CJ58" s="229">
        <v>5.3999999999999999E-2</v>
      </c>
      <c r="CK58" s="228">
        <v>100</v>
      </c>
      <c r="CL58" s="228">
        <v>71</v>
      </c>
      <c r="CM58" s="228">
        <v>29</v>
      </c>
      <c r="CN58" s="229">
        <v>0.41070000000000001</v>
      </c>
      <c r="CO58" s="228">
        <v>948</v>
      </c>
      <c r="CP58" s="230">
        <v>2248</v>
      </c>
      <c r="CQ58" s="230">
        <v>-1300</v>
      </c>
      <c r="CR58" s="229">
        <v>-0.57840000000000003</v>
      </c>
      <c r="CS58" s="228">
        <v>773</v>
      </c>
      <c r="CT58" s="230">
        <v>1849</v>
      </c>
      <c r="CU58" s="230">
        <v>-1076</v>
      </c>
      <c r="CV58" s="229">
        <v>-0.58179999999999998</v>
      </c>
      <c r="CW58" s="230">
        <v>4767</v>
      </c>
      <c r="CX58" s="230">
        <v>7353</v>
      </c>
      <c r="CY58" s="230">
        <v>-2587</v>
      </c>
      <c r="CZ58" s="229">
        <v>-0.3518</v>
      </c>
      <c r="DA58" s="228">
        <v>37.4</v>
      </c>
      <c r="DB58" s="228">
        <v>39.770000000000003</v>
      </c>
      <c r="DC58" s="228">
        <v>-2.37</v>
      </c>
      <c r="DD58" s="228">
        <v>-2.37</v>
      </c>
      <c r="DE58" s="228">
        <v>50.39</v>
      </c>
      <c r="DF58" s="228">
        <v>50.47</v>
      </c>
      <c r="DG58" s="228">
        <v>-12.99</v>
      </c>
      <c r="DH58" s="228">
        <v>-0.08</v>
      </c>
      <c r="DI58" s="228">
        <v>37.25</v>
      </c>
      <c r="DJ58" s="228">
        <v>39.659999999999997</v>
      </c>
      <c r="DK58" s="228">
        <v>-2.41</v>
      </c>
      <c r="DL58" s="228">
        <v>-2.41</v>
      </c>
      <c r="DM58" s="228">
        <v>37.65</v>
      </c>
      <c r="DN58" s="228">
        <v>40.04</v>
      </c>
      <c r="DO58" s="228">
        <v>-2.39</v>
      </c>
      <c r="DP58" s="228">
        <v>-2.39</v>
      </c>
      <c r="DQ58" s="228">
        <v>0.82</v>
      </c>
      <c r="DR58" s="228">
        <v>0.82</v>
      </c>
      <c r="DS58" s="228">
        <v>0</v>
      </c>
      <c r="DT58" s="229">
        <v>0</v>
      </c>
      <c r="DU58" s="231">
        <v>12000</v>
      </c>
      <c r="DV58" s="231">
        <v>11000</v>
      </c>
      <c r="DW58" s="228">
        <v>0.72</v>
      </c>
      <c r="DX58" s="228">
        <v>0.48</v>
      </c>
      <c r="DY58" s="228">
        <v>0.24</v>
      </c>
      <c r="DZ58" s="229">
        <v>0.5</v>
      </c>
      <c r="EA58" s="229">
        <v>0.93459999999999999</v>
      </c>
      <c r="EB58" s="230">
        <v>2463300</v>
      </c>
      <c r="EC58" s="229">
        <v>-1.6000000000000001E-3</v>
      </c>
      <c r="ED58" s="229">
        <v>0.93459999999999999</v>
      </c>
      <c r="EE58" s="228">
        <v>-25.16</v>
      </c>
      <c r="EF58" s="229">
        <v>-2.0999999999999999E-3</v>
      </c>
      <c r="EG58" s="230">
        <v>95078</v>
      </c>
      <c r="EH58" s="230">
        <v>175263</v>
      </c>
      <c r="EI58" s="229">
        <v>-0.45750000000000002</v>
      </c>
      <c r="EJ58" s="229">
        <v>0.26769999999999999</v>
      </c>
      <c r="EK58" s="231">
        <v>4195.09</v>
      </c>
      <c r="EL58" s="231">
        <v>2764.85</v>
      </c>
      <c r="EM58" s="231">
        <v>1043.45</v>
      </c>
      <c r="EN58" s="228">
        <v>362.74</v>
      </c>
      <c r="EO58" s="231">
        <v>8003.39</v>
      </c>
      <c r="EP58" s="231">
        <v>18977.599999999999</v>
      </c>
      <c r="EQ58" s="231">
        <v>-10974.21</v>
      </c>
      <c r="ER58" s="229">
        <v>-0.57830000000000004</v>
      </c>
      <c r="ES58" s="228">
        <v>980.07</v>
      </c>
      <c r="ET58" s="228">
        <v>727.4</v>
      </c>
      <c r="EU58" s="231">
        <v>3045.25</v>
      </c>
      <c r="EV58" s="231">
        <v>6478285</v>
      </c>
      <c r="EW58" s="231">
        <v>4752.72</v>
      </c>
      <c r="EX58" s="231">
        <v>7335.22</v>
      </c>
      <c r="EY58" s="231">
        <v>-2582.5</v>
      </c>
      <c r="EZ58" s="229">
        <v>-0.35210000000000002</v>
      </c>
      <c r="FA58" s="229">
        <v>0.63260000000000005</v>
      </c>
      <c r="FB58" s="227" t="s">
        <v>567</v>
      </c>
      <c r="FC58">
        <f t="shared" si="0"/>
        <v>2832</v>
      </c>
    </row>
    <row r="59" spans="1:159" ht="17.25" thickBot="1" x14ac:dyDescent="0.3">
      <c r="A59" s="226">
        <v>46168</v>
      </c>
      <c r="B59" s="227" t="s">
        <v>206</v>
      </c>
      <c r="C59" s="227" t="s">
        <v>207</v>
      </c>
      <c r="D59" s="228">
        <v>825</v>
      </c>
      <c r="E59" s="228">
        <v>0</v>
      </c>
      <c r="F59" s="228">
        <v>593.04999999999995</v>
      </c>
      <c r="G59" s="228">
        <v>597</v>
      </c>
      <c r="H59" s="228">
        <v>-3.95</v>
      </c>
      <c r="I59" s="229">
        <v>-6.6E-3</v>
      </c>
      <c r="J59" s="228">
        <v>589.79999999999995</v>
      </c>
      <c r="K59" s="228">
        <v>592.29999999999995</v>
      </c>
      <c r="L59" s="228">
        <v>-2.5</v>
      </c>
      <c r="M59" s="229">
        <v>-4.1999999999999997E-3</v>
      </c>
      <c r="N59" s="228">
        <v>588.95000000000005</v>
      </c>
      <c r="O59" s="228">
        <v>593.35</v>
      </c>
      <c r="P59" s="228">
        <v>-4.4000000000000004</v>
      </c>
      <c r="Q59" s="229">
        <v>-7.4000000000000003E-3</v>
      </c>
      <c r="R59" s="228">
        <v>593.04999999999995</v>
      </c>
      <c r="S59" s="228">
        <v>597</v>
      </c>
      <c r="T59" s="228">
        <v>-3.95</v>
      </c>
      <c r="U59" s="229">
        <v>-6.6E-3</v>
      </c>
      <c r="V59" s="228">
        <v>593.54999999999995</v>
      </c>
      <c r="W59" s="228">
        <v>596.15</v>
      </c>
      <c r="X59" s="228">
        <v>-2.6</v>
      </c>
      <c r="Y59" s="229">
        <v>-4.4000000000000003E-3</v>
      </c>
      <c r="Z59" s="228">
        <v>3.25</v>
      </c>
      <c r="AA59" s="228">
        <v>1.05</v>
      </c>
      <c r="AB59" s="228">
        <v>2.2000000000000002</v>
      </c>
      <c r="AC59" s="229">
        <v>5.4999999999999997E-3</v>
      </c>
      <c r="AD59" s="228">
        <v>-0.85</v>
      </c>
      <c r="AE59" s="228">
        <v>1.05</v>
      </c>
      <c r="AF59" s="228">
        <v>-1.9</v>
      </c>
      <c r="AG59" s="229">
        <v>-1.4E-3</v>
      </c>
      <c r="AH59" s="228">
        <v>3.25</v>
      </c>
      <c r="AI59" s="228">
        <v>4.7</v>
      </c>
      <c r="AJ59" s="228">
        <v>-1.45</v>
      </c>
      <c r="AK59" s="229">
        <v>5.4999999999999997E-3</v>
      </c>
      <c r="AL59" s="228">
        <v>3.75</v>
      </c>
      <c r="AM59" s="228">
        <v>3.85</v>
      </c>
      <c r="AN59" s="228">
        <v>-0.1</v>
      </c>
      <c r="AO59" s="229">
        <v>6.4000000000000003E-3</v>
      </c>
      <c r="AP59" s="228">
        <v>591.59</v>
      </c>
      <c r="AQ59" s="228">
        <v>595.33000000000004</v>
      </c>
      <c r="AR59" s="228">
        <v>0</v>
      </c>
      <c r="AS59" s="228">
        <v>833</v>
      </c>
      <c r="AT59" s="230">
        <v>1330</v>
      </c>
      <c r="AU59" s="228">
        <v>-497</v>
      </c>
      <c r="AV59" s="229">
        <v>-0.37369999999999998</v>
      </c>
      <c r="AW59" s="228">
        <v>369</v>
      </c>
      <c r="AX59" s="228">
        <v>633</v>
      </c>
      <c r="AY59" s="228">
        <v>-264</v>
      </c>
      <c r="AZ59" s="229">
        <v>-0.41710000000000003</v>
      </c>
      <c r="BA59" s="228">
        <v>453</v>
      </c>
      <c r="BB59" s="228">
        <v>687</v>
      </c>
      <c r="BC59" s="228">
        <v>-234</v>
      </c>
      <c r="BD59" s="229">
        <v>-0.3407</v>
      </c>
      <c r="BE59" s="228">
        <v>11</v>
      </c>
      <c r="BF59" s="228">
        <v>10</v>
      </c>
      <c r="BG59" s="228">
        <v>1</v>
      </c>
      <c r="BH59" s="229">
        <v>9.0499999999999997E-2</v>
      </c>
      <c r="BI59" s="228">
        <v>625</v>
      </c>
      <c r="BJ59" s="228">
        <v>685</v>
      </c>
      <c r="BK59" s="228">
        <v>-60</v>
      </c>
      <c r="BL59" s="229">
        <v>-8.7499999999999994E-2</v>
      </c>
      <c r="BM59" s="228">
        <v>343</v>
      </c>
      <c r="BN59" s="228">
        <v>403</v>
      </c>
      <c r="BO59" s="228">
        <v>-60</v>
      </c>
      <c r="BP59" s="229">
        <v>-0.14799999999999999</v>
      </c>
      <c r="BQ59" s="230">
        <v>1802</v>
      </c>
      <c r="BR59" s="230">
        <v>2418</v>
      </c>
      <c r="BS59" s="228">
        <v>-617</v>
      </c>
      <c r="BT59" s="229">
        <v>-0.255</v>
      </c>
      <c r="BU59" s="230">
        <v>2643653</v>
      </c>
      <c r="BV59" s="230">
        <v>2215399</v>
      </c>
      <c r="BW59" s="230">
        <v>428254</v>
      </c>
      <c r="BX59" s="229">
        <v>0.1933</v>
      </c>
      <c r="BY59" s="230">
        <v>2442</v>
      </c>
      <c r="BZ59" s="230">
        <v>2488</v>
      </c>
      <c r="CA59" s="228">
        <v>-46</v>
      </c>
      <c r="CB59" s="229">
        <v>-1.83E-2</v>
      </c>
      <c r="CC59" s="228">
        <v>85</v>
      </c>
      <c r="CD59" s="228">
        <v>341</v>
      </c>
      <c r="CE59" s="228">
        <v>-256</v>
      </c>
      <c r="CF59" s="229">
        <v>-0.75170000000000003</v>
      </c>
      <c r="CG59" s="230">
        <v>2409</v>
      </c>
      <c r="CH59" s="230">
        <v>2123</v>
      </c>
      <c r="CI59" s="228">
        <v>286</v>
      </c>
      <c r="CJ59" s="229">
        <v>0.1346</v>
      </c>
      <c r="CK59" s="228">
        <v>34</v>
      </c>
      <c r="CL59" s="228">
        <v>24</v>
      </c>
      <c r="CM59" s="228">
        <v>9</v>
      </c>
      <c r="CN59" s="229">
        <v>0.39340000000000003</v>
      </c>
      <c r="CO59" s="228">
        <v>314</v>
      </c>
      <c r="CP59" s="228">
        <v>614</v>
      </c>
      <c r="CQ59" s="228">
        <v>-300</v>
      </c>
      <c r="CR59" s="229">
        <v>-0.4889</v>
      </c>
      <c r="CS59" s="228">
        <v>236</v>
      </c>
      <c r="CT59" s="228">
        <v>461</v>
      </c>
      <c r="CU59" s="228">
        <v>-225</v>
      </c>
      <c r="CV59" s="229">
        <v>-0.48780000000000001</v>
      </c>
      <c r="CW59" s="230">
        <v>2993</v>
      </c>
      <c r="CX59" s="230">
        <v>3563</v>
      </c>
      <c r="CY59" s="228">
        <v>-571</v>
      </c>
      <c r="CZ59" s="229">
        <v>-0.16020000000000001</v>
      </c>
      <c r="DA59" s="228">
        <v>30.71</v>
      </c>
      <c r="DB59" s="228">
        <v>32.06</v>
      </c>
      <c r="DC59" s="228">
        <v>-1.35</v>
      </c>
      <c r="DD59" s="228">
        <v>-1.35</v>
      </c>
      <c r="DE59" s="228">
        <v>37.53</v>
      </c>
      <c r="DF59" s="228">
        <v>37.619999999999997</v>
      </c>
      <c r="DG59" s="228">
        <v>-6.82</v>
      </c>
      <c r="DH59" s="228">
        <v>-0.09</v>
      </c>
      <c r="DI59" s="228">
        <v>30.59</v>
      </c>
      <c r="DJ59" s="228">
        <v>32.11</v>
      </c>
      <c r="DK59" s="228">
        <v>-1.52</v>
      </c>
      <c r="DL59" s="228">
        <v>-1.52</v>
      </c>
      <c r="DM59" s="228">
        <v>30.95</v>
      </c>
      <c r="DN59" s="228">
        <v>31.98</v>
      </c>
      <c r="DO59" s="228">
        <v>-1.03</v>
      </c>
      <c r="DP59" s="228">
        <v>-1.03</v>
      </c>
      <c r="DQ59" s="228">
        <v>0.75</v>
      </c>
      <c r="DR59" s="228">
        <v>0.75</v>
      </c>
      <c r="DS59" s="228">
        <v>0</v>
      </c>
      <c r="DT59" s="229">
        <v>0</v>
      </c>
      <c r="DU59" s="228">
        <v>600</v>
      </c>
      <c r="DV59" s="228">
        <v>590</v>
      </c>
      <c r="DW59" s="228">
        <v>0.55000000000000004</v>
      </c>
      <c r="DX59" s="228">
        <v>0.59</v>
      </c>
      <c r="DY59" s="228">
        <v>-0.04</v>
      </c>
      <c r="DZ59" s="229">
        <v>-6.7799999999999999E-2</v>
      </c>
      <c r="EA59" s="229">
        <v>0.96650000000000003</v>
      </c>
      <c r="EB59" s="230">
        <v>36204875</v>
      </c>
      <c r="EC59" s="229">
        <v>7.0000000000000001E-3</v>
      </c>
      <c r="ED59" s="229">
        <v>0.96650000000000003</v>
      </c>
      <c r="EE59" s="228">
        <v>3.74</v>
      </c>
      <c r="EF59" s="229">
        <v>6.3E-3</v>
      </c>
      <c r="EG59" s="230">
        <v>1400466</v>
      </c>
      <c r="EH59" s="230">
        <v>1102781</v>
      </c>
      <c r="EI59" s="229">
        <v>0.26989999999999997</v>
      </c>
      <c r="EJ59" s="229">
        <v>0.52969999999999995</v>
      </c>
      <c r="EK59" s="228">
        <v>655.84</v>
      </c>
      <c r="EL59" s="228">
        <v>356.5</v>
      </c>
      <c r="EM59" s="228">
        <v>835.7</v>
      </c>
      <c r="EN59" s="228">
        <v>196.49</v>
      </c>
      <c r="EO59" s="231">
        <v>1848.04</v>
      </c>
      <c r="EP59" s="231">
        <v>2447.4</v>
      </c>
      <c r="EQ59" s="228">
        <v>-599.36</v>
      </c>
      <c r="ER59" s="229">
        <v>-0.24490000000000001</v>
      </c>
      <c r="ES59" s="228">
        <v>325.23</v>
      </c>
      <c r="ET59" s="228">
        <v>237.41</v>
      </c>
      <c r="EU59" s="231">
        <v>2442.31</v>
      </c>
      <c r="EV59" s="231">
        <v>96251298</v>
      </c>
      <c r="EW59" s="231">
        <v>3004.95</v>
      </c>
      <c r="EX59" s="231">
        <v>3590.66</v>
      </c>
      <c r="EY59" s="228">
        <v>-585.71</v>
      </c>
      <c r="EZ59" s="229">
        <v>-0.16309999999999999</v>
      </c>
      <c r="FA59" s="229">
        <v>0.5242</v>
      </c>
      <c r="FB59" s="227" t="s">
        <v>567</v>
      </c>
      <c r="FC59">
        <f t="shared" si="0"/>
        <v>2357</v>
      </c>
    </row>
    <row r="60" spans="1:159" ht="17.25" thickBot="1" x14ac:dyDescent="0.3">
      <c r="A60" s="226">
        <v>46168</v>
      </c>
      <c r="B60" s="227" t="s">
        <v>614</v>
      </c>
      <c r="C60" s="227" t="s">
        <v>582</v>
      </c>
      <c r="D60" s="228">
        <v>150</v>
      </c>
      <c r="E60" s="228">
        <v>0</v>
      </c>
      <c r="F60" s="231">
        <v>4136.2</v>
      </c>
      <c r="G60" s="231">
        <v>4114.3999999999996</v>
      </c>
      <c r="H60" s="228">
        <v>21.8</v>
      </c>
      <c r="I60" s="229">
        <v>5.3E-3</v>
      </c>
      <c r="J60" s="231">
        <v>4103.6000000000004</v>
      </c>
      <c r="K60" s="231">
        <v>4097.2</v>
      </c>
      <c r="L60" s="228">
        <v>6.4</v>
      </c>
      <c r="M60" s="229">
        <v>1.6000000000000001E-3</v>
      </c>
      <c r="N60" s="231">
        <v>4115.1000000000004</v>
      </c>
      <c r="O60" s="231">
        <v>4107</v>
      </c>
      <c r="P60" s="228">
        <v>8.1</v>
      </c>
      <c r="Q60" s="229">
        <v>2E-3</v>
      </c>
      <c r="R60" s="231">
        <v>4136.2</v>
      </c>
      <c r="S60" s="231">
        <v>4114.3999999999996</v>
      </c>
      <c r="T60" s="228">
        <v>21.8</v>
      </c>
      <c r="U60" s="229">
        <v>5.3E-3</v>
      </c>
      <c r="V60" s="231">
        <v>4141.2</v>
      </c>
      <c r="W60" s="231">
        <v>4124.6000000000004</v>
      </c>
      <c r="X60" s="228">
        <v>16.600000000000001</v>
      </c>
      <c r="Y60" s="229">
        <v>4.0000000000000001E-3</v>
      </c>
      <c r="Z60" s="228">
        <v>32.6</v>
      </c>
      <c r="AA60" s="228">
        <v>9.8000000000000007</v>
      </c>
      <c r="AB60" s="228">
        <v>22.8</v>
      </c>
      <c r="AC60" s="229">
        <v>7.9000000000000008E-3</v>
      </c>
      <c r="AD60" s="228">
        <v>11.5</v>
      </c>
      <c r="AE60" s="228">
        <v>9.8000000000000007</v>
      </c>
      <c r="AF60" s="228">
        <v>1.7</v>
      </c>
      <c r="AG60" s="229">
        <v>2.8E-3</v>
      </c>
      <c r="AH60" s="228">
        <v>32.6</v>
      </c>
      <c r="AI60" s="228">
        <v>17.2</v>
      </c>
      <c r="AJ60" s="228">
        <v>15.4</v>
      </c>
      <c r="AK60" s="229">
        <v>7.9000000000000008E-3</v>
      </c>
      <c r="AL60" s="228">
        <v>37.6</v>
      </c>
      <c r="AM60" s="228">
        <v>27.4</v>
      </c>
      <c r="AN60" s="228">
        <v>10.199999999999999</v>
      </c>
      <c r="AO60" s="229">
        <v>9.1999999999999998E-3</v>
      </c>
      <c r="AP60" s="231">
        <v>4104.76</v>
      </c>
      <c r="AQ60" s="231">
        <v>4125.74</v>
      </c>
      <c r="AR60" s="228">
        <v>0</v>
      </c>
      <c r="AS60" s="228">
        <v>471</v>
      </c>
      <c r="AT60" s="228">
        <v>638</v>
      </c>
      <c r="AU60" s="228">
        <v>-168</v>
      </c>
      <c r="AV60" s="229">
        <v>-0.2626</v>
      </c>
      <c r="AW60" s="228">
        <v>176</v>
      </c>
      <c r="AX60" s="228">
        <v>282</v>
      </c>
      <c r="AY60" s="228">
        <v>-106</v>
      </c>
      <c r="AZ60" s="229">
        <v>-0.3765</v>
      </c>
      <c r="BA60" s="228">
        <v>290</v>
      </c>
      <c r="BB60" s="228">
        <v>352</v>
      </c>
      <c r="BC60" s="228">
        <v>-62</v>
      </c>
      <c r="BD60" s="229">
        <v>-0.17660000000000001</v>
      </c>
      <c r="BE60" s="228">
        <v>5</v>
      </c>
      <c r="BF60" s="228">
        <v>4</v>
      </c>
      <c r="BG60" s="228">
        <v>1</v>
      </c>
      <c r="BH60" s="229">
        <v>0.24590000000000001</v>
      </c>
      <c r="BI60" s="228">
        <v>983</v>
      </c>
      <c r="BJ60" s="230">
        <v>1187</v>
      </c>
      <c r="BK60" s="228">
        <v>-204</v>
      </c>
      <c r="BL60" s="229">
        <v>-0.17169999999999999</v>
      </c>
      <c r="BM60" s="228">
        <v>459</v>
      </c>
      <c r="BN60" s="228">
        <v>452</v>
      </c>
      <c r="BO60" s="228">
        <v>7</v>
      </c>
      <c r="BP60" s="229">
        <v>1.6500000000000001E-2</v>
      </c>
      <c r="BQ60" s="230">
        <v>1913</v>
      </c>
      <c r="BR60" s="230">
        <v>2277</v>
      </c>
      <c r="BS60" s="228">
        <v>-364</v>
      </c>
      <c r="BT60" s="229">
        <v>-0.1598</v>
      </c>
      <c r="BU60" s="230">
        <v>488702</v>
      </c>
      <c r="BV60" s="230">
        <v>296101</v>
      </c>
      <c r="BW60" s="230">
        <v>192601</v>
      </c>
      <c r="BX60" s="229">
        <v>0.65049999999999997</v>
      </c>
      <c r="BY60" s="230">
        <v>1511</v>
      </c>
      <c r="BZ60" s="230">
        <v>1672</v>
      </c>
      <c r="CA60" s="228">
        <v>-161</v>
      </c>
      <c r="CB60" s="229">
        <v>-9.6100000000000005E-2</v>
      </c>
      <c r="CC60" s="228">
        <v>205</v>
      </c>
      <c r="CD60" s="228">
        <v>309</v>
      </c>
      <c r="CE60" s="228">
        <v>-104</v>
      </c>
      <c r="CF60" s="229">
        <v>-0.33729999999999999</v>
      </c>
      <c r="CG60" s="230">
        <v>1500</v>
      </c>
      <c r="CH60" s="230">
        <v>1353</v>
      </c>
      <c r="CI60" s="228">
        <v>147</v>
      </c>
      <c r="CJ60" s="229">
        <v>0.1084</v>
      </c>
      <c r="CK60" s="228">
        <v>11</v>
      </c>
      <c r="CL60" s="228">
        <v>9</v>
      </c>
      <c r="CM60" s="228">
        <v>2</v>
      </c>
      <c r="CN60" s="229">
        <v>0.22819999999999999</v>
      </c>
      <c r="CO60" s="228">
        <v>249</v>
      </c>
      <c r="CP60" s="228">
        <v>832</v>
      </c>
      <c r="CQ60" s="228">
        <v>-583</v>
      </c>
      <c r="CR60" s="229">
        <v>-0.70099999999999996</v>
      </c>
      <c r="CS60" s="228">
        <v>196</v>
      </c>
      <c r="CT60" s="228">
        <v>374</v>
      </c>
      <c r="CU60" s="228">
        <v>-178</v>
      </c>
      <c r="CV60" s="229">
        <v>-0.47660000000000002</v>
      </c>
      <c r="CW60" s="230">
        <v>1955</v>
      </c>
      <c r="CX60" s="230">
        <v>2877</v>
      </c>
      <c r="CY60" s="228">
        <v>-922</v>
      </c>
      <c r="CZ60" s="229">
        <v>-0.32040000000000002</v>
      </c>
      <c r="DA60" s="228">
        <v>22.99</v>
      </c>
      <c r="DB60" s="228">
        <v>23.87</v>
      </c>
      <c r="DC60" s="228">
        <v>-0.88</v>
      </c>
      <c r="DD60" s="228">
        <v>-0.88</v>
      </c>
      <c r="DE60" s="228">
        <v>32.590000000000003</v>
      </c>
      <c r="DF60" s="228">
        <v>32.659999999999997</v>
      </c>
      <c r="DG60" s="228">
        <v>-9.6</v>
      </c>
      <c r="DH60" s="228">
        <v>-7.0000000000000007E-2</v>
      </c>
      <c r="DI60" s="228">
        <v>22.26</v>
      </c>
      <c r="DJ60" s="228">
        <v>23.78</v>
      </c>
      <c r="DK60" s="228">
        <v>-1.52</v>
      </c>
      <c r="DL60" s="228">
        <v>-1.52</v>
      </c>
      <c r="DM60" s="228">
        <v>24.19</v>
      </c>
      <c r="DN60" s="228">
        <v>24.04</v>
      </c>
      <c r="DO60" s="228">
        <v>0.15</v>
      </c>
      <c r="DP60" s="228">
        <v>0.15</v>
      </c>
      <c r="DQ60" s="228">
        <v>0.79</v>
      </c>
      <c r="DR60" s="228">
        <v>0.45</v>
      </c>
      <c r="DS60" s="228">
        <v>0.34</v>
      </c>
      <c r="DT60" s="229">
        <v>0.75560000000000005</v>
      </c>
      <c r="DU60" s="231">
        <v>4200</v>
      </c>
      <c r="DV60" s="231">
        <v>3800</v>
      </c>
      <c r="DW60" s="228">
        <v>0.47</v>
      </c>
      <c r="DX60" s="228">
        <v>0.38</v>
      </c>
      <c r="DY60" s="228">
        <v>0.09</v>
      </c>
      <c r="DZ60" s="229">
        <v>0.23680000000000001</v>
      </c>
      <c r="EA60" s="229">
        <v>0.88049999999999995</v>
      </c>
      <c r="EB60" s="230">
        <v>3293250</v>
      </c>
      <c r="EC60" s="229">
        <v>5.1000000000000004E-3</v>
      </c>
      <c r="ED60" s="229">
        <v>0.88049999999999995</v>
      </c>
      <c r="EE60" s="228">
        <v>20.98</v>
      </c>
      <c r="EF60" s="229">
        <v>5.1000000000000004E-3</v>
      </c>
      <c r="EG60" s="230">
        <v>271139</v>
      </c>
      <c r="EH60" s="230">
        <v>160652</v>
      </c>
      <c r="EI60" s="229">
        <v>0.68769999999999998</v>
      </c>
      <c r="EJ60" s="229">
        <v>0.55479999999999996</v>
      </c>
      <c r="EK60" s="231">
        <v>1035.53</v>
      </c>
      <c r="EL60" s="228">
        <v>452.51</v>
      </c>
      <c r="EM60" s="228">
        <v>468.58</v>
      </c>
      <c r="EN60" s="228">
        <v>126.44</v>
      </c>
      <c r="EO60" s="231">
        <v>1956.61</v>
      </c>
      <c r="EP60" s="231">
        <v>2328.31</v>
      </c>
      <c r="EQ60" s="228">
        <v>-371.69</v>
      </c>
      <c r="ER60" s="229">
        <v>-0.15959999999999999</v>
      </c>
      <c r="ES60" s="228">
        <v>259.13</v>
      </c>
      <c r="ET60" s="228">
        <v>187.92</v>
      </c>
      <c r="EU60" s="231">
        <v>1510.88</v>
      </c>
      <c r="EV60" s="231">
        <v>16494391</v>
      </c>
      <c r="EW60" s="231">
        <v>1957.93</v>
      </c>
      <c r="EX60" s="231">
        <v>2941.62</v>
      </c>
      <c r="EY60" s="228">
        <v>-983.69</v>
      </c>
      <c r="EZ60" s="229">
        <v>-0.33439999999999998</v>
      </c>
      <c r="FA60" s="229">
        <v>0.28660000000000002</v>
      </c>
      <c r="FB60" s="227" t="s">
        <v>691</v>
      </c>
      <c r="FC60">
        <f t="shared" si="0"/>
        <v>1306</v>
      </c>
    </row>
    <row r="61" spans="1:159" ht="17.25" thickBot="1" x14ac:dyDescent="0.3">
      <c r="A61" s="226">
        <v>46168</v>
      </c>
      <c r="B61" s="227" t="s">
        <v>170</v>
      </c>
      <c r="C61" s="227" t="s">
        <v>208</v>
      </c>
      <c r="D61" s="228">
        <v>625</v>
      </c>
      <c r="E61" s="228">
        <v>0</v>
      </c>
      <c r="F61" s="231">
        <v>1326.5</v>
      </c>
      <c r="G61" s="231">
        <v>1334.8</v>
      </c>
      <c r="H61" s="228">
        <v>-8.3000000000000007</v>
      </c>
      <c r="I61" s="229">
        <v>-6.1999999999999998E-3</v>
      </c>
      <c r="J61" s="231">
        <v>1327.9</v>
      </c>
      <c r="K61" s="231">
        <v>1331.4</v>
      </c>
      <c r="L61" s="228">
        <v>-3.5</v>
      </c>
      <c r="M61" s="229">
        <v>-2.5999999999999999E-3</v>
      </c>
      <c r="N61" s="231">
        <v>1332.6</v>
      </c>
      <c r="O61" s="231">
        <v>1337.4</v>
      </c>
      <c r="P61" s="228">
        <v>-4.8</v>
      </c>
      <c r="Q61" s="229">
        <v>-3.5999999999999999E-3</v>
      </c>
      <c r="R61" s="231">
        <v>1326.5</v>
      </c>
      <c r="S61" s="231">
        <v>1334.8</v>
      </c>
      <c r="T61" s="228">
        <v>-8.3000000000000007</v>
      </c>
      <c r="U61" s="229">
        <v>-6.1999999999999998E-3</v>
      </c>
      <c r="V61" s="231">
        <v>1320.2</v>
      </c>
      <c r="W61" s="231">
        <v>1330</v>
      </c>
      <c r="X61" s="228">
        <v>-9.8000000000000007</v>
      </c>
      <c r="Y61" s="229">
        <v>-7.4000000000000003E-3</v>
      </c>
      <c r="Z61" s="228">
        <v>-1.4</v>
      </c>
      <c r="AA61" s="228">
        <v>6</v>
      </c>
      <c r="AB61" s="228">
        <v>-7.4</v>
      </c>
      <c r="AC61" s="229">
        <v>-1.1000000000000001E-3</v>
      </c>
      <c r="AD61" s="228">
        <v>4.7</v>
      </c>
      <c r="AE61" s="228">
        <v>6</v>
      </c>
      <c r="AF61" s="228">
        <v>-1.3</v>
      </c>
      <c r="AG61" s="229">
        <v>3.5000000000000001E-3</v>
      </c>
      <c r="AH61" s="228">
        <v>-1.4</v>
      </c>
      <c r="AI61" s="228">
        <v>3.4</v>
      </c>
      <c r="AJ61" s="228">
        <v>-4.8</v>
      </c>
      <c r="AK61" s="229">
        <v>-1.1000000000000001E-3</v>
      </c>
      <c r="AL61" s="228">
        <v>-7.7</v>
      </c>
      <c r="AM61" s="228">
        <v>-1.4</v>
      </c>
      <c r="AN61" s="228">
        <v>-6.3</v>
      </c>
      <c r="AO61" s="229">
        <v>-5.7999999999999996E-3</v>
      </c>
      <c r="AP61" s="231">
        <v>1337.36</v>
      </c>
      <c r="AQ61" s="231">
        <v>1332.27</v>
      </c>
      <c r="AR61" s="228">
        <v>0</v>
      </c>
      <c r="AS61" s="230">
        <v>1017</v>
      </c>
      <c r="AT61" s="230">
        <v>1360</v>
      </c>
      <c r="AU61" s="228">
        <v>-343</v>
      </c>
      <c r="AV61" s="229">
        <v>-0.25230000000000002</v>
      </c>
      <c r="AW61" s="228">
        <v>573</v>
      </c>
      <c r="AX61" s="228">
        <v>683</v>
      </c>
      <c r="AY61" s="228">
        <v>-110</v>
      </c>
      <c r="AZ61" s="229">
        <v>-0.16070000000000001</v>
      </c>
      <c r="BA61" s="228">
        <v>439</v>
      </c>
      <c r="BB61" s="228">
        <v>668</v>
      </c>
      <c r="BC61" s="228">
        <v>-228</v>
      </c>
      <c r="BD61" s="229">
        <v>-0.3422</v>
      </c>
      <c r="BE61" s="228">
        <v>5</v>
      </c>
      <c r="BF61" s="228">
        <v>10</v>
      </c>
      <c r="BG61" s="228">
        <v>-5</v>
      </c>
      <c r="BH61" s="229">
        <v>-0.52139999999999997</v>
      </c>
      <c r="BI61" s="230">
        <v>1156</v>
      </c>
      <c r="BJ61" s="230">
        <v>2237</v>
      </c>
      <c r="BK61" s="230">
        <v>-1081</v>
      </c>
      <c r="BL61" s="229">
        <v>-0.48309999999999997</v>
      </c>
      <c r="BM61" s="228">
        <v>703</v>
      </c>
      <c r="BN61" s="230">
        <v>1273</v>
      </c>
      <c r="BO61" s="228">
        <v>-570</v>
      </c>
      <c r="BP61" s="229">
        <v>-0.44769999999999999</v>
      </c>
      <c r="BQ61" s="230">
        <v>2876</v>
      </c>
      <c r="BR61" s="230">
        <v>4870</v>
      </c>
      <c r="BS61" s="230">
        <v>-1994</v>
      </c>
      <c r="BT61" s="229">
        <v>-0.40939999999999999</v>
      </c>
      <c r="BU61" s="230">
        <v>1941505</v>
      </c>
      <c r="BV61" s="230">
        <v>4702818</v>
      </c>
      <c r="BW61" s="230">
        <v>-2761313</v>
      </c>
      <c r="BX61" s="229">
        <v>-0.58720000000000006</v>
      </c>
      <c r="BY61" s="230">
        <v>2331</v>
      </c>
      <c r="BZ61" s="230">
        <v>2922</v>
      </c>
      <c r="CA61" s="228">
        <v>-591</v>
      </c>
      <c r="CB61" s="229">
        <v>-0.2021</v>
      </c>
      <c r="CC61" s="228">
        <v>705</v>
      </c>
      <c r="CD61" s="228">
        <v>768</v>
      </c>
      <c r="CE61" s="228">
        <v>-63</v>
      </c>
      <c r="CF61" s="229">
        <v>-8.2000000000000003E-2</v>
      </c>
      <c r="CG61" s="230">
        <v>2314</v>
      </c>
      <c r="CH61" s="230">
        <v>2139</v>
      </c>
      <c r="CI61" s="228">
        <v>175</v>
      </c>
      <c r="CJ61" s="229">
        <v>8.2000000000000003E-2</v>
      </c>
      <c r="CK61" s="228">
        <v>17</v>
      </c>
      <c r="CL61" s="228">
        <v>15</v>
      </c>
      <c r="CM61" s="228">
        <v>2</v>
      </c>
      <c r="CN61" s="229">
        <v>0.1389</v>
      </c>
      <c r="CO61" s="228">
        <v>338</v>
      </c>
      <c r="CP61" s="230">
        <v>1262</v>
      </c>
      <c r="CQ61" s="228">
        <v>-924</v>
      </c>
      <c r="CR61" s="229">
        <v>-0.73209999999999997</v>
      </c>
      <c r="CS61" s="228">
        <v>235</v>
      </c>
      <c r="CT61" s="228">
        <v>754</v>
      </c>
      <c r="CU61" s="228">
        <v>-519</v>
      </c>
      <c r="CV61" s="229">
        <v>-0.68869999999999998</v>
      </c>
      <c r="CW61" s="230">
        <v>2904</v>
      </c>
      <c r="CX61" s="230">
        <v>4939</v>
      </c>
      <c r="CY61" s="230">
        <v>-2034</v>
      </c>
      <c r="CZ61" s="229">
        <v>-0.41189999999999999</v>
      </c>
      <c r="DA61" s="228">
        <v>24</v>
      </c>
      <c r="DB61" s="228">
        <v>24.84</v>
      </c>
      <c r="DC61" s="228">
        <v>-0.84</v>
      </c>
      <c r="DD61" s="228">
        <v>-0.84</v>
      </c>
      <c r="DE61" s="228">
        <v>28.57</v>
      </c>
      <c r="DF61" s="228">
        <v>28.64</v>
      </c>
      <c r="DG61" s="228">
        <v>-4.57</v>
      </c>
      <c r="DH61" s="228">
        <v>-7.0000000000000007E-2</v>
      </c>
      <c r="DI61" s="228">
        <v>23.96</v>
      </c>
      <c r="DJ61" s="228">
        <v>24.57</v>
      </c>
      <c r="DK61" s="228">
        <v>-0.61</v>
      </c>
      <c r="DL61" s="228">
        <v>-0.61</v>
      </c>
      <c r="DM61" s="228">
        <v>24.07</v>
      </c>
      <c r="DN61" s="228">
        <v>25.26</v>
      </c>
      <c r="DO61" s="228">
        <v>-1.19</v>
      </c>
      <c r="DP61" s="228">
        <v>-1.19</v>
      </c>
      <c r="DQ61" s="228">
        <v>0.69</v>
      </c>
      <c r="DR61" s="228">
        <v>0.6</v>
      </c>
      <c r="DS61" s="228">
        <v>0.09</v>
      </c>
      <c r="DT61" s="229">
        <v>0.15</v>
      </c>
      <c r="DU61" s="231">
        <v>1400</v>
      </c>
      <c r="DV61" s="231">
        <v>1200</v>
      </c>
      <c r="DW61" s="228">
        <v>0.61</v>
      </c>
      <c r="DX61" s="228">
        <v>0.56999999999999995</v>
      </c>
      <c r="DY61" s="228">
        <v>0.04</v>
      </c>
      <c r="DZ61" s="229">
        <v>7.0199999999999999E-2</v>
      </c>
      <c r="EA61" s="229">
        <v>0.76780000000000004</v>
      </c>
      <c r="EB61" s="230">
        <v>16237500</v>
      </c>
      <c r="EC61" s="229">
        <v>-4.5999999999999999E-3</v>
      </c>
      <c r="ED61" s="229">
        <v>0.76780000000000004</v>
      </c>
      <c r="EE61" s="228">
        <v>-5.09</v>
      </c>
      <c r="EF61" s="229">
        <v>-3.8E-3</v>
      </c>
      <c r="EG61" s="230">
        <v>1131214</v>
      </c>
      <c r="EH61" s="230">
        <v>3402992</v>
      </c>
      <c r="EI61" s="229">
        <v>-0.66759999999999997</v>
      </c>
      <c r="EJ61" s="229">
        <v>0.58260000000000001</v>
      </c>
      <c r="EK61" s="231">
        <v>1196.18</v>
      </c>
      <c r="EL61" s="228">
        <v>701.69</v>
      </c>
      <c r="EM61" s="231">
        <v>1023.79</v>
      </c>
      <c r="EN61" s="228">
        <v>162.22999999999999</v>
      </c>
      <c r="EO61" s="231">
        <v>2921.66</v>
      </c>
      <c r="EP61" s="231">
        <v>4885.66</v>
      </c>
      <c r="EQ61" s="231">
        <v>-1964.01</v>
      </c>
      <c r="ER61" s="229">
        <v>-0.40200000000000002</v>
      </c>
      <c r="ES61" s="228">
        <v>349.09</v>
      </c>
      <c r="ET61" s="228">
        <v>227.11</v>
      </c>
      <c r="EU61" s="231">
        <v>2331.2399999999998</v>
      </c>
      <c r="EV61" s="231">
        <v>61026255</v>
      </c>
      <c r="EW61" s="231">
        <v>2907.44</v>
      </c>
      <c r="EX61" s="231">
        <v>4957.18</v>
      </c>
      <c r="EY61" s="231">
        <v>-2049.7399999999998</v>
      </c>
      <c r="EZ61" s="229">
        <v>-0.41349999999999998</v>
      </c>
      <c r="FA61" s="229">
        <v>0.35880000000000001</v>
      </c>
      <c r="FB61" s="227" t="s">
        <v>567</v>
      </c>
      <c r="FC61">
        <f t="shared" si="0"/>
        <v>1626</v>
      </c>
    </row>
    <row r="62" spans="1:159" ht="17.25" thickBot="1" x14ac:dyDescent="0.3">
      <c r="A62" s="226">
        <v>46168</v>
      </c>
      <c r="B62" s="227" t="s">
        <v>162</v>
      </c>
      <c r="C62" s="227" t="s">
        <v>209</v>
      </c>
      <c r="D62" s="228">
        <v>100</v>
      </c>
      <c r="E62" s="228">
        <v>0</v>
      </c>
      <c r="F62" s="231">
        <v>7412</v>
      </c>
      <c r="G62" s="231">
        <v>7472</v>
      </c>
      <c r="H62" s="228">
        <v>-60</v>
      </c>
      <c r="I62" s="229">
        <v>-8.0000000000000002E-3</v>
      </c>
      <c r="J62" s="231">
        <v>7376</v>
      </c>
      <c r="K62" s="231">
        <v>7414</v>
      </c>
      <c r="L62" s="228">
        <v>-38</v>
      </c>
      <c r="M62" s="229">
        <v>-5.1000000000000004E-3</v>
      </c>
      <c r="N62" s="231">
        <v>7374.5</v>
      </c>
      <c r="O62" s="231">
        <v>7424.5</v>
      </c>
      <c r="P62" s="228">
        <v>-50</v>
      </c>
      <c r="Q62" s="229">
        <v>-6.7000000000000002E-3</v>
      </c>
      <c r="R62" s="231">
        <v>7412</v>
      </c>
      <c r="S62" s="231">
        <v>7472</v>
      </c>
      <c r="T62" s="228">
        <v>-60</v>
      </c>
      <c r="U62" s="229">
        <v>-8.0000000000000002E-3</v>
      </c>
      <c r="V62" s="231">
        <v>7446</v>
      </c>
      <c r="W62" s="231">
        <v>7496.5</v>
      </c>
      <c r="X62" s="228">
        <v>-50.5</v>
      </c>
      <c r="Y62" s="229">
        <v>-6.7000000000000002E-3</v>
      </c>
      <c r="Z62" s="228">
        <v>36</v>
      </c>
      <c r="AA62" s="228">
        <v>10.5</v>
      </c>
      <c r="AB62" s="228">
        <v>25.5</v>
      </c>
      <c r="AC62" s="229">
        <v>4.8999999999999998E-3</v>
      </c>
      <c r="AD62" s="228">
        <v>-1.5</v>
      </c>
      <c r="AE62" s="228">
        <v>10.5</v>
      </c>
      <c r="AF62" s="228">
        <v>-12</v>
      </c>
      <c r="AG62" s="229">
        <v>-2.0000000000000001E-4</v>
      </c>
      <c r="AH62" s="228">
        <v>36</v>
      </c>
      <c r="AI62" s="228">
        <v>58</v>
      </c>
      <c r="AJ62" s="228">
        <v>-22</v>
      </c>
      <c r="AK62" s="229">
        <v>4.8999999999999998E-3</v>
      </c>
      <c r="AL62" s="228">
        <v>70</v>
      </c>
      <c r="AM62" s="228">
        <v>82.5</v>
      </c>
      <c r="AN62" s="228">
        <v>-12.5</v>
      </c>
      <c r="AO62" s="229">
        <v>9.4999999999999998E-3</v>
      </c>
      <c r="AP62" s="231">
        <v>7402.85</v>
      </c>
      <c r="AQ62" s="231">
        <v>7442.32</v>
      </c>
      <c r="AR62" s="228">
        <v>0</v>
      </c>
      <c r="AS62" s="228">
        <v>468</v>
      </c>
      <c r="AT62" s="230">
        <v>2223</v>
      </c>
      <c r="AU62" s="230">
        <v>-1755</v>
      </c>
      <c r="AV62" s="229">
        <v>-0.78959999999999997</v>
      </c>
      <c r="AW62" s="228">
        <v>138</v>
      </c>
      <c r="AX62" s="228">
        <v>976</v>
      </c>
      <c r="AY62" s="228">
        <v>-838</v>
      </c>
      <c r="AZ62" s="229">
        <v>-0.85870000000000002</v>
      </c>
      <c r="BA62" s="228">
        <v>323</v>
      </c>
      <c r="BB62" s="230">
        <v>1234</v>
      </c>
      <c r="BC62" s="228">
        <v>-911</v>
      </c>
      <c r="BD62" s="229">
        <v>-0.73819999999999997</v>
      </c>
      <c r="BE62" s="228">
        <v>7</v>
      </c>
      <c r="BF62" s="228">
        <v>14</v>
      </c>
      <c r="BG62" s="228">
        <v>-7</v>
      </c>
      <c r="BH62" s="229">
        <v>-0.49730000000000002</v>
      </c>
      <c r="BI62" s="230">
        <v>3634</v>
      </c>
      <c r="BJ62" s="230">
        <v>14354</v>
      </c>
      <c r="BK62" s="230">
        <v>-10720</v>
      </c>
      <c r="BL62" s="229">
        <v>-0.74680000000000002</v>
      </c>
      <c r="BM62" s="230">
        <v>1517</v>
      </c>
      <c r="BN62" s="230">
        <v>5922</v>
      </c>
      <c r="BO62" s="230">
        <v>-4405</v>
      </c>
      <c r="BP62" s="229">
        <v>-0.74380000000000002</v>
      </c>
      <c r="BQ62" s="230">
        <v>5619</v>
      </c>
      <c r="BR62" s="230">
        <v>22499</v>
      </c>
      <c r="BS62" s="230">
        <v>-16880</v>
      </c>
      <c r="BT62" s="229">
        <v>-0.75029999999999997</v>
      </c>
      <c r="BU62" s="230">
        <v>419636</v>
      </c>
      <c r="BV62" s="230">
        <v>1477511</v>
      </c>
      <c r="BW62" s="230">
        <v>-1057875</v>
      </c>
      <c r="BX62" s="229">
        <v>-0.71599999999999997</v>
      </c>
      <c r="BY62" s="230">
        <v>2341</v>
      </c>
      <c r="BZ62" s="230">
        <v>2539</v>
      </c>
      <c r="CA62" s="228">
        <v>-197</v>
      </c>
      <c r="CB62" s="229">
        <v>-7.7799999999999994E-2</v>
      </c>
      <c r="CC62" s="228">
        <v>144</v>
      </c>
      <c r="CD62" s="228">
        <v>220</v>
      </c>
      <c r="CE62" s="228">
        <v>-76</v>
      </c>
      <c r="CF62" s="229">
        <v>-0.34560000000000002</v>
      </c>
      <c r="CG62" s="230">
        <v>2321</v>
      </c>
      <c r="CH62" s="230">
        <v>2299</v>
      </c>
      <c r="CI62" s="228">
        <v>22</v>
      </c>
      <c r="CJ62" s="229">
        <v>9.4000000000000004E-3</v>
      </c>
      <c r="CK62" s="228">
        <v>21</v>
      </c>
      <c r="CL62" s="228">
        <v>20</v>
      </c>
      <c r="CM62" s="228">
        <v>1</v>
      </c>
      <c r="CN62" s="229">
        <v>2.58E-2</v>
      </c>
      <c r="CO62" s="228">
        <v>773</v>
      </c>
      <c r="CP62" s="230">
        <v>1617</v>
      </c>
      <c r="CQ62" s="228">
        <v>-844</v>
      </c>
      <c r="CR62" s="229">
        <v>-0.52200000000000002</v>
      </c>
      <c r="CS62" s="228">
        <v>558</v>
      </c>
      <c r="CT62" s="230">
        <v>1258</v>
      </c>
      <c r="CU62" s="228">
        <v>-700</v>
      </c>
      <c r="CV62" s="229">
        <v>-0.55669999999999997</v>
      </c>
      <c r="CW62" s="230">
        <v>3672</v>
      </c>
      <c r="CX62" s="230">
        <v>5413</v>
      </c>
      <c r="CY62" s="230">
        <v>-1742</v>
      </c>
      <c r="CZ62" s="229">
        <v>-0.32169999999999999</v>
      </c>
      <c r="DA62" s="228">
        <v>26.08</v>
      </c>
      <c r="DB62" s="228">
        <v>26.89</v>
      </c>
      <c r="DC62" s="228">
        <v>-0.81</v>
      </c>
      <c r="DD62" s="228">
        <v>-0.81</v>
      </c>
      <c r="DE62" s="228">
        <v>33.619999999999997</v>
      </c>
      <c r="DF62" s="228">
        <v>33.700000000000003</v>
      </c>
      <c r="DG62" s="228">
        <v>-7.54</v>
      </c>
      <c r="DH62" s="228">
        <v>-0.08</v>
      </c>
      <c r="DI62" s="228">
        <v>26.3</v>
      </c>
      <c r="DJ62" s="228">
        <v>26.94</v>
      </c>
      <c r="DK62" s="228">
        <v>-0.64</v>
      </c>
      <c r="DL62" s="228">
        <v>-0.64</v>
      </c>
      <c r="DM62" s="228">
        <v>25.69</v>
      </c>
      <c r="DN62" s="228">
        <v>26.77</v>
      </c>
      <c r="DO62" s="228">
        <v>-1.08</v>
      </c>
      <c r="DP62" s="228">
        <v>-1.08</v>
      </c>
      <c r="DQ62" s="228">
        <v>0.72</v>
      </c>
      <c r="DR62" s="228">
        <v>0.78</v>
      </c>
      <c r="DS62" s="228">
        <v>-0.06</v>
      </c>
      <c r="DT62" s="229">
        <v>-7.6899999999999996E-2</v>
      </c>
      <c r="DU62" s="231">
        <v>8000</v>
      </c>
      <c r="DV62" s="231">
        <v>6800</v>
      </c>
      <c r="DW62" s="228">
        <v>0.42</v>
      </c>
      <c r="DX62" s="228">
        <v>0.41</v>
      </c>
      <c r="DY62" s="228">
        <v>0.01</v>
      </c>
      <c r="DZ62" s="229">
        <v>2.4400000000000002E-2</v>
      </c>
      <c r="EA62" s="229">
        <v>0.94220000000000004</v>
      </c>
      <c r="EB62" s="230">
        <v>3128700</v>
      </c>
      <c r="EC62" s="229">
        <v>5.1000000000000004E-3</v>
      </c>
      <c r="ED62" s="229">
        <v>0.94220000000000004</v>
      </c>
      <c r="EE62" s="228">
        <v>39.47</v>
      </c>
      <c r="EF62" s="229">
        <v>5.3E-3</v>
      </c>
      <c r="EG62" s="230">
        <v>195280</v>
      </c>
      <c r="EH62" s="230">
        <v>449714</v>
      </c>
      <c r="EI62" s="229">
        <v>-0.56579999999999997</v>
      </c>
      <c r="EJ62" s="229">
        <v>0.46539999999999998</v>
      </c>
      <c r="EK62" s="231">
        <v>3738.12</v>
      </c>
      <c r="EL62" s="231">
        <v>1493.27</v>
      </c>
      <c r="EM62" s="228">
        <v>469.05</v>
      </c>
      <c r="EN62" s="228">
        <v>158.63999999999999</v>
      </c>
      <c r="EO62" s="231">
        <v>5700.44</v>
      </c>
      <c r="EP62" s="231">
        <v>22637.23</v>
      </c>
      <c r="EQ62" s="231">
        <v>-16936.8</v>
      </c>
      <c r="ER62" s="229">
        <v>-0.74819999999999998</v>
      </c>
      <c r="ES62" s="228">
        <v>795.74</v>
      </c>
      <c r="ET62" s="228">
        <v>541.54</v>
      </c>
      <c r="EU62" s="231">
        <v>2341.3200000000002</v>
      </c>
      <c r="EV62" s="231">
        <v>20960143</v>
      </c>
      <c r="EW62" s="231">
        <v>3678.61</v>
      </c>
      <c r="EX62" s="231">
        <v>5404.69</v>
      </c>
      <c r="EY62" s="231">
        <v>-1726.08</v>
      </c>
      <c r="EZ62" s="229">
        <v>-0.31940000000000002</v>
      </c>
      <c r="FA62" s="229">
        <v>0.23630000000000001</v>
      </c>
      <c r="FB62" s="227" t="s">
        <v>567</v>
      </c>
      <c r="FC62">
        <f t="shared" si="0"/>
        <v>2197</v>
      </c>
    </row>
    <row r="63" spans="1:159" ht="17.25" thickBot="1" x14ac:dyDescent="0.3">
      <c r="A63" s="226">
        <v>46168</v>
      </c>
      <c r="B63" s="227" t="s">
        <v>614</v>
      </c>
      <c r="C63" s="227" t="s">
        <v>664</v>
      </c>
      <c r="D63" s="228">
        <v>2425</v>
      </c>
      <c r="E63" s="228">
        <v>0</v>
      </c>
      <c r="F63" s="228">
        <v>252.4</v>
      </c>
      <c r="G63" s="228">
        <v>249.62</v>
      </c>
      <c r="H63" s="228">
        <v>2.78</v>
      </c>
      <c r="I63" s="229">
        <v>1.11E-2</v>
      </c>
      <c r="J63" s="228">
        <v>250.17</v>
      </c>
      <c r="K63" s="228">
        <v>247.67</v>
      </c>
      <c r="L63" s="228">
        <v>2.5</v>
      </c>
      <c r="M63" s="229">
        <v>1.01E-2</v>
      </c>
      <c r="N63" s="228">
        <v>250.41</v>
      </c>
      <c r="O63" s="228">
        <v>248.13</v>
      </c>
      <c r="P63" s="228">
        <v>2.2799999999999998</v>
      </c>
      <c r="Q63" s="229">
        <v>9.1999999999999998E-3</v>
      </c>
      <c r="R63" s="228">
        <v>252.4</v>
      </c>
      <c r="S63" s="228">
        <v>249.62</v>
      </c>
      <c r="T63" s="228">
        <v>2.78</v>
      </c>
      <c r="U63" s="229">
        <v>1.11E-2</v>
      </c>
      <c r="V63" s="228">
        <v>253.68</v>
      </c>
      <c r="W63" s="228">
        <v>250.97</v>
      </c>
      <c r="X63" s="228">
        <v>2.71</v>
      </c>
      <c r="Y63" s="229">
        <v>1.0800000000000001E-2</v>
      </c>
      <c r="Z63" s="228">
        <v>2.23</v>
      </c>
      <c r="AA63" s="228">
        <v>0.46</v>
      </c>
      <c r="AB63" s="228">
        <v>1.77</v>
      </c>
      <c r="AC63" s="229">
        <v>8.8999999999999999E-3</v>
      </c>
      <c r="AD63" s="228">
        <v>0.24</v>
      </c>
      <c r="AE63" s="228">
        <v>0.46</v>
      </c>
      <c r="AF63" s="228">
        <v>-0.22</v>
      </c>
      <c r="AG63" s="229">
        <v>1E-3</v>
      </c>
      <c r="AH63" s="228">
        <v>2.23</v>
      </c>
      <c r="AI63" s="228">
        <v>1.95</v>
      </c>
      <c r="AJ63" s="228">
        <v>0.28000000000000003</v>
      </c>
      <c r="AK63" s="229">
        <v>8.8999999999999999E-3</v>
      </c>
      <c r="AL63" s="228">
        <v>3.51</v>
      </c>
      <c r="AM63" s="228">
        <v>3.3</v>
      </c>
      <c r="AN63" s="228">
        <v>0.21</v>
      </c>
      <c r="AO63" s="229">
        <v>1.4E-2</v>
      </c>
      <c r="AP63" s="228">
        <v>250.82</v>
      </c>
      <c r="AQ63" s="228">
        <v>252.54</v>
      </c>
      <c r="AR63" s="228">
        <v>0</v>
      </c>
      <c r="AS63" s="230">
        <v>2427</v>
      </c>
      <c r="AT63" s="230">
        <v>2853</v>
      </c>
      <c r="AU63" s="228">
        <v>-425</v>
      </c>
      <c r="AV63" s="229">
        <v>-0.14899999999999999</v>
      </c>
      <c r="AW63" s="230">
        <v>1002</v>
      </c>
      <c r="AX63" s="230">
        <v>1316</v>
      </c>
      <c r="AY63" s="228">
        <v>-314</v>
      </c>
      <c r="AZ63" s="229">
        <v>-0.23860000000000001</v>
      </c>
      <c r="BA63" s="230">
        <v>1374</v>
      </c>
      <c r="BB63" s="230">
        <v>1506</v>
      </c>
      <c r="BC63" s="228">
        <v>-132</v>
      </c>
      <c r="BD63" s="229">
        <v>-8.7900000000000006E-2</v>
      </c>
      <c r="BE63" s="228">
        <v>51</v>
      </c>
      <c r="BF63" s="228">
        <v>30</v>
      </c>
      <c r="BG63" s="228">
        <v>21</v>
      </c>
      <c r="BH63" s="229">
        <v>0.71870000000000001</v>
      </c>
      <c r="BI63" s="230">
        <v>2142</v>
      </c>
      <c r="BJ63" s="230">
        <v>2482</v>
      </c>
      <c r="BK63" s="228">
        <v>-340</v>
      </c>
      <c r="BL63" s="229">
        <v>-0.13689999999999999</v>
      </c>
      <c r="BM63" s="230">
        <v>1175</v>
      </c>
      <c r="BN63" s="230">
        <v>1580</v>
      </c>
      <c r="BO63" s="228">
        <v>-405</v>
      </c>
      <c r="BP63" s="229">
        <v>-0.25650000000000001</v>
      </c>
      <c r="BQ63" s="230">
        <v>5744</v>
      </c>
      <c r="BR63" s="230">
        <v>6914</v>
      </c>
      <c r="BS63" s="230">
        <v>-1170</v>
      </c>
      <c r="BT63" s="229">
        <v>-0.16919999999999999</v>
      </c>
      <c r="BU63" s="230">
        <v>25760413</v>
      </c>
      <c r="BV63" s="230">
        <v>20915538</v>
      </c>
      <c r="BW63" s="230">
        <v>4844875</v>
      </c>
      <c r="BX63" s="229">
        <v>0.2316</v>
      </c>
      <c r="BY63" s="230">
        <v>4938</v>
      </c>
      <c r="BZ63" s="230">
        <v>4959</v>
      </c>
      <c r="CA63" s="228">
        <v>-21</v>
      </c>
      <c r="CB63" s="229">
        <v>-4.3E-3</v>
      </c>
      <c r="CC63" s="228">
        <v>180</v>
      </c>
      <c r="CD63" s="228">
        <v>858</v>
      </c>
      <c r="CE63" s="228">
        <v>-678</v>
      </c>
      <c r="CF63" s="229">
        <v>-0.78990000000000005</v>
      </c>
      <c r="CG63" s="230">
        <v>4780</v>
      </c>
      <c r="CH63" s="230">
        <v>3967</v>
      </c>
      <c r="CI63" s="228">
        <v>813</v>
      </c>
      <c r="CJ63" s="229">
        <v>0.2049</v>
      </c>
      <c r="CK63" s="228">
        <v>158</v>
      </c>
      <c r="CL63" s="228">
        <v>134</v>
      </c>
      <c r="CM63" s="228">
        <v>24</v>
      </c>
      <c r="CN63" s="229">
        <v>0.1802</v>
      </c>
      <c r="CO63" s="228">
        <v>577</v>
      </c>
      <c r="CP63" s="230">
        <v>1908</v>
      </c>
      <c r="CQ63" s="230">
        <v>-1331</v>
      </c>
      <c r="CR63" s="229">
        <v>-0.69769999999999999</v>
      </c>
      <c r="CS63" s="228">
        <v>615</v>
      </c>
      <c r="CT63" s="230">
        <v>1088</v>
      </c>
      <c r="CU63" s="228">
        <v>-473</v>
      </c>
      <c r="CV63" s="229">
        <v>-0.43509999999999999</v>
      </c>
      <c r="CW63" s="230">
        <v>6130</v>
      </c>
      <c r="CX63" s="230">
        <v>7956</v>
      </c>
      <c r="CY63" s="230">
        <v>-1826</v>
      </c>
      <c r="CZ63" s="229">
        <v>-0.22950000000000001</v>
      </c>
      <c r="DA63" s="228">
        <v>31.91</v>
      </c>
      <c r="DB63" s="228">
        <v>31.58</v>
      </c>
      <c r="DC63" s="228">
        <v>0.33</v>
      </c>
      <c r="DD63" s="228">
        <v>0.33</v>
      </c>
      <c r="DE63" s="228">
        <v>45.02</v>
      </c>
      <c r="DF63" s="228">
        <v>45.11</v>
      </c>
      <c r="DG63" s="228">
        <v>-13.11</v>
      </c>
      <c r="DH63" s="228">
        <v>-0.09</v>
      </c>
      <c r="DI63" s="228">
        <v>31.63</v>
      </c>
      <c r="DJ63" s="228">
        <v>31.48</v>
      </c>
      <c r="DK63" s="228">
        <v>0.15</v>
      </c>
      <c r="DL63" s="228">
        <v>0.15</v>
      </c>
      <c r="DM63" s="228">
        <v>32.35</v>
      </c>
      <c r="DN63" s="228">
        <v>31.71</v>
      </c>
      <c r="DO63" s="228">
        <v>0.64</v>
      </c>
      <c r="DP63" s="228">
        <v>0.64</v>
      </c>
      <c r="DQ63" s="228">
        <v>1.07</v>
      </c>
      <c r="DR63" s="228">
        <v>0.56999999999999995</v>
      </c>
      <c r="DS63" s="228">
        <v>0.5</v>
      </c>
      <c r="DT63" s="229">
        <v>0.87719999999999998</v>
      </c>
      <c r="DU63" s="228">
        <v>260</v>
      </c>
      <c r="DV63" s="228">
        <v>250</v>
      </c>
      <c r="DW63" s="228">
        <v>0.55000000000000004</v>
      </c>
      <c r="DX63" s="228">
        <v>0.64</v>
      </c>
      <c r="DY63" s="228">
        <v>-0.09</v>
      </c>
      <c r="DZ63" s="229">
        <v>-0.1406</v>
      </c>
      <c r="EA63" s="229">
        <v>0.96479999999999999</v>
      </c>
      <c r="EB63" s="230">
        <v>162475000</v>
      </c>
      <c r="EC63" s="229">
        <v>7.9000000000000008E-3</v>
      </c>
      <c r="ED63" s="229">
        <v>0.96479999999999999</v>
      </c>
      <c r="EE63" s="228">
        <v>1.72</v>
      </c>
      <c r="EF63" s="229">
        <v>6.8999999999999999E-3</v>
      </c>
      <c r="EG63" s="230">
        <v>12674139</v>
      </c>
      <c r="EH63" s="230">
        <v>10063721</v>
      </c>
      <c r="EI63" s="229">
        <v>0.25940000000000002</v>
      </c>
      <c r="EJ63" s="229">
        <v>0.49199999999999999</v>
      </c>
      <c r="EK63" s="231">
        <v>2224.69</v>
      </c>
      <c r="EL63" s="231">
        <v>1166.8399999999999</v>
      </c>
      <c r="EM63" s="231">
        <v>2422.27</v>
      </c>
      <c r="EN63" s="228">
        <v>292.88</v>
      </c>
      <c r="EO63" s="231">
        <v>5813.8</v>
      </c>
      <c r="EP63" s="231">
        <v>6899.01</v>
      </c>
      <c r="EQ63" s="231">
        <v>-1085.21</v>
      </c>
      <c r="ER63" s="229">
        <v>-0.1573</v>
      </c>
      <c r="ES63" s="228">
        <v>593.78</v>
      </c>
      <c r="ET63" s="228">
        <v>601.30999999999995</v>
      </c>
      <c r="EU63" s="231">
        <v>4938.8</v>
      </c>
      <c r="EV63" s="231">
        <v>1366821859</v>
      </c>
      <c r="EW63" s="231">
        <v>6133.89</v>
      </c>
      <c r="EX63" s="231">
        <v>7937.7</v>
      </c>
      <c r="EY63" s="231">
        <v>-1803.81</v>
      </c>
      <c r="EZ63" s="229">
        <v>-0.22720000000000001</v>
      </c>
      <c r="FA63" s="229">
        <v>0.1777</v>
      </c>
      <c r="FB63" s="227" t="s">
        <v>691</v>
      </c>
      <c r="FC63">
        <f t="shared" si="0"/>
        <v>4758</v>
      </c>
    </row>
    <row r="64" spans="1:159" ht="17.25" thickBot="1" x14ac:dyDescent="0.3">
      <c r="A64" s="226">
        <v>46168</v>
      </c>
      <c r="B64" s="227" t="s">
        <v>162</v>
      </c>
      <c r="C64" s="227" t="s">
        <v>211</v>
      </c>
      <c r="D64" s="228">
        <v>1800</v>
      </c>
      <c r="E64" s="228">
        <v>0</v>
      </c>
      <c r="F64" s="228">
        <v>368.15</v>
      </c>
      <c r="G64" s="228">
        <v>349.5</v>
      </c>
      <c r="H64" s="228">
        <v>18.649999999999999</v>
      </c>
      <c r="I64" s="229">
        <v>5.3400000000000003E-2</v>
      </c>
      <c r="J64" s="228">
        <v>366.25</v>
      </c>
      <c r="K64" s="228">
        <v>346.25</v>
      </c>
      <c r="L64" s="228">
        <v>20</v>
      </c>
      <c r="M64" s="229">
        <v>5.7799999999999997E-2</v>
      </c>
      <c r="N64" s="228">
        <v>366.1</v>
      </c>
      <c r="O64" s="228">
        <v>346.9</v>
      </c>
      <c r="P64" s="228">
        <v>19.2</v>
      </c>
      <c r="Q64" s="229">
        <v>5.5300000000000002E-2</v>
      </c>
      <c r="R64" s="228">
        <v>368.15</v>
      </c>
      <c r="S64" s="228">
        <v>349.5</v>
      </c>
      <c r="T64" s="228">
        <v>18.649999999999999</v>
      </c>
      <c r="U64" s="229">
        <v>5.3400000000000003E-2</v>
      </c>
      <c r="V64" s="228">
        <v>368.15</v>
      </c>
      <c r="W64" s="228">
        <v>349.3</v>
      </c>
      <c r="X64" s="228">
        <v>18.850000000000001</v>
      </c>
      <c r="Y64" s="229">
        <v>5.3999999999999999E-2</v>
      </c>
      <c r="Z64" s="228">
        <v>1.9</v>
      </c>
      <c r="AA64" s="228">
        <v>0.65</v>
      </c>
      <c r="AB64" s="228">
        <v>1.25</v>
      </c>
      <c r="AC64" s="229">
        <v>5.1999999999999998E-3</v>
      </c>
      <c r="AD64" s="228">
        <v>-0.15</v>
      </c>
      <c r="AE64" s="228">
        <v>0.65</v>
      </c>
      <c r="AF64" s="228">
        <v>-0.8</v>
      </c>
      <c r="AG64" s="229">
        <v>-4.0000000000000002E-4</v>
      </c>
      <c r="AH64" s="228">
        <v>1.9</v>
      </c>
      <c r="AI64" s="228">
        <v>3.25</v>
      </c>
      <c r="AJ64" s="228">
        <v>-1.35</v>
      </c>
      <c r="AK64" s="229">
        <v>5.1999999999999998E-3</v>
      </c>
      <c r="AL64" s="228">
        <v>1.9</v>
      </c>
      <c r="AM64" s="228">
        <v>3.05</v>
      </c>
      <c r="AN64" s="228">
        <v>-1.1499999999999999</v>
      </c>
      <c r="AO64" s="229">
        <v>5.1999999999999998E-3</v>
      </c>
      <c r="AP64" s="228">
        <v>356.18</v>
      </c>
      <c r="AQ64" s="228">
        <v>359.43</v>
      </c>
      <c r="AR64" s="228">
        <v>0</v>
      </c>
      <c r="AS64" s="228">
        <v>756</v>
      </c>
      <c r="AT64" s="228">
        <v>456</v>
      </c>
      <c r="AU64" s="228">
        <v>299</v>
      </c>
      <c r="AV64" s="229">
        <v>0.65610000000000002</v>
      </c>
      <c r="AW64" s="228">
        <v>258</v>
      </c>
      <c r="AX64" s="228">
        <v>224</v>
      </c>
      <c r="AY64" s="228">
        <v>34</v>
      </c>
      <c r="AZ64" s="229">
        <v>0.15179999999999999</v>
      </c>
      <c r="BA64" s="228">
        <v>472</v>
      </c>
      <c r="BB64" s="228">
        <v>220</v>
      </c>
      <c r="BC64" s="228">
        <v>251</v>
      </c>
      <c r="BD64" s="229">
        <v>1.1407</v>
      </c>
      <c r="BE64" s="228">
        <v>26</v>
      </c>
      <c r="BF64" s="228">
        <v>12</v>
      </c>
      <c r="BG64" s="228">
        <v>14</v>
      </c>
      <c r="BH64" s="229">
        <v>1.2</v>
      </c>
      <c r="BI64" s="230">
        <v>1253</v>
      </c>
      <c r="BJ64" s="228">
        <v>423</v>
      </c>
      <c r="BK64" s="228">
        <v>831</v>
      </c>
      <c r="BL64" s="229">
        <v>1.9661</v>
      </c>
      <c r="BM64" s="228">
        <v>359</v>
      </c>
      <c r="BN64" s="228">
        <v>211</v>
      </c>
      <c r="BO64" s="228">
        <v>148</v>
      </c>
      <c r="BP64" s="229">
        <v>0.70030000000000003</v>
      </c>
      <c r="BQ64" s="230">
        <v>2368</v>
      </c>
      <c r="BR64" s="230">
        <v>1090</v>
      </c>
      <c r="BS64" s="230">
        <v>1278</v>
      </c>
      <c r="BT64" s="229">
        <v>1.1725000000000001</v>
      </c>
      <c r="BU64" s="230">
        <v>9722130</v>
      </c>
      <c r="BV64" s="230">
        <v>1730050</v>
      </c>
      <c r="BW64" s="230">
        <v>7992080</v>
      </c>
      <c r="BX64" s="229">
        <v>4.6196000000000002</v>
      </c>
      <c r="BY64" s="228">
        <v>795</v>
      </c>
      <c r="BZ64" s="228">
        <v>853</v>
      </c>
      <c r="CA64" s="228">
        <v>-58</v>
      </c>
      <c r="CB64" s="229">
        <v>-6.7799999999999999E-2</v>
      </c>
      <c r="CC64" s="228">
        <v>69</v>
      </c>
      <c r="CD64" s="228">
        <v>175</v>
      </c>
      <c r="CE64" s="228">
        <v>-106</v>
      </c>
      <c r="CF64" s="229">
        <v>-0.60619999999999996</v>
      </c>
      <c r="CG64" s="228">
        <v>766</v>
      </c>
      <c r="CH64" s="228">
        <v>654</v>
      </c>
      <c r="CI64" s="228">
        <v>112</v>
      </c>
      <c r="CJ64" s="229">
        <v>0.1711</v>
      </c>
      <c r="CK64" s="228">
        <v>30</v>
      </c>
      <c r="CL64" s="228">
        <v>24</v>
      </c>
      <c r="CM64" s="228">
        <v>5</v>
      </c>
      <c r="CN64" s="229">
        <v>0.21740000000000001</v>
      </c>
      <c r="CO64" s="228">
        <v>291</v>
      </c>
      <c r="CP64" s="228">
        <v>611</v>
      </c>
      <c r="CQ64" s="228">
        <v>-320</v>
      </c>
      <c r="CR64" s="229">
        <v>-0.52359999999999995</v>
      </c>
      <c r="CS64" s="228">
        <v>199</v>
      </c>
      <c r="CT64" s="228">
        <v>367</v>
      </c>
      <c r="CU64" s="228">
        <v>-168</v>
      </c>
      <c r="CV64" s="229">
        <v>-0.45739999999999997</v>
      </c>
      <c r="CW64" s="230">
        <v>1286</v>
      </c>
      <c r="CX64" s="230">
        <v>1832</v>
      </c>
      <c r="CY64" s="228">
        <v>-546</v>
      </c>
      <c r="CZ64" s="229">
        <v>-0.29809999999999998</v>
      </c>
      <c r="DA64" s="228">
        <v>31.6</v>
      </c>
      <c r="DB64" s="228">
        <v>31.13</v>
      </c>
      <c r="DC64" s="228">
        <v>0.47</v>
      </c>
      <c r="DD64" s="228">
        <v>0.47</v>
      </c>
      <c r="DE64" s="228">
        <v>36.299999999999997</v>
      </c>
      <c r="DF64" s="228">
        <v>35.700000000000003</v>
      </c>
      <c r="DG64" s="228">
        <v>-4.7</v>
      </c>
      <c r="DH64" s="228">
        <v>0.6</v>
      </c>
      <c r="DI64" s="228">
        <v>31.36</v>
      </c>
      <c r="DJ64" s="228">
        <v>31.09</v>
      </c>
      <c r="DK64" s="228">
        <v>0.27</v>
      </c>
      <c r="DL64" s="228">
        <v>0.27</v>
      </c>
      <c r="DM64" s="228">
        <v>32.549999999999997</v>
      </c>
      <c r="DN64" s="228">
        <v>31.2</v>
      </c>
      <c r="DO64" s="228">
        <v>1.35</v>
      </c>
      <c r="DP64" s="228">
        <v>1.35</v>
      </c>
      <c r="DQ64" s="228">
        <v>0.68</v>
      </c>
      <c r="DR64" s="228">
        <v>0.6</v>
      </c>
      <c r="DS64" s="228">
        <v>0.08</v>
      </c>
      <c r="DT64" s="229">
        <v>0.1333</v>
      </c>
      <c r="DU64" s="228">
        <v>350</v>
      </c>
      <c r="DV64" s="228">
        <v>350</v>
      </c>
      <c r="DW64" s="228">
        <v>0.28999999999999998</v>
      </c>
      <c r="DX64" s="228">
        <v>0.5</v>
      </c>
      <c r="DY64" s="228">
        <v>-0.21</v>
      </c>
      <c r="DZ64" s="229">
        <v>-0.42</v>
      </c>
      <c r="EA64" s="229">
        <v>0.92030000000000001</v>
      </c>
      <c r="EB64" s="230">
        <v>18419400</v>
      </c>
      <c r="EC64" s="229">
        <v>5.5999999999999999E-3</v>
      </c>
      <c r="ED64" s="229">
        <v>0.92030000000000001</v>
      </c>
      <c r="EE64" s="228">
        <v>3.25</v>
      </c>
      <c r="EF64" s="229">
        <v>9.1000000000000004E-3</v>
      </c>
      <c r="EG64" s="230">
        <v>4075354</v>
      </c>
      <c r="EH64" s="230">
        <v>604110</v>
      </c>
      <c r="EI64" s="229">
        <v>5.7460000000000004</v>
      </c>
      <c r="EJ64" s="229">
        <v>0.41920000000000002</v>
      </c>
      <c r="EK64" s="231">
        <v>1267.6199999999999</v>
      </c>
      <c r="EL64" s="228">
        <v>344.86</v>
      </c>
      <c r="EM64" s="228">
        <v>735.48</v>
      </c>
      <c r="EN64" s="228">
        <v>57.19</v>
      </c>
      <c r="EO64" s="231">
        <v>2347.9499999999998</v>
      </c>
      <c r="EP64" s="231">
        <v>1049.32</v>
      </c>
      <c r="EQ64" s="231">
        <v>1298.6300000000001</v>
      </c>
      <c r="ER64" s="229">
        <v>1.2376</v>
      </c>
      <c r="ES64" s="228">
        <v>289.58</v>
      </c>
      <c r="ET64" s="228">
        <v>188.59</v>
      </c>
      <c r="EU64" s="228">
        <v>795.27</v>
      </c>
      <c r="EV64" s="231">
        <v>50211048</v>
      </c>
      <c r="EW64" s="231">
        <v>1273.44</v>
      </c>
      <c r="EX64" s="231">
        <v>1762.75</v>
      </c>
      <c r="EY64" s="228">
        <v>-489.31</v>
      </c>
      <c r="EZ64" s="229">
        <v>-0.27760000000000001</v>
      </c>
      <c r="FA64" s="229">
        <v>0.6956</v>
      </c>
      <c r="FB64" s="227" t="s">
        <v>691</v>
      </c>
      <c r="FC64">
        <f t="shared" si="0"/>
        <v>726</v>
      </c>
    </row>
    <row r="65" spans="1:159" ht="17.25" thickBot="1" x14ac:dyDescent="0.3">
      <c r="A65" s="226">
        <v>46168</v>
      </c>
      <c r="B65" s="227" t="s">
        <v>172</v>
      </c>
      <c r="C65" s="227" t="s">
        <v>212</v>
      </c>
      <c r="D65" s="228">
        <v>2500</v>
      </c>
      <c r="E65" s="228">
        <v>0</v>
      </c>
      <c r="F65" s="228">
        <v>291.55</v>
      </c>
      <c r="G65" s="228">
        <v>291</v>
      </c>
      <c r="H65" s="228">
        <v>0.55000000000000004</v>
      </c>
      <c r="I65" s="229">
        <v>1.9E-3</v>
      </c>
      <c r="J65" s="228">
        <v>290.2</v>
      </c>
      <c r="K65" s="228">
        <v>289.25</v>
      </c>
      <c r="L65" s="228">
        <v>0.95</v>
      </c>
      <c r="M65" s="229">
        <v>3.3E-3</v>
      </c>
      <c r="N65" s="228">
        <v>289.89999999999998</v>
      </c>
      <c r="O65" s="228">
        <v>289.25</v>
      </c>
      <c r="P65" s="228">
        <v>0.65</v>
      </c>
      <c r="Q65" s="229">
        <v>2.2000000000000001E-3</v>
      </c>
      <c r="R65" s="228">
        <v>291.55</v>
      </c>
      <c r="S65" s="228">
        <v>291</v>
      </c>
      <c r="T65" s="228">
        <v>0.55000000000000004</v>
      </c>
      <c r="U65" s="229">
        <v>1.9E-3</v>
      </c>
      <c r="V65" s="228">
        <v>292.89999999999998</v>
      </c>
      <c r="W65" s="228">
        <v>292.55</v>
      </c>
      <c r="X65" s="228">
        <v>0.35</v>
      </c>
      <c r="Y65" s="229">
        <v>1.1999999999999999E-3</v>
      </c>
      <c r="Z65" s="228">
        <v>1.35</v>
      </c>
      <c r="AA65" s="228">
        <v>0</v>
      </c>
      <c r="AB65" s="228">
        <v>1.35</v>
      </c>
      <c r="AC65" s="229">
        <v>4.7000000000000002E-3</v>
      </c>
      <c r="AD65" s="228">
        <v>-0.3</v>
      </c>
      <c r="AE65" s="228">
        <v>0</v>
      </c>
      <c r="AF65" s="228">
        <v>-0.3</v>
      </c>
      <c r="AG65" s="229">
        <v>-1E-3</v>
      </c>
      <c r="AH65" s="228">
        <v>1.35</v>
      </c>
      <c r="AI65" s="228">
        <v>1.75</v>
      </c>
      <c r="AJ65" s="228">
        <v>-0.4</v>
      </c>
      <c r="AK65" s="229">
        <v>4.7000000000000002E-3</v>
      </c>
      <c r="AL65" s="228">
        <v>2.7</v>
      </c>
      <c r="AM65" s="228">
        <v>3.3</v>
      </c>
      <c r="AN65" s="228">
        <v>-0.6</v>
      </c>
      <c r="AO65" s="229">
        <v>9.2999999999999992E-3</v>
      </c>
      <c r="AP65" s="228">
        <v>290.48</v>
      </c>
      <c r="AQ65" s="228">
        <v>292.25</v>
      </c>
      <c r="AR65" s="228">
        <v>0</v>
      </c>
      <c r="AS65" s="228">
        <v>827</v>
      </c>
      <c r="AT65" s="230">
        <v>1445</v>
      </c>
      <c r="AU65" s="228">
        <v>-618</v>
      </c>
      <c r="AV65" s="229">
        <v>-0.42749999999999999</v>
      </c>
      <c r="AW65" s="228">
        <v>334</v>
      </c>
      <c r="AX65" s="228">
        <v>635</v>
      </c>
      <c r="AY65" s="228">
        <v>-301</v>
      </c>
      <c r="AZ65" s="229">
        <v>-0.47360000000000002</v>
      </c>
      <c r="BA65" s="228">
        <v>482</v>
      </c>
      <c r="BB65" s="228">
        <v>800</v>
      </c>
      <c r="BC65" s="228">
        <v>-318</v>
      </c>
      <c r="BD65" s="229">
        <v>-0.3972</v>
      </c>
      <c r="BE65" s="228">
        <v>11</v>
      </c>
      <c r="BF65" s="228">
        <v>10</v>
      </c>
      <c r="BG65" s="228">
        <v>1</v>
      </c>
      <c r="BH65" s="229">
        <v>5.6300000000000003E-2</v>
      </c>
      <c r="BI65" s="228">
        <v>655</v>
      </c>
      <c r="BJ65" s="228">
        <v>872</v>
      </c>
      <c r="BK65" s="228">
        <v>-217</v>
      </c>
      <c r="BL65" s="229">
        <v>-0.249</v>
      </c>
      <c r="BM65" s="228">
        <v>324</v>
      </c>
      <c r="BN65" s="228">
        <v>408</v>
      </c>
      <c r="BO65" s="228">
        <v>-84</v>
      </c>
      <c r="BP65" s="229">
        <v>-0.20569999999999999</v>
      </c>
      <c r="BQ65" s="230">
        <v>1806</v>
      </c>
      <c r="BR65" s="230">
        <v>2724</v>
      </c>
      <c r="BS65" s="228">
        <v>-919</v>
      </c>
      <c r="BT65" s="229">
        <v>-0.3372</v>
      </c>
      <c r="BU65" s="230">
        <v>11095138</v>
      </c>
      <c r="BV65" s="230">
        <v>9561507</v>
      </c>
      <c r="BW65" s="230">
        <v>1533631</v>
      </c>
      <c r="BX65" s="229">
        <v>0.16039999999999999</v>
      </c>
      <c r="BY65" s="230">
        <v>2343</v>
      </c>
      <c r="BZ65" s="230">
        <v>2485</v>
      </c>
      <c r="CA65" s="228">
        <v>-142</v>
      </c>
      <c r="CB65" s="229">
        <v>-5.7200000000000001E-2</v>
      </c>
      <c r="CC65" s="228">
        <v>219</v>
      </c>
      <c r="CD65" s="228">
        <v>376</v>
      </c>
      <c r="CE65" s="228">
        <v>-157</v>
      </c>
      <c r="CF65" s="229">
        <v>-0.41670000000000001</v>
      </c>
      <c r="CG65" s="230">
        <v>2305</v>
      </c>
      <c r="CH65" s="230">
        <v>2074</v>
      </c>
      <c r="CI65" s="228">
        <v>231</v>
      </c>
      <c r="CJ65" s="229">
        <v>0.1111</v>
      </c>
      <c r="CK65" s="228">
        <v>38</v>
      </c>
      <c r="CL65" s="228">
        <v>35</v>
      </c>
      <c r="CM65" s="228">
        <v>3</v>
      </c>
      <c r="CN65" s="229">
        <v>9.3600000000000003E-2</v>
      </c>
      <c r="CO65" s="228">
        <v>296</v>
      </c>
      <c r="CP65" s="228">
        <v>907</v>
      </c>
      <c r="CQ65" s="228">
        <v>-611</v>
      </c>
      <c r="CR65" s="229">
        <v>-0.67400000000000004</v>
      </c>
      <c r="CS65" s="228">
        <v>226</v>
      </c>
      <c r="CT65" s="228">
        <v>547</v>
      </c>
      <c r="CU65" s="228">
        <v>-321</v>
      </c>
      <c r="CV65" s="229">
        <v>-0.58740000000000003</v>
      </c>
      <c r="CW65" s="230">
        <v>2865</v>
      </c>
      <c r="CX65" s="230">
        <v>3939</v>
      </c>
      <c r="CY65" s="230">
        <v>-1075</v>
      </c>
      <c r="CZ65" s="229">
        <v>-0.27289999999999998</v>
      </c>
      <c r="DA65" s="228">
        <v>23.78</v>
      </c>
      <c r="DB65" s="228">
        <v>24.81</v>
      </c>
      <c r="DC65" s="228">
        <v>-1.03</v>
      </c>
      <c r="DD65" s="228">
        <v>-1.03</v>
      </c>
      <c r="DE65" s="228">
        <v>31.31</v>
      </c>
      <c r="DF65" s="228">
        <v>31.38</v>
      </c>
      <c r="DG65" s="228">
        <v>-7.53</v>
      </c>
      <c r="DH65" s="228">
        <v>-7.0000000000000007E-2</v>
      </c>
      <c r="DI65" s="228">
        <v>23.74</v>
      </c>
      <c r="DJ65" s="228">
        <v>24.82</v>
      </c>
      <c r="DK65" s="228">
        <v>-1.08</v>
      </c>
      <c r="DL65" s="228">
        <v>-1.08</v>
      </c>
      <c r="DM65" s="228">
        <v>23.85</v>
      </c>
      <c r="DN65" s="228">
        <v>24.81</v>
      </c>
      <c r="DO65" s="228">
        <v>-0.96</v>
      </c>
      <c r="DP65" s="228">
        <v>-0.96</v>
      </c>
      <c r="DQ65" s="228">
        <v>0.76</v>
      </c>
      <c r="DR65" s="228">
        <v>0.6</v>
      </c>
      <c r="DS65" s="228">
        <v>0.16</v>
      </c>
      <c r="DT65" s="229">
        <v>0.26669999999999999</v>
      </c>
      <c r="DU65" s="228">
        <v>300</v>
      </c>
      <c r="DV65" s="228">
        <v>280</v>
      </c>
      <c r="DW65" s="228">
        <v>0.49</v>
      </c>
      <c r="DX65" s="228">
        <v>0.47</v>
      </c>
      <c r="DY65" s="228">
        <v>0.02</v>
      </c>
      <c r="DZ65" s="229">
        <v>4.2599999999999999E-2</v>
      </c>
      <c r="EA65" s="229">
        <v>0.91439999999999999</v>
      </c>
      <c r="EB65" s="230">
        <v>72350000</v>
      </c>
      <c r="EC65" s="229">
        <v>5.7000000000000002E-3</v>
      </c>
      <c r="ED65" s="229">
        <v>0.91439999999999999</v>
      </c>
      <c r="EE65" s="228">
        <v>1.77</v>
      </c>
      <c r="EF65" s="229">
        <v>6.1000000000000004E-3</v>
      </c>
      <c r="EG65" s="230">
        <v>6264976</v>
      </c>
      <c r="EH65" s="230">
        <v>5993259</v>
      </c>
      <c r="EI65" s="229">
        <v>4.53E-2</v>
      </c>
      <c r="EJ65" s="229">
        <v>0.56469999999999998</v>
      </c>
      <c r="EK65" s="228">
        <v>672.61</v>
      </c>
      <c r="EL65" s="228">
        <v>323.20999999999998</v>
      </c>
      <c r="EM65" s="228">
        <v>827.06</v>
      </c>
      <c r="EN65" s="228">
        <v>151.36000000000001</v>
      </c>
      <c r="EO65" s="231">
        <v>1822.88</v>
      </c>
      <c r="EP65" s="231">
        <v>2730.39</v>
      </c>
      <c r="EQ65" s="228">
        <v>-907.51</v>
      </c>
      <c r="ER65" s="229">
        <v>-0.33239999999999997</v>
      </c>
      <c r="ES65" s="228">
        <v>300.33</v>
      </c>
      <c r="ET65" s="228">
        <v>220.38</v>
      </c>
      <c r="EU65" s="231">
        <v>2343.36</v>
      </c>
      <c r="EV65" s="231">
        <v>359450597</v>
      </c>
      <c r="EW65" s="231">
        <v>2864.08</v>
      </c>
      <c r="EX65" s="231">
        <v>3946.41</v>
      </c>
      <c r="EY65" s="231">
        <v>-1082.33</v>
      </c>
      <c r="EZ65" s="229">
        <v>-0.27429999999999999</v>
      </c>
      <c r="FA65" s="229">
        <v>0.27329999999999999</v>
      </c>
      <c r="FB65" s="227" t="s">
        <v>691</v>
      </c>
      <c r="FC65">
        <f t="shared" si="0"/>
        <v>2124</v>
      </c>
    </row>
    <row r="66" spans="1:159" ht="17.25" thickBot="1" x14ac:dyDescent="0.3">
      <c r="A66" s="226">
        <v>46168</v>
      </c>
      <c r="B66" s="227" t="s">
        <v>181</v>
      </c>
      <c r="C66" s="227" t="s">
        <v>480</v>
      </c>
      <c r="D66" s="228">
        <v>60</v>
      </c>
      <c r="E66" s="228">
        <v>0</v>
      </c>
      <c r="F66" s="231">
        <v>26061.8</v>
      </c>
      <c r="G66" s="231">
        <v>26277.4</v>
      </c>
      <c r="H66" s="228">
        <v>-215.6</v>
      </c>
      <c r="I66" s="229">
        <v>-8.2000000000000007E-3</v>
      </c>
      <c r="J66" s="231">
        <v>25932.25</v>
      </c>
      <c r="K66" s="231">
        <v>26102.15</v>
      </c>
      <c r="L66" s="228">
        <v>-169.9</v>
      </c>
      <c r="M66" s="229">
        <v>-6.4999999999999997E-3</v>
      </c>
      <c r="N66" s="231">
        <v>25936</v>
      </c>
      <c r="O66" s="231">
        <v>26172.7</v>
      </c>
      <c r="P66" s="228">
        <v>-236.7</v>
      </c>
      <c r="Q66" s="229">
        <v>-8.9999999999999993E-3</v>
      </c>
      <c r="R66" s="231">
        <v>26061.8</v>
      </c>
      <c r="S66" s="231">
        <v>26277.4</v>
      </c>
      <c r="T66" s="228">
        <v>-215.6</v>
      </c>
      <c r="U66" s="229">
        <v>-8.2000000000000007E-3</v>
      </c>
      <c r="V66" s="228">
        <v>0</v>
      </c>
      <c r="W66" s="228">
        <v>0</v>
      </c>
      <c r="X66" s="228">
        <v>0</v>
      </c>
      <c r="Y66" s="229">
        <v>0</v>
      </c>
      <c r="Z66" s="228">
        <v>129.55000000000001</v>
      </c>
      <c r="AA66" s="228">
        <v>70.55</v>
      </c>
      <c r="AB66" s="228">
        <v>59</v>
      </c>
      <c r="AC66" s="229">
        <v>5.0000000000000001E-3</v>
      </c>
      <c r="AD66" s="228">
        <v>3.75</v>
      </c>
      <c r="AE66" s="228">
        <v>70.55</v>
      </c>
      <c r="AF66" s="228">
        <v>-66.8</v>
      </c>
      <c r="AG66" s="229">
        <v>1E-4</v>
      </c>
      <c r="AH66" s="228">
        <v>129.55000000000001</v>
      </c>
      <c r="AI66" s="228">
        <v>175.25</v>
      </c>
      <c r="AJ66" s="228">
        <v>-45.7</v>
      </c>
      <c r="AK66" s="229">
        <v>5.0000000000000001E-3</v>
      </c>
      <c r="AL66" s="228">
        <v>0</v>
      </c>
      <c r="AM66" s="228">
        <v>0</v>
      </c>
      <c r="AN66" s="228">
        <v>0</v>
      </c>
      <c r="AO66" s="229">
        <v>0</v>
      </c>
      <c r="AP66" s="231">
        <v>25986.720000000001</v>
      </c>
      <c r="AQ66" s="231">
        <v>26130.799999999999</v>
      </c>
      <c r="AR66" s="228">
        <v>0</v>
      </c>
      <c r="AS66" s="228">
        <v>100</v>
      </c>
      <c r="AT66" s="228">
        <v>80</v>
      </c>
      <c r="AU66" s="228">
        <v>19</v>
      </c>
      <c r="AV66" s="229">
        <v>0.2417</v>
      </c>
      <c r="AW66" s="228">
        <v>62</v>
      </c>
      <c r="AX66" s="228">
        <v>62</v>
      </c>
      <c r="AY66" s="228">
        <v>0</v>
      </c>
      <c r="AZ66" s="229">
        <v>-7.6E-3</v>
      </c>
      <c r="BA66" s="228">
        <v>38</v>
      </c>
      <c r="BB66" s="228">
        <v>18</v>
      </c>
      <c r="BC66" s="228">
        <v>20</v>
      </c>
      <c r="BD66" s="229">
        <v>1.0948</v>
      </c>
      <c r="BE66" s="228">
        <v>0</v>
      </c>
      <c r="BF66" s="228">
        <v>0</v>
      </c>
      <c r="BG66" s="228">
        <v>0</v>
      </c>
      <c r="BH66" s="229">
        <v>0</v>
      </c>
      <c r="BI66" s="230">
        <v>204499</v>
      </c>
      <c r="BJ66" s="230">
        <v>25126</v>
      </c>
      <c r="BK66" s="230">
        <v>179374</v>
      </c>
      <c r="BL66" s="229">
        <v>7.1391</v>
      </c>
      <c r="BM66" s="230">
        <v>231123</v>
      </c>
      <c r="BN66" s="230">
        <v>24617</v>
      </c>
      <c r="BO66" s="230">
        <v>206506</v>
      </c>
      <c r="BP66" s="229">
        <v>8.3887999999999998</v>
      </c>
      <c r="BQ66" s="230">
        <v>435722</v>
      </c>
      <c r="BR66" s="230">
        <v>49823</v>
      </c>
      <c r="BS66" s="230">
        <v>385899</v>
      </c>
      <c r="BT66" s="229">
        <v>7.7454000000000001</v>
      </c>
      <c r="BU66" s="228">
        <v>0</v>
      </c>
      <c r="BV66" s="228">
        <v>0</v>
      </c>
      <c r="BW66" s="228">
        <v>0</v>
      </c>
      <c r="BX66" s="229">
        <v>0</v>
      </c>
      <c r="BY66" s="228">
        <v>36</v>
      </c>
      <c r="BZ66" s="228">
        <v>87</v>
      </c>
      <c r="CA66" s="228">
        <v>-51</v>
      </c>
      <c r="CB66" s="229">
        <v>-0.58299999999999996</v>
      </c>
      <c r="CC66" s="228">
        <v>54</v>
      </c>
      <c r="CD66" s="228">
        <v>68</v>
      </c>
      <c r="CE66" s="228">
        <v>-14</v>
      </c>
      <c r="CF66" s="229">
        <v>-0.2064</v>
      </c>
      <c r="CG66" s="228">
        <v>36</v>
      </c>
      <c r="CH66" s="228">
        <v>18</v>
      </c>
      <c r="CI66" s="228">
        <v>18</v>
      </c>
      <c r="CJ66" s="229">
        <v>0.95760000000000001</v>
      </c>
      <c r="CK66" s="228">
        <v>0</v>
      </c>
      <c r="CL66" s="228">
        <v>0</v>
      </c>
      <c r="CM66" s="228">
        <v>0</v>
      </c>
      <c r="CN66" s="229">
        <v>0</v>
      </c>
      <c r="CO66" s="228">
        <v>27</v>
      </c>
      <c r="CP66" s="230">
        <v>2710</v>
      </c>
      <c r="CQ66" s="230">
        <v>-2683</v>
      </c>
      <c r="CR66" s="229">
        <v>-0.99019999999999997</v>
      </c>
      <c r="CS66" s="228">
        <v>21</v>
      </c>
      <c r="CT66" s="230">
        <v>2569</v>
      </c>
      <c r="CU66" s="230">
        <v>-2548</v>
      </c>
      <c r="CV66" s="229">
        <v>-0.99199999999999999</v>
      </c>
      <c r="CW66" s="228">
        <v>83</v>
      </c>
      <c r="CX66" s="230">
        <v>5365</v>
      </c>
      <c r="CY66" s="230">
        <v>-5282</v>
      </c>
      <c r="CZ66" s="229">
        <v>-0.98450000000000004</v>
      </c>
      <c r="DA66" s="228">
        <v>18.75</v>
      </c>
      <c r="DB66" s="228">
        <v>19.3</v>
      </c>
      <c r="DC66" s="228">
        <v>-0.55000000000000004</v>
      </c>
      <c r="DD66" s="228">
        <v>-0.55000000000000004</v>
      </c>
      <c r="DE66" s="228">
        <v>21.67</v>
      </c>
      <c r="DF66" s="228">
        <v>21.71</v>
      </c>
      <c r="DG66" s="228">
        <v>-2.92</v>
      </c>
      <c r="DH66" s="228">
        <v>-0.04</v>
      </c>
      <c r="DI66" s="228">
        <v>18.170000000000002</v>
      </c>
      <c r="DJ66" s="228">
        <v>18.22</v>
      </c>
      <c r="DK66" s="228">
        <v>-0.05</v>
      </c>
      <c r="DL66" s="228">
        <v>-0.05</v>
      </c>
      <c r="DM66" s="228">
        <v>19.510000000000002</v>
      </c>
      <c r="DN66" s="228">
        <v>21.55</v>
      </c>
      <c r="DO66" s="228">
        <v>-2.04</v>
      </c>
      <c r="DP66" s="228">
        <v>-2.04</v>
      </c>
      <c r="DQ66" s="228">
        <v>0.78</v>
      </c>
      <c r="DR66" s="228">
        <v>0.95</v>
      </c>
      <c r="DS66" s="228">
        <v>-0.17</v>
      </c>
      <c r="DT66" s="229">
        <v>-0.1789</v>
      </c>
      <c r="DU66" s="231">
        <v>26100</v>
      </c>
      <c r="DV66" s="231">
        <v>25900</v>
      </c>
      <c r="DW66" s="228">
        <v>1.1299999999999999</v>
      </c>
      <c r="DX66" s="228">
        <v>0.98</v>
      </c>
      <c r="DY66" s="228">
        <v>0.15</v>
      </c>
      <c r="DZ66" s="229">
        <v>0.15310000000000001</v>
      </c>
      <c r="EA66" s="229">
        <v>0.40029999999999999</v>
      </c>
      <c r="EB66" s="230">
        <v>7080</v>
      </c>
      <c r="EC66" s="229">
        <v>4.8999999999999998E-3</v>
      </c>
      <c r="ED66" s="229">
        <v>0.40029999999999999</v>
      </c>
      <c r="EE66" s="228">
        <v>144.08000000000001</v>
      </c>
      <c r="EF66" s="229">
        <v>5.4999999999999997E-3</v>
      </c>
      <c r="EG66" s="228">
        <v>0</v>
      </c>
      <c r="EH66" s="228">
        <v>0</v>
      </c>
      <c r="EI66" s="229">
        <v>0</v>
      </c>
      <c r="EJ66" s="229">
        <v>0</v>
      </c>
      <c r="EK66" s="231">
        <v>205356.68</v>
      </c>
      <c r="EL66" s="231">
        <v>229852.39</v>
      </c>
      <c r="EM66" s="228">
        <v>99.53</v>
      </c>
      <c r="EN66" s="228">
        <v>0</v>
      </c>
      <c r="EO66" s="231">
        <v>435308.6</v>
      </c>
      <c r="EP66" s="231">
        <v>49698.13</v>
      </c>
      <c r="EQ66" s="231">
        <v>385610.47</v>
      </c>
      <c r="ER66" s="229">
        <v>7.7591000000000001</v>
      </c>
      <c r="ES66" s="228">
        <v>28.03</v>
      </c>
      <c r="ET66" s="228">
        <v>19.88</v>
      </c>
      <c r="EU66" s="228">
        <v>36.119999999999997</v>
      </c>
      <c r="EV66" s="228">
        <v>0</v>
      </c>
      <c r="EW66" s="228">
        <v>84.03</v>
      </c>
      <c r="EX66" s="231">
        <v>5331.46</v>
      </c>
      <c r="EY66" s="231">
        <v>-5247.43</v>
      </c>
      <c r="EZ66" s="229">
        <v>-0.98419999999999996</v>
      </c>
      <c r="FA66" s="229">
        <v>0</v>
      </c>
      <c r="FB66" s="227" t="s">
        <v>567</v>
      </c>
      <c r="FC66">
        <f t="shared" si="0"/>
        <v>-18</v>
      </c>
    </row>
    <row r="67" spans="1:159" ht="17.25" thickBot="1" x14ac:dyDescent="0.3">
      <c r="A67" s="226">
        <v>46168</v>
      </c>
      <c r="B67" s="227" t="s">
        <v>162</v>
      </c>
      <c r="C67" s="227" t="s">
        <v>698</v>
      </c>
      <c r="D67" s="228">
        <v>25</v>
      </c>
      <c r="E67" s="228">
        <v>0</v>
      </c>
      <c r="F67" s="231">
        <v>19900</v>
      </c>
      <c r="G67" s="231">
        <v>20089</v>
      </c>
      <c r="H67" s="228">
        <v>-189</v>
      </c>
      <c r="I67" s="229">
        <v>-9.4000000000000004E-3</v>
      </c>
      <c r="J67" s="231">
        <v>19833</v>
      </c>
      <c r="K67" s="231">
        <v>20214</v>
      </c>
      <c r="L67" s="228">
        <v>-381</v>
      </c>
      <c r="M67" s="229">
        <v>-1.8800000000000001E-2</v>
      </c>
      <c r="N67" s="231">
        <v>19773</v>
      </c>
      <c r="O67" s="231">
        <v>20215</v>
      </c>
      <c r="P67" s="228">
        <v>-442</v>
      </c>
      <c r="Q67" s="229">
        <v>-2.1899999999999999E-2</v>
      </c>
      <c r="R67" s="231">
        <v>19900</v>
      </c>
      <c r="S67" s="231">
        <v>20089</v>
      </c>
      <c r="T67" s="228">
        <v>-189</v>
      </c>
      <c r="U67" s="229">
        <v>-9.4000000000000004E-3</v>
      </c>
      <c r="V67" s="231">
        <v>19899</v>
      </c>
      <c r="W67" s="231">
        <v>20060</v>
      </c>
      <c r="X67" s="228">
        <v>-161</v>
      </c>
      <c r="Y67" s="229">
        <v>-8.0000000000000002E-3</v>
      </c>
      <c r="Z67" s="228">
        <v>67</v>
      </c>
      <c r="AA67" s="228">
        <v>1</v>
      </c>
      <c r="AB67" s="228">
        <v>66</v>
      </c>
      <c r="AC67" s="229">
        <v>3.3999999999999998E-3</v>
      </c>
      <c r="AD67" s="228">
        <v>-60</v>
      </c>
      <c r="AE67" s="228">
        <v>1</v>
      </c>
      <c r="AF67" s="228">
        <v>-61</v>
      </c>
      <c r="AG67" s="229">
        <v>-3.0000000000000001E-3</v>
      </c>
      <c r="AH67" s="228">
        <v>67</v>
      </c>
      <c r="AI67" s="228">
        <v>-125</v>
      </c>
      <c r="AJ67" s="228">
        <v>192</v>
      </c>
      <c r="AK67" s="229">
        <v>3.3999999999999998E-3</v>
      </c>
      <c r="AL67" s="228">
        <v>66</v>
      </c>
      <c r="AM67" s="228">
        <v>-154</v>
      </c>
      <c r="AN67" s="228">
        <v>220</v>
      </c>
      <c r="AO67" s="229">
        <v>3.3E-3</v>
      </c>
      <c r="AP67" s="231">
        <v>19929.599999999999</v>
      </c>
      <c r="AQ67" s="231">
        <v>19964.87</v>
      </c>
      <c r="AR67" s="228">
        <v>0</v>
      </c>
      <c r="AS67" s="228">
        <v>207</v>
      </c>
      <c r="AT67" s="228">
        <v>405</v>
      </c>
      <c r="AU67" s="228">
        <v>-198</v>
      </c>
      <c r="AV67" s="229">
        <v>-0.48780000000000001</v>
      </c>
      <c r="AW67" s="228">
        <v>93</v>
      </c>
      <c r="AX67" s="228">
        <v>186</v>
      </c>
      <c r="AY67" s="228">
        <v>-94</v>
      </c>
      <c r="AZ67" s="229">
        <v>-0.502</v>
      </c>
      <c r="BA67" s="228">
        <v>112</v>
      </c>
      <c r="BB67" s="228">
        <v>215</v>
      </c>
      <c r="BC67" s="228">
        <v>-103</v>
      </c>
      <c r="BD67" s="229">
        <v>-0.4803</v>
      </c>
      <c r="BE67" s="228">
        <v>3</v>
      </c>
      <c r="BF67" s="228">
        <v>4</v>
      </c>
      <c r="BG67" s="228">
        <v>-1</v>
      </c>
      <c r="BH67" s="229">
        <v>-0.20269999999999999</v>
      </c>
      <c r="BI67" s="228">
        <v>862</v>
      </c>
      <c r="BJ67" s="230">
        <v>4074</v>
      </c>
      <c r="BK67" s="230">
        <v>-3212</v>
      </c>
      <c r="BL67" s="229">
        <v>-0.78839999999999999</v>
      </c>
      <c r="BM67" s="228">
        <v>193</v>
      </c>
      <c r="BN67" s="230">
        <v>1187</v>
      </c>
      <c r="BO67" s="228">
        <v>-994</v>
      </c>
      <c r="BP67" s="229">
        <v>-0.83750000000000002</v>
      </c>
      <c r="BQ67" s="230">
        <v>1262</v>
      </c>
      <c r="BR67" s="230">
        <v>5666</v>
      </c>
      <c r="BS67" s="230">
        <v>-4403</v>
      </c>
      <c r="BT67" s="229">
        <v>-0.7772</v>
      </c>
      <c r="BU67" s="230">
        <v>86116</v>
      </c>
      <c r="BV67" s="230">
        <v>150042</v>
      </c>
      <c r="BW67" s="230">
        <v>-63926</v>
      </c>
      <c r="BX67" s="229">
        <v>-0.42609999999999998</v>
      </c>
      <c r="BY67" s="228">
        <v>422</v>
      </c>
      <c r="BZ67" s="228">
        <v>471</v>
      </c>
      <c r="CA67" s="228">
        <v>-48</v>
      </c>
      <c r="CB67" s="229">
        <v>-0.1028</v>
      </c>
      <c r="CC67" s="228">
        <v>17</v>
      </c>
      <c r="CD67" s="228">
        <v>64</v>
      </c>
      <c r="CE67" s="228">
        <v>-47</v>
      </c>
      <c r="CF67" s="229">
        <v>-0.73170000000000002</v>
      </c>
      <c r="CG67" s="228">
        <v>408</v>
      </c>
      <c r="CH67" s="228">
        <v>395</v>
      </c>
      <c r="CI67" s="228">
        <v>14</v>
      </c>
      <c r="CJ67" s="229">
        <v>3.5200000000000002E-2</v>
      </c>
      <c r="CK67" s="228">
        <v>14</v>
      </c>
      <c r="CL67" s="228">
        <v>12</v>
      </c>
      <c r="CM67" s="228">
        <v>2</v>
      </c>
      <c r="CN67" s="229">
        <v>0.13819999999999999</v>
      </c>
      <c r="CO67" s="228">
        <v>82</v>
      </c>
      <c r="CP67" s="228">
        <v>420</v>
      </c>
      <c r="CQ67" s="228">
        <v>-339</v>
      </c>
      <c r="CR67" s="229">
        <v>-0.80530000000000002</v>
      </c>
      <c r="CS67" s="228">
        <v>22</v>
      </c>
      <c r="CT67" s="228">
        <v>135</v>
      </c>
      <c r="CU67" s="228">
        <v>-113</v>
      </c>
      <c r="CV67" s="229">
        <v>-0.83509999999999995</v>
      </c>
      <c r="CW67" s="228">
        <v>526</v>
      </c>
      <c r="CX67" s="230">
        <v>1026</v>
      </c>
      <c r="CY67" s="228">
        <v>-500</v>
      </c>
      <c r="CZ67" s="229">
        <v>-0.4869</v>
      </c>
      <c r="DA67" s="228">
        <v>45.77</v>
      </c>
      <c r="DB67" s="228">
        <v>47.44</v>
      </c>
      <c r="DC67" s="228">
        <v>-1.67</v>
      </c>
      <c r="DD67" s="228">
        <v>-1.67</v>
      </c>
      <c r="DE67" s="228">
        <v>64.34</v>
      </c>
      <c r="DF67" s="228">
        <v>64.489999999999995</v>
      </c>
      <c r="DG67" s="228">
        <v>-18.57</v>
      </c>
      <c r="DH67" s="228">
        <v>-0.15</v>
      </c>
      <c r="DI67" s="228">
        <v>45.94</v>
      </c>
      <c r="DJ67" s="228">
        <v>47.64</v>
      </c>
      <c r="DK67" s="228">
        <v>-1.7</v>
      </c>
      <c r="DL67" s="228">
        <v>-1.7</v>
      </c>
      <c r="DM67" s="228">
        <v>44.99</v>
      </c>
      <c r="DN67" s="228">
        <v>46.45</v>
      </c>
      <c r="DO67" s="228">
        <v>-1.46</v>
      </c>
      <c r="DP67" s="228">
        <v>-1.46</v>
      </c>
      <c r="DQ67" s="228">
        <v>0.27</v>
      </c>
      <c r="DR67" s="228">
        <v>0.32</v>
      </c>
      <c r="DS67" s="228">
        <v>-0.05</v>
      </c>
      <c r="DT67" s="229">
        <v>-0.15620000000000001</v>
      </c>
      <c r="DU67" s="231">
        <v>23000</v>
      </c>
      <c r="DV67" s="231">
        <v>19000</v>
      </c>
      <c r="DW67" s="228">
        <v>0.22</v>
      </c>
      <c r="DX67" s="228">
        <v>0.28999999999999998</v>
      </c>
      <c r="DY67" s="228">
        <v>-7.0000000000000007E-2</v>
      </c>
      <c r="DZ67" s="229">
        <v>-0.2414</v>
      </c>
      <c r="EA67" s="229">
        <v>0.96089999999999998</v>
      </c>
      <c r="EB67" s="230">
        <v>204400</v>
      </c>
      <c r="EC67" s="229">
        <v>6.4000000000000003E-3</v>
      </c>
      <c r="ED67" s="229">
        <v>0.96089999999999998</v>
      </c>
      <c r="EE67" s="228">
        <v>35.270000000000003</v>
      </c>
      <c r="EF67" s="229">
        <v>1.8E-3</v>
      </c>
      <c r="EG67" s="230">
        <v>26703</v>
      </c>
      <c r="EH67" s="230">
        <v>24202</v>
      </c>
      <c r="EI67" s="229">
        <v>0.1033</v>
      </c>
      <c r="EJ67" s="229">
        <v>0.31009999999999999</v>
      </c>
      <c r="EK67" s="228">
        <v>938.52</v>
      </c>
      <c r="EL67" s="228">
        <v>187.49</v>
      </c>
      <c r="EM67" s="228">
        <v>207.92</v>
      </c>
      <c r="EN67" s="228">
        <v>73.959999999999994</v>
      </c>
      <c r="EO67" s="231">
        <v>1333.93</v>
      </c>
      <c r="EP67" s="231">
        <v>6034.71</v>
      </c>
      <c r="EQ67" s="231">
        <v>-4700.79</v>
      </c>
      <c r="ER67" s="229">
        <v>-0.77900000000000003</v>
      </c>
      <c r="ES67" s="228">
        <v>87.75</v>
      </c>
      <c r="ET67" s="228">
        <v>21.9</v>
      </c>
      <c r="EU67" s="228">
        <v>422.33</v>
      </c>
      <c r="EV67" s="231">
        <v>736885</v>
      </c>
      <c r="EW67" s="228">
        <v>531.98</v>
      </c>
      <c r="EX67" s="231">
        <v>1069.31</v>
      </c>
      <c r="EY67" s="228">
        <v>-537.33000000000004</v>
      </c>
      <c r="EZ67" s="229">
        <v>-0.50249999999999995</v>
      </c>
      <c r="FA67" s="229">
        <v>0.35899999999999999</v>
      </c>
      <c r="FB67" s="227" t="s">
        <v>567</v>
      </c>
      <c r="FC67">
        <f t="shared" ref="FC67:FC130" si="1">BY67-CC67</f>
        <v>405</v>
      </c>
    </row>
    <row r="68" spans="1:159" ht="17.25" thickBot="1" x14ac:dyDescent="0.3">
      <c r="A68" s="226">
        <v>46168</v>
      </c>
      <c r="B68" s="227" t="s">
        <v>170</v>
      </c>
      <c r="C68" s="227" t="s">
        <v>674</v>
      </c>
      <c r="D68" s="228">
        <v>775</v>
      </c>
      <c r="E68" s="228">
        <v>0</v>
      </c>
      <c r="F68" s="228">
        <v>974.2</v>
      </c>
      <c r="G68" s="228">
        <v>978.3</v>
      </c>
      <c r="H68" s="228">
        <v>-4.0999999999999996</v>
      </c>
      <c r="I68" s="229">
        <v>-4.1999999999999997E-3</v>
      </c>
      <c r="J68" s="228">
        <v>966.6</v>
      </c>
      <c r="K68" s="228">
        <v>970.35</v>
      </c>
      <c r="L68" s="228">
        <v>-3.75</v>
      </c>
      <c r="M68" s="229">
        <v>-3.8999999999999998E-3</v>
      </c>
      <c r="N68" s="228">
        <v>966.75</v>
      </c>
      <c r="O68" s="228">
        <v>970.85</v>
      </c>
      <c r="P68" s="228">
        <v>-4.0999999999999996</v>
      </c>
      <c r="Q68" s="229">
        <v>-4.1999999999999997E-3</v>
      </c>
      <c r="R68" s="228">
        <v>974.2</v>
      </c>
      <c r="S68" s="228">
        <v>978.3</v>
      </c>
      <c r="T68" s="228">
        <v>-4.0999999999999996</v>
      </c>
      <c r="U68" s="229">
        <v>-4.1999999999999997E-3</v>
      </c>
      <c r="V68" s="228">
        <v>980.5</v>
      </c>
      <c r="W68" s="228">
        <v>978.3</v>
      </c>
      <c r="X68" s="228">
        <v>2.2000000000000002</v>
      </c>
      <c r="Y68" s="229">
        <v>2.2000000000000001E-3</v>
      </c>
      <c r="Z68" s="228">
        <v>7.6</v>
      </c>
      <c r="AA68" s="228">
        <v>0.5</v>
      </c>
      <c r="AB68" s="228">
        <v>7.1</v>
      </c>
      <c r="AC68" s="229">
        <v>7.9000000000000008E-3</v>
      </c>
      <c r="AD68" s="228">
        <v>0.15</v>
      </c>
      <c r="AE68" s="228">
        <v>0.5</v>
      </c>
      <c r="AF68" s="228">
        <v>-0.35</v>
      </c>
      <c r="AG68" s="229">
        <v>2.0000000000000001E-4</v>
      </c>
      <c r="AH68" s="228">
        <v>7.6</v>
      </c>
      <c r="AI68" s="228">
        <v>7.95</v>
      </c>
      <c r="AJ68" s="228">
        <v>-0.35</v>
      </c>
      <c r="AK68" s="229">
        <v>7.9000000000000008E-3</v>
      </c>
      <c r="AL68" s="228">
        <v>13.9</v>
      </c>
      <c r="AM68" s="228">
        <v>7.95</v>
      </c>
      <c r="AN68" s="228">
        <v>5.95</v>
      </c>
      <c r="AO68" s="229">
        <v>1.44E-2</v>
      </c>
      <c r="AP68" s="228">
        <v>965.29</v>
      </c>
      <c r="AQ68" s="228">
        <v>972.37</v>
      </c>
      <c r="AR68" s="228">
        <v>0</v>
      </c>
      <c r="AS68" s="228">
        <v>240</v>
      </c>
      <c r="AT68" s="228">
        <v>547</v>
      </c>
      <c r="AU68" s="228">
        <v>-307</v>
      </c>
      <c r="AV68" s="229">
        <v>-0.56069999999999998</v>
      </c>
      <c r="AW68" s="228">
        <v>88</v>
      </c>
      <c r="AX68" s="228">
        <v>235</v>
      </c>
      <c r="AY68" s="228">
        <v>-148</v>
      </c>
      <c r="AZ68" s="229">
        <v>-0.62760000000000005</v>
      </c>
      <c r="BA68" s="228">
        <v>152</v>
      </c>
      <c r="BB68" s="228">
        <v>311</v>
      </c>
      <c r="BC68" s="228">
        <v>-159</v>
      </c>
      <c r="BD68" s="229">
        <v>-0.51080000000000003</v>
      </c>
      <c r="BE68" s="228">
        <v>1</v>
      </c>
      <c r="BF68" s="228">
        <v>1</v>
      </c>
      <c r="BG68" s="228">
        <v>0</v>
      </c>
      <c r="BH68" s="229">
        <v>-0.3</v>
      </c>
      <c r="BI68" s="228">
        <v>285</v>
      </c>
      <c r="BJ68" s="230">
        <v>1390</v>
      </c>
      <c r="BK68" s="230">
        <v>-1105</v>
      </c>
      <c r="BL68" s="229">
        <v>-0.79490000000000005</v>
      </c>
      <c r="BM68" s="228">
        <v>123</v>
      </c>
      <c r="BN68" s="228">
        <v>620</v>
      </c>
      <c r="BO68" s="228">
        <v>-497</v>
      </c>
      <c r="BP68" s="229">
        <v>-0.8014</v>
      </c>
      <c r="BQ68" s="228">
        <v>649</v>
      </c>
      <c r="BR68" s="230">
        <v>2557</v>
      </c>
      <c r="BS68" s="230">
        <v>-1909</v>
      </c>
      <c r="BT68" s="229">
        <v>-0.74629999999999996</v>
      </c>
      <c r="BU68" s="230">
        <v>930704</v>
      </c>
      <c r="BV68" s="230">
        <v>1887776</v>
      </c>
      <c r="BW68" s="230">
        <v>-957072</v>
      </c>
      <c r="BX68" s="229">
        <v>-0.50700000000000001</v>
      </c>
      <c r="BY68" s="228">
        <v>899</v>
      </c>
      <c r="BZ68" s="228">
        <v>903</v>
      </c>
      <c r="CA68" s="228">
        <v>-5</v>
      </c>
      <c r="CB68" s="229">
        <v>-5.4000000000000003E-3</v>
      </c>
      <c r="CC68" s="228">
        <v>18</v>
      </c>
      <c r="CD68" s="228">
        <v>63</v>
      </c>
      <c r="CE68" s="228">
        <v>-44</v>
      </c>
      <c r="CF68" s="229">
        <v>-0.70599999999999996</v>
      </c>
      <c r="CG68" s="228">
        <v>895</v>
      </c>
      <c r="CH68" s="228">
        <v>838</v>
      </c>
      <c r="CI68" s="228">
        <v>57</v>
      </c>
      <c r="CJ68" s="229">
        <v>6.8500000000000005E-2</v>
      </c>
      <c r="CK68" s="228">
        <v>4</v>
      </c>
      <c r="CL68" s="228">
        <v>3</v>
      </c>
      <c r="CM68" s="228">
        <v>0</v>
      </c>
      <c r="CN68" s="229">
        <v>0.11899999999999999</v>
      </c>
      <c r="CO68" s="228">
        <v>131</v>
      </c>
      <c r="CP68" s="228">
        <v>277</v>
      </c>
      <c r="CQ68" s="228">
        <v>-146</v>
      </c>
      <c r="CR68" s="229">
        <v>-0.52659999999999996</v>
      </c>
      <c r="CS68" s="228">
        <v>68</v>
      </c>
      <c r="CT68" s="228">
        <v>177</v>
      </c>
      <c r="CU68" s="228">
        <v>-109</v>
      </c>
      <c r="CV68" s="229">
        <v>-0.61819999999999997</v>
      </c>
      <c r="CW68" s="230">
        <v>1097</v>
      </c>
      <c r="CX68" s="230">
        <v>1357</v>
      </c>
      <c r="CY68" s="228">
        <v>-260</v>
      </c>
      <c r="CZ68" s="229">
        <v>-0.19159999999999999</v>
      </c>
      <c r="DA68" s="228">
        <v>27.01</v>
      </c>
      <c r="DB68" s="228">
        <v>28</v>
      </c>
      <c r="DC68" s="228">
        <v>-0.99</v>
      </c>
      <c r="DD68" s="228">
        <v>-0.99</v>
      </c>
      <c r="DE68" s="228">
        <v>34.43</v>
      </c>
      <c r="DF68" s="228">
        <v>34.520000000000003</v>
      </c>
      <c r="DG68" s="228">
        <v>-7.42</v>
      </c>
      <c r="DH68" s="228">
        <v>-0.09</v>
      </c>
      <c r="DI68" s="228">
        <v>26.6</v>
      </c>
      <c r="DJ68" s="228">
        <v>27.77</v>
      </c>
      <c r="DK68" s="228">
        <v>-1.17</v>
      </c>
      <c r="DL68" s="228">
        <v>-1.17</v>
      </c>
      <c r="DM68" s="228">
        <v>28</v>
      </c>
      <c r="DN68" s="228">
        <v>28.72</v>
      </c>
      <c r="DO68" s="228">
        <v>-0.72</v>
      </c>
      <c r="DP68" s="228">
        <v>-0.72</v>
      </c>
      <c r="DQ68" s="228">
        <v>0.52</v>
      </c>
      <c r="DR68" s="228">
        <v>0.64</v>
      </c>
      <c r="DS68" s="228">
        <v>-0.12</v>
      </c>
      <c r="DT68" s="229">
        <v>-0.1875</v>
      </c>
      <c r="DU68" s="231">
        <v>1000</v>
      </c>
      <c r="DV68" s="228">
        <v>900</v>
      </c>
      <c r="DW68" s="228">
        <v>0.43</v>
      </c>
      <c r="DX68" s="228">
        <v>0.45</v>
      </c>
      <c r="DY68" s="228">
        <v>-0.02</v>
      </c>
      <c r="DZ68" s="229">
        <v>-4.4400000000000002E-2</v>
      </c>
      <c r="EA68" s="229">
        <v>0.97989999999999999</v>
      </c>
      <c r="EB68" s="230">
        <v>8630400</v>
      </c>
      <c r="EC68" s="229">
        <v>7.7000000000000002E-3</v>
      </c>
      <c r="ED68" s="229">
        <v>0.97989999999999999</v>
      </c>
      <c r="EE68" s="228">
        <v>7.08</v>
      </c>
      <c r="EF68" s="229">
        <v>7.3000000000000001E-3</v>
      </c>
      <c r="EG68" s="230">
        <v>418585</v>
      </c>
      <c r="EH68" s="230">
        <v>702180</v>
      </c>
      <c r="EI68" s="229">
        <v>-0.40389999999999998</v>
      </c>
      <c r="EJ68" s="229">
        <v>0.44979999999999998</v>
      </c>
      <c r="EK68" s="228">
        <v>294.10000000000002</v>
      </c>
      <c r="EL68" s="228">
        <v>119.92</v>
      </c>
      <c r="EM68" s="228">
        <v>239.31</v>
      </c>
      <c r="EN68" s="228">
        <v>56.54</v>
      </c>
      <c r="EO68" s="228">
        <v>653.33000000000004</v>
      </c>
      <c r="EP68" s="231">
        <v>2589.92</v>
      </c>
      <c r="EQ68" s="231">
        <v>-1936.59</v>
      </c>
      <c r="ER68" s="229">
        <v>-0.74770000000000003</v>
      </c>
      <c r="ES68" s="228">
        <v>134.03</v>
      </c>
      <c r="ET68" s="228">
        <v>64.83</v>
      </c>
      <c r="EU68" s="228">
        <v>898.55</v>
      </c>
      <c r="EV68" s="231">
        <v>70894446</v>
      </c>
      <c r="EW68" s="231">
        <v>1097.4100000000001</v>
      </c>
      <c r="EX68" s="231">
        <v>1356.49</v>
      </c>
      <c r="EY68" s="228">
        <v>-259.08</v>
      </c>
      <c r="EZ68" s="229">
        <v>-0.191</v>
      </c>
      <c r="FA68" s="229">
        <v>0.1588</v>
      </c>
      <c r="FB68" s="227" t="s">
        <v>567</v>
      </c>
      <c r="FC68">
        <f t="shared" si="1"/>
        <v>881</v>
      </c>
    </row>
    <row r="69" spans="1:159" ht="17.25" thickBot="1" x14ac:dyDescent="0.3">
      <c r="A69" s="226">
        <v>46168</v>
      </c>
      <c r="B69" s="227" t="s">
        <v>193</v>
      </c>
      <c r="C69" s="227" t="s">
        <v>213</v>
      </c>
      <c r="D69" s="228">
        <v>3150</v>
      </c>
      <c r="E69" s="228">
        <v>0</v>
      </c>
      <c r="F69" s="228">
        <v>168.94</v>
      </c>
      <c r="G69" s="228">
        <v>169.4</v>
      </c>
      <c r="H69" s="228">
        <v>-0.46</v>
      </c>
      <c r="I69" s="229">
        <v>-2.7000000000000001E-3</v>
      </c>
      <c r="J69" s="228">
        <v>167.63</v>
      </c>
      <c r="K69" s="228">
        <v>168.67</v>
      </c>
      <c r="L69" s="228">
        <v>-1.04</v>
      </c>
      <c r="M69" s="229">
        <v>-6.1999999999999998E-3</v>
      </c>
      <c r="N69" s="228">
        <v>167.43</v>
      </c>
      <c r="O69" s="228">
        <v>168.47</v>
      </c>
      <c r="P69" s="228">
        <v>-1.04</v>
      </c>
      <c r="Q69" s="229">
        <v>-6.1999999999999998E-3</v>
      </c>
      <c r="R69" s="228">
        <v>168.94</v>
      </c>
      <c r="S69" s="228">
        <v>169.4</v>
      </c>
      <c r="T69" s="228">
        <v>-0.46</v>
      </c>
      <c r="U69" s="229">
        <v>-2.7000000000000001E-3</v>
      </c>
      <c r="V69" s="228">
        <v>169.74</v>
      </c>
      <c r="W69" s="228">
        <v>170.23</v>
      </c>
      <c r="X69" s="228">
        <v>-0.49</v>
      </c>
      <c r="Y69" s="229">
        <v>-2.8999999999999998E-3</v>
      </c>
      <c r="Z69" s="228">
        <v>1.31</v>
      </c>
      <c r="AA69" s="228">
        <v>-0.2</v>
      </c>
      <c r="AB69" s="228">
        <v>1.51</v>
      </c>
      <c r="AC69" s="229">
        <v>7.7999999999999996E-3</v>
      </c>
      <c r="AD69" s="228">
        <v>-0.2</v>
      </c>
      <c r="AE69" s="228">
        <v>-0.2</v>
      </c>
      <c r="AF69" s="228">
        <v>0</v>
      </c>
      <c r="AG69" s="229">
        <v>-1.1999999999999999E-3</v>
      </c>
      <c r="AH69" s="228">
        <v>1.31</v>
      </c>
      <c r="AI69" s="228">
        <v>0.73</v>
      </c>
      <c r="AJ69" s="228">
        <v>0.57999999999999996</v>
      </c>
      <c r="AK69" s="229">
        <v>7.7999999999999996E-3</v>
      </c>
      <c r="AL69" s="228">
        <v>2.11</v>
      </c>
      <c r="AM69" s="228">
        <v>1.56</v>
      </c>
      <c r="AN69" s="228">
        <v>0.55000000000000004</v>
      </c>
      <c r="AO69" s="229">
        <v>1.26E-2</v>
      </c>
      <c r="AP69" s="228">
        <v>168.1</v>
      </c>
      <c r="AQ69" s="228">
        <v>169.36</v>
      </c>
      <c r="AR69" s="228">
        <v>0</v>
      </c>
      <c r="AS69" s="228">
        <v>512</v>
      </c>
      <c r="AT69" s="230">
        <v>1308</v>
      </c>
      <c r="AU69" s="228">
        <v>-796</v>
      </c>
      <c r="AV69" s="229">
        <v>-0.60829999999999995</v>
      </c>
      <c r="AW69" s="228">
        <v>204</v>
      </c>
      <c r="AX69" s="228">
        <v>536</v>
      </c>
      <c r="AY69" s="228">
        <v>-333</v>
      </c>
      <c r="AZ69" s="229">
        <v>-0.62039999999999995</v>
      </c>
      <c r="BA69" s="228">
        <v>302</v>
      </c>
      <c r="BB69" s="228">
        <v>756</v>
      </c>
      <c r="BC69" s="228">
        <v>-454</v>
      </c>
      <c r="BD69" s="229">
        <v>-0.60089999999999999</v>
      </c>
      <c r="BE69" s="228">
        <v>7</v>
      </c>
      <c r="BF69" s="228">
        <v>16</v>
      </c>
      <c r="BG69" s="228">
        <v>-9</v>
      </c>
      <c r="BH69" s="229">
        <v>-0.55069999999999997</v>
      </c>
      <c r="BI69" s="228">
        <v>606</v>
      </c>
      <c r="BJ69" s="230">
        <v>3422</v>
      </c>
      <c r="BK69" s="230">
        <v>-2816</v>
      </c>
      <c r="BL69" s="229">
        <v>-0.82289999999999996</v>
      </c>
      <c r="BM69" s="228">
        <v>438</v>
      </c>
      <c r="BN69" s="230">
        <v>1505</v>
      </c>
      <c r="BO69" s="230">
        <v>-1067</v>
      </c>
      <c r="BP69" s="229">
        <v>-0.70909999999999995</v>
      </c>
      <c r="BQ69" s="230">
        <v>1556</v>
      </c>
      <c r="BR69" s="230">
        <v>6235</v>
      </c>
      <c r="BS69" s="230">
        <v>-4678</v>
      </c>
      <c r="BT69" s="229">
        <v>-0.75039999999999996</v>
      </c>
      <c r="BU69" s="230">
        <v>16973557</v>
      </c>
      <c r="BV69" s="230">
        <v>38002660</v>
      </c>
      <c r="BW69" s="230">
        <v>-21029103</v>
      </c>
      <c r="BX69" s="229">
        <v>-0.5534</v>
      </c>
      <c r="BY69" s="230">
        <v>1307</v>
      </c>
      <c r="BZ69" s="230">
        <v>1423</v>
      </c>
      <c r="CA69" s="228">
        <v>-116</v>
      </c>
      <c r="CB69" s="229">
        <v>-8.1600000000000006E-2</v>
      </c>
      <c r="CC69" s="228">
        <v>128</v>
      </c>
      <c r="CD69" s="228">
        <v>190</v>
      </c>
      <c r="CE69" s="228">
        <v>-62</v>
      </c>
      <c r="CF69" s="229">
        <v>-0.32629999999999998</v>
      </c>
      <c r="CG69" s="230">
        <v>1279</v>
      </c>
      <c r="CH69" s="230">
        <v>1207</v>
      </c>
      <c r="CI69" s="228">
        <v>72</v>
      </c>
      <c r="CJ69" s="229">
        <v>5.9499999999999997E-2</v>
      </c>
      <c r="CK69" s="228">
        <v>28</v>
      </c>
      <c r="CL69" s="228">
        <v>26</v>
      </c>
      <c r="CM69" s="228">
        <v>2</v>
      </c>
      <c r="CN69" s="229">
        <v>7.7499999999999999E-2</v>
      </c>
      <c r="CO69" s="228">
        <v>295</v>
      </c>
      <c r="CP69" s="228">
        <v>585</v>
      </c>
      <c r="CQ69" s="228">
        <v>-289</v>
      </c>
      <c r="CR69" s="229">
        <v>-0.49459999999999998</v>
      </c>
      <c r="CS69" s="228">
        <v>257</v>
      </c>
      <c r="CT69" s="228">
        <v>565</v>
      </c>
      <c r="CU69" s="228">
        <v>-308</v>
      </c>
      <c r="CV69" s="229">
        <v>-0.54559999999999997</v>
      </c>
      <c r="CW69" s="230">
        <v>1859</v>
      </c>
      <c r="CX69" s="230">
        <v>2573</v>
      </c>
      <c r="CY69" s="228">
        <v>-714</v>
      </c>
      <c r="CZ69" s="229">
        <v>-0.27739999999999998</v>
      </c>
      <c r="DA69" s="228">
        <v>25.33</v>
      </c>
      <c r="DB69" s="228">
        <v>27.12</v>
      </c>
      <c r="DC69" s="228">
        <v>-1.79</v>
      </c>
      <c r="DD69" s="228">
        <v>-1.79</v>
      </c>
      <c r="DE69" s="228">
        <v>35.4</v>
      </c>
      <c r="DF69" s="228">
        <v>35.479999999999997</v>
      </c>
      <c r="DG69" s="228">
        <v>-10.07</v>
      </c>
      <c r="DH69" s="228">
        <v>-0.08</v>
      </c>
      <c r="DI69" s="228">
        <v>25.13</v>
      </c>
      <c r="DJ69" s="228">
        <v>27.12</v>
      </c>
      <c r="DK69" s="228">
        <v>-1.99</v>
      </c>
      <c r="DL69" s="228">
        <v>-1.99</v>
      </c>
      <c r="DM69" s="228">
        <v>25.65</v>
      </c>
      <c r="DN69" s="228">
        <v>27.11</v>
      </c>
      <c r="DO69" s="228">
        <v>-1.46</v>
      </c>
      <c r="DP69" s="228">
        <v>-1.46</v>
      </c>
      <c r="DQ69" s="228">
        <v>0.87</v>
      </c>
      <c r="DR69" s="228">
        <v>0.97</v>
      </c>
      <c r="DS69" s="228">
        <v>-0.1</v>
      </c>
      <c r="DT69" s="229">
        <v>-0.1031</v>
      </c>
      <c r="DU69" s="228">
        <v>170</v>
      </c>
      <c r="DV69" s="228">
        <v>190</v>
      </c>
      <c r="DW69" s="228">
        <v>0.72</v>
      </c>
      <c r="DX69" s="228">
        <v>0.44</v>
      </c>
      <c r="DY69" s="228">
        <v>0.28000000000000003</v>
      </c>
      <c r="DZ69" s="229">
        <v>0.63639999999999997</v>
      </c>
      <c r="EA69" s="229">
        <v>0.91080000000000005</v>
      </c>
      <c r="EB69" s="230">
        <v>72985800</v>
      </c>
      <c r="EC69" s="229">
        <v>8.9999999999999993E-3</v>
      </c>
      <c r="ED69" s="229">
        <v>0.91080000000000005</v>
      </c>
      <c r="EE69" s="228">
        <v>1.26</v>
      </c>
      <c r="EF69" s="229">
        <v>7.4999999999999997E-3</v>
      </c>
      <c r="EG69" s="230">
        <v>9209178</v>
      </c>
      <c r="EH69" s="230">
        <v>11531707</v>
      </c>
      <c r="EI69" s="229">
        <v>-0.2014</v>
      </c>
      <c r="EJ69" s="229">
        <v>0.54259999999999997</v>
      </c>
      <c r="EK69" s="228">
        <v>627.42999999999995</v>
      </c>
      <c r="EL69" s="228">
        <v>430.59</v>
      </c>
      <c r="EM69" s="228">
        <v>513.12</v>
      </c>
      <c r="EN69" s="228">
        <v>170.24</v>
      </c>
      <c r="EO69" s="231">
        <v>1571.14</v>
      </c>
      <c r="EP69" s="231">
        <v>6277.58</v>
      </c>
      <c r="EQ69" s="231">
        <v>-4706.43</v>
      </c>
      <c r="ER69" s="229">
        <v>-0.74970000000000003</v>
      </c>
      <c r="ES69" s="228">
        <v>300.70999999999998</v>
      </c>
      <c r="ET69" s="228">
        <v>253.61</v>
      </c>
      <c r="EU69" s="231">
        <v>1306.97</v>
      </c>
      <c r="EV69" s="231">
        <v>471255857</v>
      </c>
      <c r="EW69" s="231">
        <v>1861.3</v>
      </c>
      <c r="EX69" s="231">
        <v>2559.4499999999998</v>
      </c>
      <c r="EY69" s="228">
        <v>-698.15</v>
      </c>
      <c r="EZ69" s="229">
        <v>-0.27279999999999999</v>
      </c>
      <c r="FA69" s="229">
        <v>0.23350000000000001</v>
      </c>
      <c r="FB69" s="227" t="s">
        <v>567</v>
      </c>
      <c r="FC69">
        <f t="shared" si="1"/>
        <v>1179</v>
      </c>
    </row>
    <row r="70" spans="1:159" ht="17.25" thickBot="1" x14ac:dyDescent="0.3">
      <c r="A70" s="226">
        <v>46168</v>
      </c>
      <c r="B70" s="227" t="s">
        <v>170</v>
      </c>
      <c r="C70" s="227" t="s">
        <v>214</v>
      </c>
      <c r="D70" s="228">
        <v>375</v>
      </c>
      <c r="E70" s="228">
        <v>0</v>
      </c>
      <c r="F70" s="231">
        <v>2372.1999999999998</v>
      </c>
      <c r="G70" s="231">
        <v>2355.9</v>
      </c>
      <c r="H70" s="228">
        <v>16.3</v>
      </c>
      <c r="I70" s="229">
        <v>6.8999999999999999E-3</v>
      </c>
      <c r="J70" s="231">
        <v>2351.4</v>
      </c>
      <c r="K70" s="231">
        <v>2337</v>
      </c>
      <c r="L70" s="228">
        <v>14.4</v>
      </c>
      <c r="M70" s="229">
        <v>6.1999999999999998E-3</v>
      </c>
      <c r="N70" s="231">
        <v>2356</v>
      </c>
      <c r="O70" s="231">
        <v>2338.9</v>
      </c>
      <c r="P70" s="228">
        <v>17.100000000000001</v>
      </c>
      <c r="Q70" s="229">
        <v>7.3000000000000001E-3</v>
      </c>
      <c r="R70" s="231">
        <v>2372.1999999999998</v>
      </c>
      <c r="S70" s="231">
        <v>2355.9</v>
      </c>
      <c r="T70" s="228">
        <v>16.3</v>
      </c>
      <c r="U70" s="229">
        <v>6.8999999999999999E-3</v>
      </c>
      <c r="V70" s="231">
        <v>2396.6</v>
      </c>
      <c r="W70" s="231">
        <v>2369.1</v>
      </c>
      <c r="X70" s="228">
        <v>27.5</v>
      </c>
      <c r="Y70" s="229">
        <v>1.1599999999999999E-2</v>
      </c>
      <c r="Z70" s="228">
        <v>20.8</v>
      </c>
      <c r="AA70" s="228">
        <v>1.9</v>
      </c>
      <c r="AB70" s="228">
        <v>18.899999999999999</v>
      </c>
      <c r="AC70" s="229">
        <v>8.8000000000000005E-3</v>
      </c>
      <c r="AD70" s="228">
        <v>4.5999999999999996</v>
      </c>
      <c r="AE70" s="228">
        <v>1.9</v>
      </c>
      <c r="AF70" s="228">
        <v>2.7</v>
      </c>
      <c r="AG70" s="229">
        <v>2E-3</v>
      </c>
      <c r="AH70" s="228">
        <v>20.8</v>
      </c>
      <c r="AI70" s="228">
        <v>18.899999999999999</v>
      </c>
      <c r="AJ70" s="228">
        <v>1.9</v>
      </c>
      <c r="AK70" s="229">
        <v>8.8000000000000005E-3</v>
      </c>
      <c r="AL70" s="228">
        <v>45.2</v>
      </c>
      <c r="AM70" s="228">
        <v>32.1</v>
      </c>
      <c r="AN70" s="228">
        <v>13.1</v>
      </c>
      <c r="AO70" s="229">
        <v>1.9199999999999998E-2</v>
      </c>
      <c r="AP70" s="231">
        <v>2351.87</v>
      </c>
      <c r="AQ70" s="231">
        <v>2369.4299999999998</v>
      </c>
      <c r="AR70" s="228">
        <v>0</v>
      </c>
      <c r="AS70" s="228">
        <v>670</v>
      </c>
      <c r="AT70" s="230">
        <v>1945</v>
      </c>
      <c r="AU70" s="230">
        <v>-1276</v>
      </c>
      <c r="AV70" s="229">
        <v>-0.65580000000000005</v>
      </c>
      <c r="AW70" s="228">
        <v>264</v>
      </c>
      <c r="AX70" s="228">
        <v>857</v>
      </c>
      <c r="AY70" s="228">
        <v>-593</v>
      </c>
      <c r="AZ70" s="229">
        <v>-0.69230000000000003</v>
      </c>
      <c r="BA70" s="228">
        <v>405</v>
      </c>
      <c r="BB70" s="230">
        <v>1084</v>
      </c>
      <c r="BC70" s="228">
        <v>-679</v>
      </c>
      <c r="BD70" s="229">
        <v>-0.62660000000000005</v>
      </c>
      <c r="BE70" s="228">
        <v>1</v>
      </c>
      <c r="BF70" s="228">
        <v>4</v>
      </c>
      <c r="BG70" s="228">
        <v>-3</v>
      </c>
      <c r="BH70" s="229">
        <v>-0.73809999999999998</v>
      </c>
      <c r="BI70" s="230">
        <v>1040</v>
      </c>
      <c r="BJ70" s="230">
        <v>3295</v>
      </c>
      <c r="BK70" s="230">
        <v>-2255</v>
      </c>
      <c r="BL70" s="229">
        <v>-0.68430000000000002</v>
      </c>
      <c r="BM70" s="228">
        <v>707</v>
      </c>
      <c r="BN70" s="230">
        <v>1595</v>
      </c>
      <c r="BO70" s="228">
        <v>-888</v>
      </c>
      <c r="BP70" s="229">
        <v>-0.55669999999999997</v>
      </c>
      <c r="BQ70" s="230">
        <v>2417</v>
      </c>
      <c r="BR70" s="230">
        <v>6835</v>
      </c>
      <c r="BS70" s="230">
        <v>-4418</v>
      </c>
      <c r="BT70" s="229">
        <v>-0.64639999999999997</v>
      </c>
      <c r="BU70" s="230">
        <v>493618</v>
      </c>
      <c r="BV70" s="230">
        <v>860613</v>
      </c>
      <c r="BW70" s="230">
        <v>-366995</v>
      </c>
      <c r="BX70" s="229">
        <v>-0.4264</v>
      </c>
      <c r="BY70" s="230">
        <v>2680</v>
      </c>
      <c r="BZ70" s="230">
        <v>2704</v>
      </c>
      <c r="CA70" s="228">
        <v>-25</v>
      </c>
      <c r="CB70" s="229">
        <v>-9.1000000000000004E-3</v>
      </c>
      <c r="CC70" s="228">
        <v>47</v>
      </c>
      <c r="CD70" s="228">
        <v>224</v>
      </c>
      <c r="CE70" s="228">
        <v>-177</v>
      </c>
      <c r="CF70" s="229">
        <v>-0.78969999999999996</v>
      </c>
      <c r="CG70" s="230">
        <v>2673</v>
      </c>
      <c r="CH70" s="230">
        <v>2475</v>
      </c>
      <c r="CI70" s="228">
        <v>199</v>
      </c>
      <c r="CJ70" s="229">
        <v>8.0299999999999996E-2</v>
      </c>
      <c r="CK70" s="228">
        <v>6</v>
      </c>
      <c r="CL70" s="228">
        <v>6</v>
      </c>
      <c r="CM70" s="228">
        <v>0</v>
      </c>
      <c r="CN70" s="229">
        <v>6.0600000000000001E-2</v>
      </c>
      <c r="CO70" s="228">
        <v>369</v>
      </c>
      <c r="CP70" s="228">
        <v>746</v>
      </c>
      <c r="CQ70" s="228">
        <v>-376</v>
      </c>
      <c r="CR70" s="229">
        <v>-0.50449999999999995</v>
      </c>
      <c r="CS70" s="228">
        <v>263</v>
      </c>
      <c r="CT70" s="228">
        <v>442</v>
      </c>
      <c r="CU70" s="228">
        <v>-179</v>
      </c>
      <c r="CV70" s="229">
        <v>-0.40529999999999999</v>
      </c>
      <c r="CW70" s="230">
        <v>3312</v>
      </c>
      <c r="CX70" s="230">
        <v>3892</v>
      </c>
      <c r="CY70" s="228">
        <v>-580</v>
      </c>
      <c r="CZ70" s="229">
        <v>-0.14899999999999999</v>
      </c>
      <c r="DA70" s="228">
        <v>37.82</v>
      </c>
      <c r="DB70" s="228">
        <v>38.61</v>
      </c>
      <c r="DC70" s="228">
        <v>-0.79</v>
      </c>
      <c r="DD70" s="228">
        <v>-0.79</v>
      </c>
      <c r="DE70" s="228">
        <v>36.659999999999997</v>
      </c>
      <c r="DF70" s="228">
        <v>36.74</v>
      </c>
      <c r="DG70" s="228">
        <v>1.1599999999999999</v>
      </c>
      <c r="DH70" s="228">
        <v>-0.08</v>
      </c>
      <c r="DI70" s="228">
        <v>37.81</v>
      </c>
      <c r="DJ70" s="228">
        <v>38.72</v>
      </c>
      <c r="DK70" s="228">
        <v>-0.91</v>
      </c>
      <c r="DL70" s="228">
        <v>-0.91</v>
      </c>
      <c r="DM70" s="228">
        <v>37.85</v>
      </c>
      <c r="DN70" s="228">
        <v>38.369999999999997</v>
      </c>
      <c r="DO70" s="228">
        <v>-0.52</v>
      </c>
      <c r="DP70" s="228">
        <v>-0.52</v>
      </c>
      <c r="DQ70" s="228">
        <v>0.71</v>
      </c>
      <c r="DR70" s="228">
        <v>0.59</v>
      </c>
      <c r="DS70" s="228">
        <v>0.12</v>
      </c>
      <c r="DT70" s="229">
        <v>0.2034</v>
      </c>
      <c r="DU70" s="231">
        <v>2500</v>
      </c>
      <c r="DV70" s="231">
        <v>2300</v>
      </c>
      <c r="DW70" s="228">
        <v>0.68</v>
      </c>
      <c r="DX70" s="228">
        <v>0.48</v>
      </c>
      <c r="DY70" s="228">
        <v>0.2</v>
      </c>
      <c r="DZ70" s="229">
        <v>0.41670000000000001</v>
      </c>
      <c r="EA70" s="229">
        <v>0.98270000000000002</v>
      </c>
      <c r="EB70" s="230">
        <v>10456125</v>
      </c>
      <c r="EC70" s="229">
        <v>6.8999999999999999E-3</v>
      </c>
      <c r="ED70" s="229">
        <v>0.98270000000000002</v>
      </c>
      <c r="EE70" s="228">
        <v>17.559999999999999</v>
      </c>
      <c r="EF70" s="229">
        <v>7.4999999999999997E-3</v>
      </c>
      <c r="EG70" s="230">
        <v>220910</v>
      </c>
      <c r="EH70" s="230">
        <v>204122</v>
      </c>
      <c r="EI70" s="229">
        <v>8.2199999999999995E-2</v>
      </c>
      <c r="EJ70" s="229">
        <v>0.44750000000000001</v>
      </c>
      <c r="EK70" s="231">
        <v>1065.6500000000001</v>
      </c>
      <c r="EL70" s="228">
        <v>688.88</v>
      </c>
      <c r="EM70" s="228">
        <v>666.94</v>
      </c>
      <c r="EN70" s="228">
        <v>156.30000000000001</v>
      </c>
      <c r="EO70" s="231">
        <v>2421.4699999999998</v>
      </c>
      <c r="EP70" s="231">
        <v>6834.72</v>
      </c>
      <c r="EQ70" s="231">
        <v>-4413.25</v>
      </c>
      <c r="ER70" s="229">
        <v>-0.64570000000000005</v>
      </c>
      <c r="ES70" s="228">
        <v>379.59</v>
      </c>
      <c r="ET70" s="228">
        <v>249.69</v>
      </c>
      <c r="EU70" s="231">
        <v>2679.64</v>
      </c>
      <c r="EV70" s="231">
        <v>15844372</v>
      </c>
      <c r="EW70" s="231">
        <v>3308.92</v>
      </c>
      <c r="EX70" s="231">
        <v>3870.08</v>
      </c>
      <c r="EY70" s="228">
        <v>-561.16</v>
      </c>
      <c r="EZ70" s="229">
        <v>-0.14499999999999999</v>
      </c>
      <c r="FA70" s="229">
        <v>0.88119999999999998</v>
      </c>
      <c r="FB70" s="227" t="s">
        <v>691</v>
      </c>
      <c r="FC70">
        <f t="shared" si="1"/>
        <v>2633</v>
      </c>
    </row>
    <row r="71" spans="1:159" ht="17.25" thickBot="1" x14ac:dyDescent="0.3">
      <c r="A71" s="226">
        <v>46168</v>
      </c>
      <c r="B71" s="227" t="s">
        <v>215</v>
      </c>
      <c r="C71" s="227" t="s">
        <v>630</v>
      </c>
      <c r="D71" s="228">
        <v>6975</v>
      </c>
      <c r="E71" s="228">
        <v>0</v>
      </c>
      <c r="F71" s="228">
        <v>96.88</v>
      </c>
      <c r="G71" s="228">
        <v>97.6</v>
      </c>
      <c r="H71" s="228">
        <v>-0.72</v>
      </c>
      <c r="I71" s="229">
        <v>-7.4000000000000003E-3</v>
      </c>
      <c r="J71" s="228">
        <v>96.23</v>
      </c>
      <c r="K71" s="228">
        <v>96.9</v>
      </c>
      <c r="L71" s="228">
        <v>-0.67</v>
      </c>
      <c r="M71" s="229">
        <v>-6.8999999999999999E-3</v>
      </c>
      <c r="N71" s="228">
        <v>96.2</v>
      </c>
      <c r="O71" s="228">
        <v>97.02</v>
      </c>
      <c r="P71" s="228">
        <v>-0.82</v>
      </c>
      <c r="Q71" s="229">
        <v>-8.5000000000000006E-3</v>
      </c>
      <c r="R71" s="228">
        <v>96.88</v>
      </c>
      <c r="S71" s="228">
        <v>97.6</v>
      </c>
      <c r="T71" s="228">
        <v>-0.72</v>
      </c>
      <c r="U71" s="229">
        <v>-7.4000000000000003E-3</v>
      </c>
      <c r="V71" s="228">
        <v>97.65</v>
      </c>
      <c r="W71" s="228">
        <v>98.25</v>
      </c>
      <c r="X71" s="228">
        <v>-0.6</v>
      </c>
      <c r="Y71" s="229">
        <v>-6.1000000000000004E-3</v>
      </c>
      <c r="Z71" s="228">
        <v>0.65</v>
      </c>
      <c r="AA71" s="228">
        <v>0.12</v>
      </c>
      <c r="AB71" s="228">
        <v>0.53</v>
      </c>
      <c r="AC71" s="229">
        <v>6.7999999999999996E-3</v>
      </c>
      <c r="AD71" s="228">
        <v>-0.03</v>
      </c>
      <c r="AE71" s="228">
        <v>0.12</v>
      </c>
      <c r="AF71" s="228">
        <v>-0.15</v>
      </c>
      <c r="AG71" s="229">
        <v>-2.9999999999999997E-4</v>
      </c>
      <c r="AH71" s="228">
        <v>0.65</v>
      </c>
      <c r="AI71" s="228">
        <v>0.7</v>
      </c>
      <c r="AJ71" s="228">
        <v>-0.05</v>
      </c>
      <c r="AK71" s="229">
        <v>6.7999999999999996E-3</v>
      </c>
      <c r="AL71" s="228">
        <v>1.42</v>
      </c>
      <c r="AM71" s="228">
        <v>1.35</v>
      </c>
      <c r="AN71" s="228">
        <v>7.0000000000000007E-2</v>
      </c>
      <c r="AO71" s="229">
        <v>1.4800000000000001E-2</v>
      </c>
      <c r="AP71" s="228">
        <v>96.32</v>
      </c>
      <c r="AQ71" s="228">
        <v>96.95</v>
      </c>
      <c r="AR71" s="228">
        <v>0</v>
      </c>
      <c r="AS71" s="228">
        <v>534</v>
      </c>
      <c r="AT71" s="228">
        <v>604</v>
      </c>
      <c r="AU71" s="228">
        <v>-70</v>
      </c>
      <c r="AV71" s="229">
        <v>-0.1157</v>
      </c>
      <c r="AW71" s="228">
        <v>215</v>
      </c>
      <c r="AX71" s="228">
        <v>294</v>
      </c>
      <c r="AY71" s="228">
        <v>-79</v>
      </c>
      <c r="AZ71" s="229">
        <v>-0.26750000000000002</v>
      </c>
      <c r="BA71" s="228">
        <v>311</v>
      </c>
      <c r="BB71" s="228">
        <v>308</v>
      </c>
      <c r="BC71" s="228">
        <v>4</v>
      </c>
      <c r="BD71" s="229">
        <v>1.1599999999999999E-2</v>
      </c>
      <c r="BE71" s="228">
        <v>8</v>
      </c>
      <c r="BF71" s="228">
        <v>3</v>
      </c>
      <c r="BG71" s="228">
        <v>5</v>
      </c>
      <c r="BH71" s="229">
        <v>1.875</v>
      </c>
      <c r="BI71" s="228">
        <v>385</v>
      </c>
      <c r="BJ71" s="228">
        <v>324</v>
      </c>
      <c r="BK71" s="228">
        <v>61</v>
      </c>
      <c r="BL71" s="229">
        <v>0.18790000000000001</v>
      </c>
      <c r="BM71" s="228">
        <v>136</v>
      </c>
      <c r="BN71" s="228">
        <v>154</v>
      </c>
      <c r="BO71" s="228">
        <v>-18</v>
      </c>
      <c r="BP71" s="229">
        <v>-0.11459999999999999</v>
      </c>
      <c r="BQ71" s="230">
        <v>1055</v>
      </c>
      <c r="BR71" s="230">
        <v>1082</v>
      </c>
      <c r="BS71" s="228">
        <v>-27</v>
      </c>
      <c r="BT71" s="229">
        <v>-2.46E-2</v>
      </c>
      <c r="BU71" s="230">
        <v>9727707</v>
      </c>
      <c r="BV71" s="230">
        <v>6664583</v>
      </c>
      <c r="BW71" s="230">
        <v>3063124</v>
      </c>
      <c r="BX71" s="229">
        <v>0.45960000000000001</v>
      </c>
      <c r="BY71" s="230">
        <v>1165</v>
      </c>
      <c r="BZ71" s="230">
        <v>1290</v>
      </c>
      <c r="CA71" s="228">
        <v>-125</v>
      </c>
      <c r="CB71" s="229">
        <v>-9.7199999999999995E-2</v>
      </c>
      <c r="CC71" s="228">
        <v>141</v>
      </c>
      <c r="CD71" s="228">
        <v>298</v>
      </c>
      <c r="CE71" s="228">
        <v>-156</v>
      </c>
      <c r="CF71" s="229">
        <v>-0.52500000000000002</v>
      </c>
      <c r="CG71" s="230">
        <v>1141</v>
      </c>
      <c r="CH71" s="228">
        <v>972</v>
      </c>
      <c r="CI71" s="228">
        <v>169</v>
      </c>
      <c r="CJ71" s="229">
        <v>0.1736</v>
      </c>
      <c r="CK71" s="228">
        <v>24</v>
      </c>
      <c r="CL71" s="228">
        <v>20</v>
      </c>
      <c r="CM71" s="228">
        <v>4</v>
      </c>
      <c r="CN71" s="229">
        <v>0.18390000000000001</v>
      </c>
      <c r="CO71" s="228">
        <v>216</v>
      </c>
      <c r="CP71" s="228">
        <v>477</v>
      </c>
      <c r="CQ71" s="228">
        <v>-261</v>
      </c>
      <c r="CR71" s="229">
        <v>-0.54790000000000005</v>
      </c>
      <c r="CS71" s="228">
        <v>146</v>
      </c>
      <c r="CT71" s="228">
        <v>317</v>
      </c>
      <c r="CU71" s="228">
        <v>-170</v>
      </c>
      <c r="CV71" s="229">
        <v>-0.53790000000000004</v>
      </c>
      <c r="CW71" s="230">
        <v>1527</v>
      </c>
      <c r="CX71" s="230">
        <v>2084</v>
      </c>
      <c r="CY71" s="228">
        <v>-557</v>
      </c>
      <c r="CZ71" s="229">
        <v>-0.26740000000000003</v>
      </c>
      <c r="DA71" s="228">
        <v>32.81</v>
      </c>
      <c r="DB71" s="228">
        <v>33.159999999999997</v>
      </c>
      <c r="DC71" s="228">
        <v>-0.35</v>
      </c>
      <c r="DD71" s="228">
        <v>-0.35</v>
      </c>
      <c r="DE71" s="228">
        <v>40.380000000000003</v>
      </c>
      <c r="DF71" s="228">
        <v>40.47</v>
      </c>
      <c r="DG71" s="228">
        <v>-7.57</v>
      </c>
      <c r="DH71" s="228">
        <v>-0.09</v>
      </c>
      <c r="DI71" s="228">
        <v>33.29</v>
      </c>
      <c r="DJ71" s="228">
        <v>33.369999999999997</v>
      </c>
      <c r="DK71" s="228">
        <v>-0.08</v>
      </c>
      <c r="DL71" s="228">
        <v>-0.08</v>
      </c>
      <c r="DM71" s="228">
        <v>31.63</v>
      </c>
      <c r="DN71" s="228">
        <v>32.76</v>
      </c>
      <c r="DO71" s="228">
        <v>-1.1299999999999999</v>
      </c>
      <c r="DP71" s="228">
        <v>-1.1299999999999999</v>
      </c>
      <c r="DQ71" s="228">
        <v>0.68</v>
      </c>
      <c r="DR71" s="228">
        <v>0.66</v>
      </c>
      <c r="DS71" s="228">
        <v>0.02</v>
      </c>
      <c r="DT71" s="229">
        <v>3.0300000000000001E-2</v>
      </c>
      <c r="DU71" s="228">
        <v>100</v>
      </c>
      <c r="DV71" s="228">
        <v>90</v>
      </c>
      <c r="DW71" s="228">
        <v>0.35</v>
      </c>
      <c r="DX71" s="228">
        <v>0.47</v>
      </c>
      <c r="DY71" s="228">
        <v>-0.12</v>
      </c>
      <c r="DZ71" s="229">
        <v>-0.25530000000000003</v>
      </c>
      <c r="EA71" s="229">
        <v>0.89170000000000005</v>
      </c>
      <c r="EB71" s="230">
        <v>102406950</v>
      </c>
      <c r="EC71" s="229">
        <v>7.1000000000000004E-3</v>
      </c>
      <c r="ED71" s="229">
        <v>0.89170000000000005</v>
      </c>
      <c r="EE71" s="228">
        <v>0.63</v>
      </c>
      <c r="EF71" s="229">
        <v>6.4999999999999997E-3</v>
      </c>
      <c r="EG71" s="230">
        <v>5642770</v>
      </c>
      <c r="EH71" s="230">
        <v>3940376</v>
      </c>
      <c r="EI71" s="229">
        <v>0.432</v>
      </c>
      <c r="EJ71" s="229">
        <v>0.58009999999999995</v>
      </c>
      <c r="EK71" s="228">
        <v>406.5</v>
      </c>
      <c r="EL71" s="228">
        <v>137.80000000000001</v>
      </c>
      <c r="EM71" s="228">
        <v>533.12</v>
      </c>
      <c r="EN71" s="228">
        <v>69.319999999999993</v>
      </c>
      <c r="EO71" s="231">
        <v>1077.42</v>
      </c>
      <c r="EP71" s="231">
        <v>1094.67</v>
      </c>
      <c r="EQ71" s="228">
        <v>-17.25</v>
      </c>
      <c r="ER71" s="229">
        <v>-1.5800000000000002E-2</v>
      </c>
      <c r="ES71" s="228">
        <v>226.46</v>
      </c>
      <c r="ET71" s="228">
        <v>142.03</v>
      </c>
      <c r="EU71" s="231">
        <v>1164.76</v>
      </c>
      <c r="EV71" s="231">
        <v>534704421</v>
      </c>
      <c r="EW71" s="231">
        <v>1533.25</v>
      </c>
      <c r="EX71" s="231">
        <v>2106.0100000000002</v>
      </c>
      <c r="EY71" s="228">
        <v>-572.76</v>
      </c>
      <c r="EZ71" s="229">
        <v>-0.27200000000000002</v>
      </c>
      <c r="FA71" s="229">
        <v>0.29470000000000002</v>
      </c>
      <c r="FB71" s="227" t="s">
        <v>567</v>
      </c>
      <c r="FC71">
        <f t="shared" si="1"/>
        <v>1024</v>
      </c>
    </row>
    <row r="72" spans="1:159" ht="17.25" thickBot="1" x14ac:dyDescent="0.3">
      <c r="A72" s="226">
        <v>46168</v>
      </c>
      <c r="B72" s="227" t="s">
        <v>168</v>
      </c>
      <c r="C72" s="227" t="s">
        <v>697</v>
      </c>
      <c r="D72" s="228">
        <v>275</v>
      </c>
      <c r="E72" s="228">
        <v>0</v>
      </c>
      <c r="F72" s="231">
        <v>2310.9</v>
      </c>
      <c r="G72" s="231">
        <v>2293.3000000000002</v>
      </c>
      <c r="H72" s="228">
        <v>17.600000000000001</v>
      </c>
      <c r="I72" s="229">
        <v>7.7000000000000002E-3</v>
      </c>
      <c r="J72" s="231">
        <v>2298.4</v>
      </c>
      <c r="K72" s="231">
        <v>2320.6</v>
      </c>
      <c r="L72" s="228">
        <v>-22.2</v>
      </c>
      <c r="M72" s="229">
        <v>-9.5999999999999992E-3</v>
      </c>
      <c r="N72" s="231">
        <v>2295.5</v>
      </c>
      <c r="O72" s="231">
        <v>2331.3000000000002</v>
      </c>
      <c r="P72" s="228">
        <v>-35.799999999999997</v>
      </c>
      <c r="Q72" s="229">
        <v>-1.54E-2</v>
      </c>
      <c r="R72" s="231">
        <v>2310.9</v>
      </c>
      <c r="S72" s="231">
        <v>2293.3000000000002</v>
      </c>
      <c r="T72" s="228">
        <v>17.600000000000001</v>
      </c>
      <c r="U72" s="229">
        <v>7.7000000000000002E-3</v>
      </c>
      <c r="V72" s="231">
        <v>2308.4</v>
      </c>
      <c r="W72" s="231">
        <v>2281.5</v>
      </c>
      <c r="X72" s="228">
        <v>26.9</v>
      </c>
      <c r="Y72" s="229">
        <v>1.18E-2</v>
      </c>
      <c r="Z72" s="228">
        <v>12.5</v>
      </c>
      <c r="AA72" s="228">
        <v>10.7</v>
      </c>
      <c r="AB72" s="228">
        <v>1.8</v>
      </c>
      <c r="AC72" s="229">
        <v>5.4000000000000003E-3</v>
      </c>
      <c r="AD72" s="228">
        <v>-2.9</v>
      </c>
      <c r="AE72" s="228">
        <v>10.7</v>
      </c>
      <c r="AF72" s="228">
        <v>-13.6</v>
      </c>
      <c r="AG72" s="229">
        <v>-1.2999999999999999E-3</v>
      </c>
      <c r="AH72" s="228">
        <v>12.5</v>
      </c>
      <c r="AI72" s="228">
        <v>-27.3</v>
      </c>
      <c r="AJ72" s="228">
        <v>39.799999999999997</v>
      </c>
      <c r="AK72" s="229">
        <v>5.4000000000000003E-3</v>
      </c>
      <c r="AL72" s="228">
        <v>10</v>
      </c>
      <c r="AM72" s="228">
        <v>-39.1</v>
      </c>
      <c r="AN72" s="228">
        <v>49.1</v>
      </c>
      <c r="AO72" s="229">
        <v>4.4000000000000003E-3</v>
      </c>
      <c r="AP72" s="231">
        <v>2317.9699999999998</v>
      </c>
      <c r="AQ72" s="231">
        <v>2323.52</v>
      </c>
      <c r="AR72" s="228">
        <v>0</v>
      </c>
      <c r="AS72" s="228">
        <v>368</v>
      </c>
      <c r="AT72" s="228">
        <v>552</v>
      </c>
      <c r="AU72" s="228">
        <v>-184</v>
      </c>
      <c r="AV72" s="229">
        <v>-0.33410000000000001</v>
      </c>
      <c r="AW72" s="228">
        <v>148</v>
      </c>
      <c r="AX72" s="228">
        <v>261</v>
      </c>
      <c r="AY72" s="228">
        <v>-113</v>
      </c>
      <c r="AZ72" s="229">
        <v>-0.43209999999999998</v>
      </c>
      <c r="BA72" s="228">
        <v>218</v>
      </c>
      <c r="BB72" s="228">
        <v>290</v>
      </c>
      <c r="BC72" s="228">
        <v>-73</v>
      </c>
      <c r="BD72" s="229">
        <v>-0.25</v>
      </c>
      <c r="BE72" s="228">
        <v>2</v>
      </c>
      <c r="BF72" s="228">
        <v>1</v>
      </c>
      <c r="BG72" s="228">
        <v>1</v>
      </c>
      <c r="BH72" s="229">
        <v>1.0769</v>
      </c>
      <c r="BI72" s="228">
        <v>655</v>
      </c>
      <c r="BJ72" s="230">
        <v>1154</v>
      </c>
      <c r="BK72" s="228">
        <v>-500</v>
      </c>
      <c r="BL72" s="229">
        <v>-0.43269999999999997</v>
      </c>
      <c r="BM72" s="228">
        <v>357</v>
      </c>
      <c r="BN72" s="228">
        <v>337</v>
      </c>
      <c r="BO72" s="228">
        <v>20</v>
      </c>
      <c r="BP72" s="229">
        <v>5.91E-2</v>
      </c>
      <c r="BQ72" s="230">
        <v>1379</v>
      </c>
      <c r="BR72" s="230">
        <v>2043</v>
      </c>
      <c r="BS72" s="228">
        <v>-664</v>
      </c>
      <c r="BT72" s="229">
        <v>-0.32500000000000001</v>
      </c>
      <c r="BU72" s="230">
        <v>479669</v>
      </c>
      <c r="BV72" s="230">
        <v>370885</v>
      </c>
      <c r="BW72" s="230">
        <v>108784</v>
      </c>
      <c r="BX72" s="229">
        <v>0.29330000000000001</v>
      </c>
      <c r="BY72" s="228">
        <v>591</v>
      </c>
      <c r="BZ72" s="228">
        <v>655</v>
      </c>
      <c r="CA72" s="228">
        <v>-64</v>
      </c>
      <c r="CB72" s="229">
        <v>-9.7600000000000006E-2</v>
      </c>
      <c r="CC72" s="228">
        <v>19</v>
      </c>
      <c r="CD72" s="228">
        <v>88</v>
      </c>
      <c r="CE72" s="228">
        <v>-69</v>
      </c>
      <c r="CF72" s="229">
        <v>-0.78690000000000004</v>
      </c>
      <c r="CG72" s="228">
        <v>581</v>
      </c>
      <c r="CH72" s="228">
        <v>558</v>
      </c>
      <c r="CI72" s="228">
        <v>24</v>
      </c>
      <c r="CJ72" s="229">
        <v>4.2599999999999999E-2</v>
      </c>
      <c r="CK72" s="228">
        <v>9</v>
      </c>
      <c r="CL72" s="228">
        <v>9</v>
      </c>
      <c r="CM72" s="228">
        <v>1</v>
      </c>
      <c r="CN72" s="229">
        <v>7.2999999999999995E-2</v>
      </c>
      <c r="CO72" s="228">
        <v>128</v>
      </c>
      <c r="CP72" s="228">
        <v>317</v>
      </c>
      <c r="CQ72" s="228">
        <v>-188</v>
      </c>
      <c r="CR72" s="229">
        <v>-0.59470000000000001</v>
      </c>
      <c r="CS72" s="228">
        <v>44</v>
      </c>
      <c r="CT72" s="228">
        <v>158</v>
      </c>
      <c r="CU72" s="228">
        <v>-114</v>
      </c>
      <c r="CV72" s="229">
        <v>-0.72209999999999996</v>
      </c>
      <c r="CW72" s="228">
        <v>763</v>
      </c>
      <c r="CX72" s="230">
        <v>1129</v>
      </c>
      <c r="CY72" s="228">
        <v>-366</v>
      </c>
      <c r="CZ72" s="229">
        <v>-0.32429999999999998</v>
      </c>
      <c r="DA72" s="228">
        <v>43.37</v>
      </c>
      <c r="DB72" s="228">
        <v>44.83</v>
      </c>
      <c r="DC72" s="228">
        <v>-1.46</v>
      </c>
      <c r="DD72" s="228">
        <v>-1.46</v>
      </c>
      <c r="DE72" s="228">
        <v>68.67</v>
      </c>
      <c r="DF72" s="228">
        <v>68.83</v>
      </c>
      <c r="DG72" s="228">
        <v>-25.3</v>
      </c>
      <c r="DH72" s="228">
        <v>-0.16</v>
      </c>
      <c r="DI72" s="228">
        <v>43.37</v>
      </c>
      <c r="DJ72" s="228">
        <v>44.72</v>
      </c>
      <c r="DK72" s="228">
        <v>-1.35</v>
      </c>
      <c r="DL72" s="228">
        <v>-1.35</v>
      </c>
      <c r="DM72" s="228">
        <v>43.36</v>
      </c>
      <c r="DN72" s="228">
        <v>45.14</v>
      </c>
      <c r="DO72" s="228">
        <v>-1.78</v>
      </c>
      <c r="DP72" s="228">
        <v>-1.78</v>
      </c>
      <c r="DQ72" s="228">
        <v>0.34</v>
      </c>
      <c r="DR72" s="228">
        <v>0.5</v>
      </c>
      <c r="DS72" s="228">
        <v>-0.16</v>
      </c>
      <c r="DT72" s="229">
        <v>-0.32</v>
      </c>
      <c r="DU72" s="231">
        <v>2400</v>
      </c>
      <c r="DV72" s="231">
        <v>2100</v>
      </c>
      <c r="DW72" s="228">
        <v>0.54</v>
      </c>
      <c r="DX72" s="228">
        <v>0.28999999999999998</v>
      </c>
      <c r="DY72" s="228">
        <v>0.25</v>
      </c>
      <c r="DZ72" s="229">
        <v>0.86209999999999998</v>
      </c>
      <c r="EA72" s="229">
        <v>0.96909999999999996</v>
      </c>
      <c r="EB72" s="230">
        <v>2451075</v>
      </c>
      <c r="EC72" s="229">
        <v>6.7000000000000002E-3</v>
      </c>
      <c r="ED72" s="229">
        <v>0.96909999999999996</v>
      </c>
      <c r="EE72" s="228">
        <v>5.55</v>
      </c>
      <c r="EF72" s="229">
        <v>2.3999999999999998E-3</v>
      </c>
      <c r="EG72" s="230">
        <v>130475</v>
      </c>
      <c r="EH72" s="230">
        <v>106125</v>
      </c>
      <c r="EI72" s="229">
        <v>0.22939999999999999</v>
      </c>
      <c r="EJ72" s="229">
        <v>0.27200000000000002</v>
      </c>
      <c r="EK72" s="228">
        <v>688.69</v>
      </c>
      <c r="EL72" s="228">
        <v>347.44</v>
      </c>
      <c r="EM72" s="228">
        <v>369.28</v>
      </c>
      <c r="EN72" s="228">
        <v>78.400000000000006</v>
      </c>
      <c r="EO72" s="231">
        <v>1405.42</v>
      </c>
      <c r="EP72" s="231">
        <v>2099.27</v>
      </c>
      <c r="EQ72" s="228">
        <v>-693.85</v>
      </c>
      <c r="ER72" s="229">
        <v>-0.33050000000000002</v>
      </c>
      <c r="ES72" s="228">
        <v>134.94</v>
      </c>
      <c r="ET72" s="228">
        <v>41.91</v>
      </c>
      <c r="EU72" s="228">
        <v>590.80999999999995</v>
      </c>
      <c r="EV72" s="231">
        <v>6329596</v>
      </c>
      <c r="EW72" s="228">
        <v>767.66</v>
      </c>
      <c r="EX72" s="231">
        <v>1138.1400000000001</v>
      </c>
      <c r="EY72" s="228">
        <v>-370.48</v>
      </c>
      <c r="EZ72" s="229">
        <v>-0.32550000000000001</v>
      </c>
      <c r="FA72" s="229">
        <v>0.52170000000000005</v>
      </c>
      <c r="FB72" s="227" t="s">
        <v>691</v>
      </c>
      <c r="FC72">
        <f t="shared" si="1"/>
        <v>572</v>
      </c>
    </row>
    <row r="73" spans="1:159" ht="17.25" thickBot="1" x14ac:dyDescent="0.3">
      <c r="A73" s="226">
        <v>46168</v>
      </c>
      <c r="B73" s="227" t="s">
        <v>168</v>
      </c>
      <c r="C73" s="227" t="s">
        <v>217</v>
      </c>
      <c r="D73" s="228">
        <v>500</v>
      </c>
      <c r="E73" s="228">
        <v>0</v>
      </c>
      <c r="F73" s="231">
        <v>1037.2</v>
      </c>
      <c r="G73" s="231">
        <v>1027</v>
      </c>
      <c r="H73" s="228">
        <v>10.199999999999999</v>
      </c>
      <c r="I73" s="229">
        <v>9.9000000000000008E-3</v>
      </c>
      <c r="J73" s="231">
        <v>1031.8</v>
      </c>
      <c r="K73" s="231">
        <v>1020.4</v>
      </c>
      <c r="L73" s="228">
        <v>11.4</v>
      </c>
      <c r="M73" s="229">
        <v>1.12E-2</v>
      </c>
      <c r="N73" s="231">
        <v>1031.7</v>
      </c>
      <c r="O73" s="231">
        <v>1020.6</v>
      </c>
      <c r="P73" s="228">
        <v>11.1</v>
      </c>
      <c r="Q73" s="229">
        <v>1.09E-2</v>
      </c>
      <c r="R73" s="231">
        <v>1037.2</v>
      </c>
      <c r="S73" s="231">
        <v>1027</v>
      </c>
      <c r="T73" s="228">
        <v>10.199999999999999</v>
      </c>
      <c r="U73" s="229">
        <v>9.9000000000000008E-3</v>
      </c>
      <c r="V73" s="231">
        <v>1040.8</v>
      </c>
      <c r="W73" s="231">
        <v>1035</v>
      </c>
      <c r="X73" s="228">
        <v>5.8</v>
      </c>
      <c r="Y73" s="229">
        <v>5.5999999999999999E-3</v>
      </c>
      <c r="Z73" s="228">
        <v>5.4</v>
      </c>
      <c r="AA73" s="228">
        <v>0.2</v>
      </c>
      <c r="AB73" s="228">
        <v>5.2</v>
      </c>
      <c r="AC73" s="229">
        <v>5.1999999999999998E-3</v>
      </c>
      <c r="AD73" s="228">
        <v>-0.1</v>
      </c>
      <c r="AE73" s="228">
        <v>0.2</v>
      </c>
      <c r="AF73" s="228">
        <v>-0.3</v>
      </c>
      <c r="AG73" s="229">
        <v>-1E-4</v>
      </c>
      <c r="AH73" s="228">
        <v>5.4</v>
      </c>
      <c r="AI73" s="228">
        <v>6.6</v>
      </c>
      <c r="AJ73" s="228">
        <v>-1.2</v>
      </c>
      <c r="AK73" s="229">
        <v>5.1999999999999998E-3</v>
      </c>
      <c r="AL73" s="228">
        <v>9</v>
      </c>
      <c r="AM73" s="228">
        <v>14.6</v>
      </c>
      <c r="AN73" s="228">
        <v>-5.6</v>
      </c>
      <c r="AO73" s="229">
        <v>8.6999999999999994E-3</v>
      </c>
      <c r="AP73" s="231">
        <v>1029.81</v>
      </c>
      <c r="AQ73" s="231">
        <v>1035.6400000000001</v>
      </c>
      <c r="AR73" s="228">
        <v>0</v>
      </c>
      <c r="AS73" s="228">
        <v>344</v>
      </c>
      <c r="AT73" s="228">
        <v>802</v>
      </c>
      <c r="AU73" s="228">
        <v>-458</v>
      </c>
      <c r="AV73" s="229">
        <v>-0.57169999999999999</v>
      </c>
      <c r="AW73" s="228">
        <v>140</v>
      </c>
      <c r="AX73" s="228">
        <v>351</v>
      </c>
      <c r="AY73" s="228">
        <v>-211</v>
      </c>
      <c r="AZ73" s="229">
        <v>-0.6008</v>
      </c>
      <c r="BA73" s="228">
        <v>203</v>
      </c>
      <c r="BB73" s="228">
        <v>448</v>
      </c>
      <c r="BC73" s="228">
        <v>-246</v>
      </c>
      <c r="BD73" s="229">
        <v>-0.54800000000000004</v>
      </c>
      <c r="BE73" s="228">
        <v>1</v>
      </c>
      <c r="BF73" s="228">
        <v>3</v>
      </c>
      <c r="BG73" s="228">
        <v>-2</v>
      </c>
      <c r="BH73" s="229">
        <v>-0.70179999999999998</v>
      </c>
      <c r="BI73" s="228">
        <v>212</v>
      </c>
      <c r="BJ73" s="228">
        <v>456</v>
      </c>
      <c r="BK73" s="228">
        <v>-244</v>
      </c>
      <c r="BL73" s="229">
        <v>-0.53480000000000005</v>
      </c>
      <c r="BM73" s="228">
        <v>137</v>
      </c>
      <c r="BN73" s="228">
        <v>205</v>
      </c>
      <c r="BO73" s="228">
        <v>-68</v>
      </c>
      <c r="BP73" s="229">
        <v>-0.33119999999999999</v>
      </c>
      <c r="BQ73" s="228">
        <v>693</v>
      </c>
      <c r="BR73" s="230">
        <v>1463</v>
      </c>
      <c r="BS73" s="228">
        <v>-770</v>
      </c>
      <c r="BT73" s="229">
        <v>-0.52639999999999998</v>
      </c>
      <c r="BU73" s="230">
        <v>1273339</v>
      </c>
      <c r="BV73" s="230">
        <v>3571494</v>
      </c>
      <c r="BW73" s="230">
        <v>-2298155</v>
      </c>
      <c r="BX73" s="229">
        <v>-0.64349999999999996</v>
      </c>
      <c r="BY73" s="230">
        <v>1250</v>
      </c>
      <c r="BZ73" s="230">
        <v>1415</v>
      </c>
      <c r="CA73" s="228">
        <v>-165</v>
      </c>
      <c r="CB73" s="229">
        <v>-0.11650000000000001</v>
      </c>
      <c r="CC73" s="228">
        <v>112</v>
      </c>
      <c r="CD73" s="228">
        <v>205</v>
      </c>
      <c r="CE73" s="228">
        <v>-92</v>
      </c>
      <c r="CF73" s="229">
        <v>-0.45100000000000001</v>
      </c>
      <c r="CG73" s="230">
        <v>1136</v>
      </c>
      <c r="CH73" s="230">
        <v>1096</v>
      </c>
      <c r="CI73" s="228">
        <v>40</v>
      </c>
      <c r="CJ73" s="229">
        <v>3.6700000000000003E-2</v>
      </c>
      <c r="CK73" s="228">
        <v>114</v>
      </c>
      <c r="CL73" s="228">
        <v>114</v>
      </c>
      <c r="CM73" s="228">
        <v>0</v>
      </c>
      <c r="CN73" s="229">
        <v>-2.7000000000000001E-3</v>
      </c>
      <c r="CO73" s="228">
        <v>65</v>
      </c>
      <c r="CP73" s="228">
        <v>339</v>
      </c>
      <c r="CQ73" s="228">
        <v>-274</v>
      </c>
      <c r="CR73" s="229">
        <v>-0.80910000000000004</v>
      </c>
      <c r="CS73" s="228">
        <v>47</v>
      </c>
      <c r="CT73" s="228">
        <v>214</v>
      </c>
      <c r="CU73" s="228">
        <v>-167</v>
      </c>
      <c r="CV73" s="229">
        <v>-0.77910000000000001</v>
      </c>
      <c r="CW73" s="230">
        <v>1362</v>
      </c>
      <c r="CX73" s="230">
        <v>1967</v>
      </c>
      <c r="CY73" s="228">
        <v>-606</v>
      </c>
      <c r="CZ73" s="229">
        <v>-0.30790000000000001</v>
      </c>
      <c r="DA73" s="228">
        <v>24.67</v>
      </c>
      <c r="DB73" s="228">
        <v>27.52</v>
      </c>
      <c r="DC73" s="228">
        <v>-2.85</v>
      </c>
      <c r="DD73" s="228">
        <v>-2.85</v>
      </c>
      <c r="DE73" s="228">
        <v>31.17</v>
      </c>
      <c r="DF73" s="228">
        <v>31.22</v>
      </c>
      <c r="DG73" s="228">
        <v>-6.5</v>
      </c>
      <c r="DH73" s="228">
        <v>-0.05</v>
      </c>
      <c r="DI73" s="228">
        <v>24.97</v>
      </c>
      <c r="DJ73" s="228">
        <v>28.08</v>
      </c>
      <c r="DK73" s="228">
        <v>-3.11</v>
      </c>
      <c r="DL73" s="228">
        <v>-3.11</v>
      </c>
      <c r="DM73" s="228">
        <v>24.13</v>
      </c>
      <c r="DN73" s="228">
        <v>24.96</v>
      </c>
      <c r="DO73" s="228">
        <v>-0.83</v>
      </c>
      <c r="DP73" s="228">
        <v>-0.83</v>
      </c>
      <c r="DQ73" s="228">
        <v>0.73</v>
      </c>
      <c r="DR73" s="228">
        <v>0.63</v>
      </c>
      <c r="DS73" s="228">
        <v>0.1</v>
      </c>
      <c r="DT73" s="229">
        <v>0.15870000000000001</v>
      </c>
      <c r="DU73" s="231">
        <v>1100</v>
      </c>
      <c r="DV73" s="231">
        <v>1040</v>
      </c>
      <c r="DW73" s="228">
        <v>0.65</v>
      </c>
      <c r="DX73" s="228">
        <v>0.45</v>
      </c>
      <c r="DY73" s="228">
        <v>0.2</v>
      </c>
      <c r="DZ73" s="229">
        <v>0.44440000000000002</v>
      </c>
      <c r="EA73" s="229">
        <v>0.91749999999999998</v>
      </c>
      <c r="EB73" s="230">
        <v>11664500</v>
      </c>
      <c r="EC73" s="229">
        <v>5.3E-3</v>
      </c>
      <c r="ED73" s="229">
        <v>0.91749999999999998</v>
      </c>
      <c r="EE73" s="228">
        <v>5.83</v>
      </c>
      <c r="EF73" s="229">
        <v>5.7000000000000002E-3</v>
      </c>
      <c r="EG73" s="230">
        <v>722544</v>
      </c>
      <c r="EH73" s="230">
        <v>2123541</v>
      </c>
      <c r="EI73" s="229">
        <v>-0.65969999999999995</v>
      </c>
      <c r="EJ73" s="229">
        <v>0.56740000000000002</v>
      </c>
      <c r="EK73" s="228">
        <v>218.44</v>
      </c>
      <c r="EL73" s="228">
        <v>134.97</v>
      </c>
      <c r="EM73" s="228">
        <v>342.22</v>
      </c>
      <c r="EN73" s="228">
        <v>105.4</v>
      </c>
      <c r="EO73" s="228">
        <v>695.63</v>
      </c>
      <c r="EP73" s="231">
        <v>1480.88</v>
      </c>
      <c r="EQ73" s="228">
        <v>-785.25</v>
      </c>
      <c r="ER73" s="229">
        <v>-0.53029999999999999</v>
      </c>
      <c r="ES73" s="228">
        <v>67.59</v>
      </c>
      <c r="ET73" s="228">
        <v>46.2</v>
      </c>
      <c r="EU73" s="231">
        <v>1250.1199999999999</v>
      </c>
      <c r="EV73" s="231">
        <v>53250524</v>
      </c>
      <c r="EW73" s="231">
        <v>1363.92</v>
      </c>
      <c r="EX73" s="231">
        <v>1967.23</v>
      </c>
      <c r="EY73" s="228">
        <v>-603.30999999999995</v>
      </c>
      <c r="EZ73" s="229">
        <v>-0.30669999999999997</v>
      </c>
      <c r="FA73" s="229">
        <v>0.2465</v>
      </c>
      <c r="FB73" s="227" t="s">
        <v>691</v>
      </c>
      <c r="FC73">
        <f t="shared" si="1"/>
        <v>1138</v>
      </c>
    </row>
    <row r="74" spans="1:159" ht="17.25" thickBot="1" x14ac:dyDescent="0.3">
      <c r="A74" s="226">
        <v>46168</v>
      </c>
      <c r="B74" s="227" t="s">
        <v>206</v>
      </c>
      <c r="C74" s="227" t="s">
        <v>218</v>
      </c>
      <c r="D74" s="228">
        <v>275</v>
      </c>
      <c r="E74" s="228">
        <v>0</v>
      </c>
      <c r="F74" s="231">
        <v>1771.7</v>
      </c>
      <c r="G74" s="231">
        <v>1779.7</v>
      </c>
      <c r="H74" s="228">
        <v>-8</v>
      </c>
      <c r="I74" s="229">
        <v>-4.4999999999999997E-3</v>
      </c>
      <c r="J74" s="231">
        <v>1760.2</v>
      </c>
      <c r="K74" s="231">
        <v>1767.3</v>
      </c>
      <c r="L74" s="228">
        <v>-7.1</v>
      </c>
      <c r="M74" s="229">
        <v>-4.0000000000000001E-3</v>
      </c>
      <c r="N74" s="231">
        <v>1760.9</v>
      </c>
      <c r="O74" s="231">
        <v>1768.7</v>
      </c>
      <c r="P74" s="228">
        <v>-7.8</v>
      </c>
      <c r="Q74" s="229">
        <v>-4.4000000000000003E-3</v>
      </c>
      <c r="R74" s="231">
        <v>1771.7</v>
      </c>
      <c r="S74" s="231">
        <v>1779.7</v>
      </c>
      <c r="T74" s="228">
        <v>-8</v>
      </c>
      <c r="U74" s="229">
        <v>-4.4999999999999997E-3</v>
      </c>
      <c r="V74" s="231">
        <v>1773.8</v>
      </c>
      <c r="W74" s="231">
        <v>1780.1</v>
      </c>
      <c r="X74" s="228">
        <v>-6.3</v>
      </c>
      <c r="Y74" s="229">
        <v>-3.5000000000000001E-3</v>
      </c>
      <c r="Z74" s="228">
        <v>11.5</v>
      </c>
      <c r="AA74" s="228">
        <v>1.4</v>
      </c>
      <c r="AB74" s="228">
        <v>10.1</v>
      </c>
      <c r="AC74" s="229">
        <v>6.4999999999999997E-3</v>
      </c>
      <c r="AD74" s="228">
        <v>0.7</v>
      </c>
      <c r="AE74" s="228">
        <v>1.4</v>
      </c>
      <c r="AF74" s="228">
        <v>-0.7</v>
      </c>
      <c r="AG74" s="229">
        <v>4.0000000000000002E-4</v>
      </c>
      <c r="AH74" s="228">
        <v>11.5</v>
      </c>
      <c r="AI74" s="228">
        <v>12.4</v>
      </c>
      <c r="AJ74" s="228">
        <v>-0.9</v>
      </c>
      <c r="AK74" s="229">
        <v>6.4999999999999997E-3</v>
      </c>
      <c r="AL74" s="228">
        <v>13.6</v>
      </c>
      <c r="AM74" s="228">
        <v>12.8</v>
      </c>
      <c r="AN74" s="228">
        <v>0.8</v>
      </c>
      <c r="AO74" s="229">
        <v>7.7000000000000002E-3</v>
      </c>
      <c r="AP74" s="231">
        <v>1765.36</v>
      </c>
      <c r="AQ74" s="231">
        <v>1779.54</v>
      </c>
      <c r="AR74" s="228">
        <v>0</v>
      </c>
      <c r="AS74" s="228">
        <v>491</v>
      </c>
      <c r="AT74" s="228">
        <v>879</v>
      </c>
      <c r="AU74" s="228">
        <v>-387</v>
      </c>
      <c r="AV74" s="229">
        <v>-0.44080000000000003</v>
      </c>
      <c r="AW74" s="228">
        <v>221</v>
      </c>
      <c r="AX74" s="228">
        <v>419</v>
      </c>
      <c r="AY74" s="228">
        <v>-199</v>
      </c>
      <c r="AZ74" s="229">
        <v>-0.47399999999999998</v>
      </c>
      <c r="BA74" s="228">
        <v>264</v>
      </c>
      <c r="BB74" s="228">
        <v>446</v>
      </c>
      <c r="BC74" s="228">
        <v>-183</v>
      </c>
      <c r="BD74" s="229">
        <v>-0.40899999999999997</v>
      </c>
      <c r="BE74" s="228">
        <v>7</v>
      </c>
      <c r="BF74" s="228">
        <v>13</v>
      </c>
      <c r="BG74" s="228">
        <v>-6</v>
      </c>
      <c r="BH74" s="229">
        <v>-0.46560000000000001</v>
      </c>
      <c r="BI74" s="228">
        <v>509</v>
      </c>
      <c r="BJ74" s="228">
        <v>759</v>
      </c>
      <c r="BK74" s="228">
        <v>-250</v>
      </c>
      <c r="BL74" s="229">
        <v>-0.32969999999999999</v>
      </c>
      <c r="BM74" s="228">
        <v>331</v>
      </c>
      <c r="BN74" s="228">
        <v>553</v>
      </c>
      <c r="BO74" s="228">
        <v>-222</v>
      </c>
      <c r="BP74" s="229">
        <v>-0.40160000000000001</v>
      </c>
      <c r="BQ74" s="230">
        <v>1331</v>
      </c>
      <c r="BR74" s="230">
        <v>2191</v>
      </c>
      <c r="BS74" s="228">
        <v>-860</v>
      </c>
      <c r="BT74" s="229">
        <v>-0.39240000000000003</v>
      </c>
      <c r="BU74" s="230">
        <v>404007</v>
      </c>
      <c r="BV74" s="230">
        <v>374118</v>
      </c>
      <c r="BW74" s="230">
        <v>29889</v>
      </c>
      <c r="BX74" s="229">
        <v>7.9899999999999999E-2</v>
      </c>
      <c r="BY74" s="230">
        <v>1411</v>
      </c>
      <c r="BZ74" s="230">
        <v>1431</v>
      </c>
      <c r="CA74" s="228">
        <v>-20</v>
      </c>
      <c r="CB74" s="229">
        <v>-1.38E-2</v>
      </c>
      <c r="CC74" s="228">
        <v>49</v>
      </c>
      <c r="CD74" s="228">
        <v>140</v>
      </c>
      <c r="CE74" s="228">
        <v>-90</v>
      </c>
      <c r="CF74" s="229">
        <v>-0.64649999999999996</v>
      </c>
      <c r="CG74" s="230">
        <v>1375</v>
      </c>
      <c r="CH74" s="230">
        <v>1259</v>
      </c>
      <c r="CI74" s="228">
        <v>116</v>
      </c>
      <c r="CJ74" s="229">
        <v>9.2399999999999996E-2</v>
      </c>
      <c r="CK74" s="228">
        <v>36</v>
      </c>
      <c r="CL74" s="228">
        <v>32</v>
      </c>
      <c r="CM74" s="228">
        <v>4</v>
      </c>
      <c r="CN74" s="229">
        <v>0.1135</v>
      </c>
      <c r="CO74" s="228">
        <v>222</v>
      </c>
      <c r="CP74" s="228">
        <v>551</v>
      </c>
      <c r="CQ74" s="228">
        <v>-329</v>
      </c>
      <c r="CR74" s="229">
        <v>-0.59650000000000003</v>
      </c>
      <c r="CS74" s="228">
        <v>148</v>
      </c>
      <c r="CT74" s="228">
        <v>378</v>
      </c>
      <c r="CU74" s="228">
        <v>-230</v>
      </c>
      <c r="CV74" s="229">
        <v>-0.60840000000000005</v>
      </c>
      <c r="CW74" s="230">
        <v>1781</v>
      </c>
      <c r="CX74" s="230">
        <v>2360</v>
      </c>
      <c r="CY74" s="228">
        <v>-579</v>
      </c>
      <c r="CZ74" s="229">
        <v>-0.24510000000000001</v>
      </c>
      <c r="DA74" s="228">
        <v>33.43</v>
      </c>
      <c r="DB74" s="228">
        <v>34.659999999999997</v>
      </c>
      <c r="DC74" s="228">
        <v>-1.23</v>
      </c>
      <c r="DD74" s="228">
        <v>-1.23</v>
      </c>
      <c r="DE74" s="228">
        <v>45.39</v>
      </c>
      <c r="DF74" s="228">
        <v>45.5</v>
      </c>
      <c r="DG74" s="228">
        <v>-11.96</v>
      </c>
      <c r="DH74" s="228">
        <v>-0.11</v>
      </c>
      <c r="DI74" s="228">
        <v>33.130000000000003</v>
      </c>
      <c r="DJ74" s="228">
        <v>34.68</v>
      </c>
      <c r="DK74" s="228">
        <v>-1.55</v>
      </c>
      <c r="DL74" s="228">
        <v>-1.55</v>
      </c>
      <c r="DM74" s="228">
        <v>33.94</v>
      </c>
      <c r="DN74" s="228">
        <v>34.64</v>
      </c>
      <c r="DO74" s="228">
        <v>-0.7</v>
      </c>
      <c r="DP74" s="228">
        <v>-0.7</v>
      </c>
      <c r="DQ74" s="228">
        <v>0.67</v>
      </c>
      <c r="DR74" s="228">
        <v>0.69</v>
      </c>
      <c r="DS74" s="228">
        <v>-0.02</v>
      </c>
      <c r="DT74" s="229">
        <v>-2.9000000000000001E-2</v>
      </c>
      <c r="DU74" s="231">
        <v>1900</v>
      </c>
      <c r="DV74" s="231">
        <v>1600</v>
      </c>
      <c r="DW74" s="228">
        <v>0.65</v>
      </c>
      <c r="DX74" s="228">
        <v>0.73</v>
      </c>
      <c r="DY74" s="228">
        <v>-0.08</v>
      </c>
      <c r="DZ74" s="229">
        <v>-0.1096</v>
      </c>
      <c r="EA74" s="229">
        <v>0.96619999999999995</v>
      </c>
      <c r="EB74" s="230">
        <v>7287200</v>
      </c>
      <c r="EC74" s="229">
        <v>6.1000000000000004E-3</v>
      </c>
      <c r="ED74" s="229">
        <v>0.96619999999999995</v>
      </c>
      <c r="EE74" s="228">
        <v>14.18</v>
      </c>
      <c r="EF74" s="229">
        <v>8.0000000000000002E-3</v>
      </c>
      <c r="EG74" s="230">
        <v>128102</v>
      </c>
      <c r="EH74" s="230">
        <v>148685</v>
      </c>
      <c r="EI74" s="229">
        <v>-0.1384</v>
      </c>
      <c r="EJ74" s="229">
        <v>0.31709999999999999</v>
      </c>
      <c r="EK74" s="228">
        <v>534.71</v>
      </c>
      <c r="EL74" s="228">
        <v>330.76</v>
      </c>
      <c r="EM74" s="228">
        <v>492.93</v>
      </c>
      <c r="EN74" s="228">
        <v>129.68</v>
      </c>
      <c r="EO74" s="231">
        <v>1358.4</v>
      </c>
      <c r="EP74" s="231">
        <v>2200.98</v>
      </c>
      <c r="EQ74" s="228">
        <v>-842.58</v>
      </c>
      <c r="ER74" s="229">
        <v>-0.38279999999999997</v>
      </c>
      <c r="ES74" s="228">
        <v>232.86</v>
      </c>
      <c r="ET74" s="228">
        <v>144.97999999999999</v>
      </c>
      <c r="EU74" s="231">
        <v>1411.04</v>
      </c>
      <c r="EV74" s="231">
        <v>23870110</v>
      </c>
      <c r="EW74" s="231">
        <v>1788.89</v>
      </c>
      <c r="EX74" s="231">
        <v>2385.04</v>
      </c>
      <c r="EY74" s="228">
        <v>-596.15</v>
      </c>
      <c r="EZ74" s="229">
        <v>-0.25</v>
      </c>
      <c r="FA74" s="229">
        <v>0.42120000000000002</v>
      </c>
      <c r="FB74" s="227" t="s">
        <v>567</v>
      </c>
      <c r="FC74">
        <f t="shared" si="1"/>
        <v>1362</v>
      </c>
    </row>
    <row r="75" spans="1:159" ht="17.25" thickBot="1" x14ac:dyDescent="0.3">
      <c r="A75" s="226">
        <v>46168</v>
      </c>
      <c r="B75" s="227" t="s">
        <v>157</v>
      </c>
      <c r="C75" s="227" t="s">
        <v>219</v>
      </c>
      <c r="D75" s="228">
        <v>250</v>
      </c>
      <c r="E75" s="228">
        <v>0</v>
      </c>
      <c r="F75" s="231">
        <v>3187.3</v>
      </c>
      <c r="G75" s="231">
        <v>3192.2</v>
      </c>
      <c r="H75" s="228">
        <v>-4.9000000000000004</v>
      </c>
      <c r="I75" s="229">
        <v>-1.5E-3</v>
      </c>
      <c r="J75" s="231">
        <v>3165</v>
      </c>
      <c r="K75" s="231">
        <v>3171.6</v>
      </c>
      <c r="L75" s="228">
        <v>-6.6</v>
      </c>
      <c r="M75" s="229">
        <v>-2.0999999999999999E-3</v>
      </c>
      <c r="N75" s="231">
        <v>3161.1</v>
      </c>
      <c r="O75" s="231">
        <v>3172.2</v>
      </c>
      <c r="P75" s="228">
        <v>-11.1</v>
      </c>
      <c r="Q75" s="229">
        <v>-3.5000000000000001E-3</v>
      </c>
      <c r="R75" s="231">
        <v>3187.3</v>
      </c>
      <c r="S75" s="231">
        <v>3192.2</v>
      </c>
      <c r="T75" s="228">
        <v>-4.9000000000000004</v>
      </c>
      <c r="U75" s="229">
        <v>-1.5E-3</v>
      </c>
      <c r="V75" s="231">
        <v>3200.9</v>
      </c>
      <c r="W75" s="231">
        <v>3207.8</v>
      </c>
      <c r="X75" s="228">
        <v>-6.9</v>
      </c>
      <c r="Y75" s="229">
        <v>-2.2000000000000001E-3</v>
      </c>
      <c r="Z75" s="228">
        <v>22.3</v>
      </c>
      <c r="AA75" s="228">
        <v>0.6</v>
      </c>
      <c r="AB75" s="228">
        <v>21.7</v>
      </c>
      <c r="AC75" s="229">
        <v>7.0000000000000001E-3</v>
      </c>
      <c r="AD75" s="228">
        <v>-3.9</v>
      </c>
      <c r="AE75" s="228">
        <v>0.6</v>
      </c>
      <c r="AF75" s="228">
        <v>-4.5</v>
      </c>
      <c r="AG75" s="229">
        <v>-1.1999999999999999E-3</v>
      </c>
      <c r="AH75" s="228">
        <v>22.3</v>
      </c>
      <c r="AI75" s="228">
        <v>20.6</v>
      </c>
      <c r="AJ75" s="228">
        <v>1.7</v>
      </c>
      <c r="AK75" s="229">
        <v>7.0000000000000001E-3</v>
      </c>
      <c r="AL75" s="228">
        <v>35.9</v>
      </c>
      <c r="AM75" s="228">
        <v>36.200000000000003</v>
      </c>
      <c r="AN75" s="228">
        <v>-0.3</v>
      </c>
      <c r="AO75" s="229">
        <v>1.1299999999999999E-2</v>
      </c>
      <c r="AP75" s="231">
        <v>3172.45</v>
      </c>
      <c r="AQ75" s="231">
        <v>3194.51</v>
      </c>
      <c r="AR75" s="228">
        <v>0</v>
      </c>
      <c r="AS75" s="230">
        <v>1019</v>
      </c>
      <c r="AT75" s="230">
        <v>1847</v>
      </c>
      <c r="AU75" s="228">
        <v>-827</v>
      </c>
      <c r="AV75" s="229">
        <v>-0.44800000000000001</v>
      </c>
      <c r="AW75" s="228">
        <v>439</v>
      </c>
      <c r="AX75" s="228">
        <v>911</v>
      </c>
      <c r="AY75" s="228">
        <v>-473</v>
      </c>
      <c r="AZ75" s="229">
        <v>-0.51870000000000005</v>
      </c>
      <c r="BA75" s="228">
        <v>578</v>
      </c>
      <c r="BB75" s="228">
        <v>892</v>
      </c>
      <c r="BC75" s="228">
        <v>-315</v>
      </c>
      <c r="BD75" s="229">
        <v>-0.35260000000000002</v>
      </c>
      <c r="BE75" s="228">
        <v>3</v>
      </c>
      <c r="BF75" s="228">
        <v>43</v>
      </c>
      <c r="BG75" s="228">
        <v>-40</v>
      </c>
      <c r="BH75" s="229">
        <v>-0.92649999999999999</v>
      </c>
      <c r="BI75" s="230">
        <v>1096</v>
      </c>
      <c r="BJ75" s="230">
        <v>1534</v>
      </c>
      <c r="BK75" s="228">
        <v>-438</v>
      </c>
      <c r="BL75" s="229">
        <v>-0.2858</v>
      </c>
      <c r="BM75" s="228">
        <v>786</v>
      </c>
      <c r="BN75" s="230">
        <v>1284</v>
      </c>
      <c r="BO75" s="228">
        <v>-498</v>
      </c>
      <c r="BP75" s="229">
        <v>-0.3876</v>
      </c>
      <c r="BQ75" s="230">
        <v>2901</v>
      </c>
      <c r="BR75" s="230">
        <v>4665</v>
      </c>
      <c r="BS75" s="230">
        <v>-1763</v>
      </c>
      <c r="BT75" s="229">
        <v>-0.378</v>
      </c>
      <c r="BU75" s="230">
        <v>994564</v>
      </c>
      <c r="BV75" s="230">
        <v>637356</v>
      </c>
      <c r="BW75" s="230">
        <v>357208</v>
      </c>
      <c r="BX75" s="229">
        <v>0.5605</v>
      </c>
      <c r="BY75" s="230">
        <v>4880</v>
      </c>
      <c r="BZ75" s="230">
        <v>5132</v>
      </c>
      <c r="CA75" s="228">
        <v>-252</v>
      </c>
      <c r="CB75" s="229">
        <v>-4.9099999999999998E-2</v>
      </c>
      <c r="CC75" s="228">
        <v>153</v>
      </c>
      <c r="CD75" s="228">
        <v>406</v>
      </c>
      <c r="CE75" s="228">
        <v>-253</v>
      </c>
      <c r="CF75" s="229">
        <v>-0.62350000000000005</v>
      </c>
      <c r="CG75" s="230">
        <v>4641</v>
      </c>
      <c r="CH75" s="230">
        <v>4488</v>
      </c>
      <c r="CI75" s="228">
        <v>153</v>
      </c>
      <c r="CJ75" s="229">
        <v>3.4200000000000001E-2</v>
      </c>
      <c r="CK75" s="228">
        <v>239</v>
      </c>
      <c r="CL75" s="228">
        <v>239</v>
      </c>
      <c r="CM75" s="228">
        <v>0</v>
      </c>
      <c r="CN75" s="229">
        <v>1.2999999999999999E-3</v>
      </c>
      <c r="CO75" s="228">
        <v>250</v>
      </c>
      <c r="CP75" s="228">
        <v>767</v>
      </c>
      <c r="CQ75" s="228">
        <v>-517</v>
      </c>
      <c r="CR75" s="229">
        <v>-0.67390000000000005</v>
      </c>
      <c r="CS75" s="228">
        <v>269</v>
      </c>
      <c r="CT75" s="228">
        <v>863</v>
      </c>
      <c r="CU75" s="228">
        <v>-593</v>
      </c>
      <c r="CV75" s="229">
        <v>-0.68769999999999998</v>
      </c>
      <c r="CW75" s="230">
        <v>5400</v>
      </c>
      <c r="CX75" s="230">
        <v>6762</v>
      </c>
      <c r="CY75" s="230">
        <v>-1362</v>
      </c>
      <c r="CZ75" s="229">
        <v>-0.2014</v>
      </c>
      <c r="DA75" s="228">
        <v>21.53</v>
      </c>
      <c r="DB75" s="228">
        <v>22.39</v>
      </c>
      <c r="DC75" s="228">
        <v>-0.86</v>
      </c>
      <c r="DD75" s="228">
        <v>-0.86</v>
      </c>
      <c r="DE75" s="228">
        <v>28.65</v>
      </c>
      <c r="DF75" s="228">
        <v>28.73</v>
      </c>
      <c r="DG75" s="228">
        <v>-7.12</v>
      </c>
      <c r="DH75" s="228">
        <v>-0.08</v>
      </c>
      <c r="DI75" s="228">
        <v>21.09</v>
      </c>
      <c r="DJ75" s="228">
        <v>21.7</v>
      </c>
      <c r="DK75" s="228">
        <v>-0.61</v>
      </c>
      <c r="DL75" s="228">
        <v>-0.61</v>
      </c>
      <c r="DM75" s="228">
        <v>22.01</v>
      </c>
      <c r="DN75" s="228">
        <v>23.14</v>
      </c>
      <c r="DO75" s="228">
        <v>-1.1299999999999999</v>
      </c>
      <c r="DP75" s="228">
        <v>-1.1299999999999999</v>
      </c>
      <c r="DQ75" s="228">
        <v>1.08</v>
      </c>
      <c r="DR75" s="228">
        <v>1.1200000000000001</v>
      </c>
      <c r="DS75" s="228">
        <v>-0.04</v>
      </c>
      <c r="DT75" s="229">
        <v>-3.5700000000000003E-2</v>
      </c>
      <c r="DU75" s="231">
        <v>3200</v>
      </c>
      <c r="DV75" s="231">
        <v>3000</v>
      </c>
      <c r="DW75" s="228">
        <v>0.72</v>
      </c>
      <c r="DX75" s="228">
        <v>0.84</v>
      </c>
      <c r="DY75" s="228">
        <v>-0.12</v>
      </c>
      <c r="DZ75" s="229">
        <v>-0.1429</v>
      </c>
      <c r="EA75" s="229">
        <v>0.96970000000000001</v>
      </c>
      <c r="EB75" s="230">
        <v>14829750</v>
      </c>
      <c r="EC75" s="229">
        <v>8.3000000000000001E-3</v>
      </c>
      <c r="ED75" s="229">
        <v>0.96970000000000001</v>
      </c>
      <c r="EE75" s="228">
        <v>22.06</v>
      </c>
      <c r="EF75" s="229">
        <v>7.0000000000000001E-3</v>
      </c>
      <c r="EG75" s="230">
        <v>562178</v>
      </c>
      <c r="EH75" s="230">
        <v>295977</v>
      </c>
      <c r="EI75" s="229">
        <v>0.89939999999999998</v>
      </c>
      <c r="EJ75" s="229">
        <v>0.56530000000000002</v>
      </c>
      <c r="EK75" s="231">
        <v>1114.78</v>
      </c>
      <c r="EL75" s="228">
        <v>767.87</v>
      </c>
      <c r="EM75" s="231">
        <v>1018.66</v>
      </c>
      <c r="EN75" s="228">
        <v>298.36</v>
      </c>
      <c r="EO75" s="231">
        <v>2901.3</v>
      </c>
      <c r="EP75" s="231">
        <v>4638.49</v>
      </c>
      <c r="EQ75" s="231">
        <v>-1737.19</v>
      </c>
      <c r="ER75" s="229">
        <v>-0.3745</v>
      </c>
      <c r="ES75" s="228">
        <v>252.82</v>
      </c>
      <c r="ET75" s="228">
        <v>255.48</v>
      </c>
      <c r="EU75" s="231">
        <v>4881.49</v>
      </c>
      <c r="EV75" s="231">
        <v>38401443</v>
      </c>
      <c r="EW75" s="231">
        <v>5389.79</v>
      </c>
      <c r="EX75" s="231">
        <v>6690.31</v>
      </c>
      <c r="EY75" s="231">
        <v>-1300.52</v>
      </c>
      <c r="EZ75" s="229">
        <v>-0.19439999999999999</v>
      </c>
      <c r="FA75" s="229">
        <v>0.44119999999999998</v>
      </c>
      <c r="FB75" s="227" t="s">
        <v>567</v>
      </c>
      <c r="FC75">
        <f t="shared" si="1"/>
        <v>4727</v>
      </c>
    </row>
    <row r="76" spans="1:159" ht="17.25" thickBot="1" x14ac:dyDescent="0.3">
      <c r="A76" s="226">
        <v>46168</v>
      </c>
      <c r="B76" s="227" t="s">
        <v>184</v>
      </c>
      <c r="C76" s="227" t="s">
        <v>513</v>
      </c>
      <c r="D76" s="228">
        <v>150</v>
      </c>
      <c r="E76" s="228">
        <v>0</v>
      </c>
      <c r="F76" s="231">
        <v>4460.3999999999996</v>
      </c>
      <c r="G76" s="231">
        <v>4451.2</v>
      </c>
      <c r="H76" s="228">
        <v>9.1999999999999993</v>
      </c>
      <c r="I76" s="229">
        <v>2.0999999999999999E-3</v>
      </c>
      <c r="J76" s="231">
        <v>4427.7</v>
      </c>
      <c r="K76" s="231">
        <v>4425.8999999999996</v>
      </c>
      <c r="L76" s="228">
        <v>1.8</v>
      </c>
      <c r="M76" s="229">
        <v>4.0000000000000002E-4</v>
      </c>
      <c r="N76" s="231">
        <v>4424.5</v>
      </c>
      <c r="O76" s="231">
        <v>4426.7</v>
      </c>
      <c r="P76" s="228">
        <v>-2.2000000000000002</v>
      </c>
      <c r="Q76" s="229">
        <v>-5.0000000000000001E-4</v>
      </c>
      <c r="R76" s="231">
        <v>4460.3999999999996</v>
      </c>
      <c r="S76" s="231">
        <v>4451.2</v>
      </c>
      <c r="T76" s="228">
        <v>9.1999999999999993</v>
      </c>
      <c r="U76" s="229">
        <v>2.0999999999999999E-3</v>
      </c>
      <c r="V76" s="231">
        <v>4495.8999999999996</v>
      </c>
      <c r="W76" s="231">
        <v>4480.1000000000004</v>
      </c>
      <c r="X76" s="228">
        <v>15.8</v>
      </c>
      <c r="Y76" s="229">
        <v>3.5000000000000001E-3</v>
      </c>
      <c r="Z76" s="228">
        <v>32.700000000000003</v>
      </c>
      <c r="AA76" s="228">
        <v>0.8</v>
      </c>
      <c r="AB76" s="228">
        <v>31.9</v>
      </c>
      <c r="AC76" s="229">
        <v>7.4000000000000003E-3</v>
      </c>
      <c r="AD76" s="228">
        <v>-3.2</v>
      </c>
      <c r="AE76" s="228">
        <v>0.8</v>
      </c>
      <c r="AF76" s="228">
        <v>-4</v>
      </c>
      <c r="AG76" s="229">
        <v>-6.9999999999999999E-4</v>
      </c>
      <c r="AH76" s="228">
        <v>32.700000000000003</v>
      </c>
      <c r="AI76" s="228">
        <v>25.3</v>
      </c>
      <c r="AJ76" s="228">
        <v>7.4</v>
      </c>
      <c r="AK76" s="229">
        <v>7.4000000000000003E-3</v>
      </c>
      <c r="AL76" s="228">
        <v>68.2</v>
      </c>
      <c r="AM76" s="228">
        <v>54.2</v>
      </c>
      <c r="AN76" s="228">
        <v>14</v>
      </c>
      <c r="AO76" s="229">
        <v>1.54E-2</v>
      </c>
      <c r="AP76" s="231">
        <v>4422.71</v>
      </c>
      <c r="AQ76" s="231">
        <v>4453.09</v>
      </c>
      <c r="AR76" s="228">
        <v>0</v>
      </c>
      <c r="AS76" s="230">
        <v>1504</v>
      </c>
      <c r="AT76" s="230">
        <v>1565</v>
      </c>
      <c r="AU76" s="228">
        <v>-62</v>
      </c>
      <c r="AV76" s="229">
        <v>-3.9399999999999998E-2</v>
      </c>
      <c r="AW76" s="228">
        <v>684</v>
      </c>
      <c r="AX76" s="228">
        <v>765</v>
      </c>
      <c r="AY76" s="228">
        <v>-81</v>
      </c>
      <c r="AZ76" s="229">
        <v>-0.1057</v>
      </c>
      <c r="BA76" s="228">
        <v>801</v>
      </c>
      <c r="BB76" s="228">
        <v>770</v>
      </c>
      <c r="BC76" s="228">
        <v>30</v>
      </c>
      <c r="BD76" s="229">
        <v>3.9E-2</v>
      </c>
      <c r="BE76" s="228">
        <v>19</v>
      </c>
      <c r="BF76" s="228">
        <v>30</v>
      </c>
      <c r="BG76" s="228">
        <v>-11</v>
      </c>
      <c r="BH76" s="229">
        <v>-0.36220000000000002</v>
      </c>
      <c r="BI76" s="230">
        <v>1761</v>
      </c>
      <c r="BJ76" s="230">
        <v>3808</v>
      </c>
      <c r="BK76" s="230">
        <v>-2047</v>
      </c>
      <c r="BL76" s="229">
        <v>-0.53749999999999998</v>
      </c>
      <c r="BM76" s="228">
        <v>989</v>
      </c>
      <c r="BN76" s="230">
        <v>1794</v>
      </c>
      <c r="BO76" s="228">
        <v>-805</v>
      </c>
      <c r="BP76" s="229">
        <v>-0.4486</v>
      </c>
      <c r="BQ76" s="230">
        <v>4254</v>
      </c>
      <c r="BR76" s="230">
        <v>7167</v>
      </c>
      <c r="BS76" s="230">
        <v>-2913</v>
      </c>
      <c r="BT76" s="229">
        <v>-0.40649999999999997</v>
      </c>
      <c r="BU76" s="230">
        <v>1051849</v>
      </c>
      <c r="BV76" s="230">
        <v>1135718</v>
      </c>
      <c r="BW76" s="230">
        <v>-83869</v>
      </c>
      <c r="BX76" s="229">
        <v>-7.3800000000000004E-2</v>
      </c>
      <c r="BY76" s="230">
        <v>2969</v>
      </c>
      <c r="BZ76" s="230">
        <v>3208</v>
      </c>
      <c r="CA76" s="228">
        <v>-239</v>
      </c>
      <c r="CB76" s="229">
        <v>-7.4399999999999994E-2</v>
      </c>
      <c r="CC76" s="228">
        <v>302</v>
      </c>
      <c r="CD76" s="228">
        <v>741</v>
      </c>
      <c r="CE76" s="228">
        <v>-439</v>
      </c>
      <c r="CF76" s="229">
        <v>-0.59179999999999999</v>
      </c>
      <c r="CG76" s="230">
        <v>2854</v>
      </c>
      <c r="CH76" s="230">
        <v>2363</v>
      </c>
      <c r="CI76" s="228">
        <v>491</v>
      </c>
      <c r="CJ76" s="229">
        <v>0.20760000000000001</v>
      </c>
      <c r="CK76" s="228">
        <v>115</v>
      </c>
      <c r="CL76" s="228">
        <v>104</v>
      </c>
      <c r="CM76" s="228">
        <v>12</v>
      </c>
      <c r="CN76" s="229">
        <v>0.1123</v>
      </c>
      <c r="CO76" s="228">
        <v>669</v>
      </c>
      <c r="CP76" s="230">
        <v>1829</v>
      </c>
      <c r="CQ76" s="230">
        <v>-1160</v>
      </c>
      <c r="CR76" s="229">
        <v>-0.63419999999999999</v>
      </c>
      <c r="CS76" s="228">
        <v>540</v>
      </c>
      <c r="CT76" s="230">
        <v>1171</v>
      </c>
      <c r="CU76" s="228">
        <v>-631</v>
      </c>
      <c r="CV76" s="229">
        <v>-0.53859999999999997</v>
      </c>
      <c r="CW76" s="230">
        <v>4179</v>
      </c>
      <c r="CX76" s="230">
        <v>6208</v>
      </c>
      <c r="CY76" s="230">
        <v>-2029</v>
      </c>
      <c r="CZ76" s="229">
        <v>-0.32690000000000002</v>
      </c>
      <c r="DA76" s="228">
        <v>25.8</v>
      </c>
      <c r="DB76" s="228">
        <v>26.73</v>
      </c>
      <c r="DC76" s="228">
        <v>-0.93</v>
      </c>
      <c r="DD76" s="228">
        <v>-0.93</v>
      </c>
      <c r="DE76" s="228">
        <v>38.869999999999997</v>
      </c>
      <c r="DF76" s="228">
        <v>38.97</v>
      </c>
      <c r="DG76" s="228">
        <v>-13.07</v>
      </c>
      <c r="DH76" s="228">
        <v>-0.1</v>
      </c>
      <c r="DI76" s="228">
        <v>26.01</v>
      </c>
      <c r="DJ76" s="228">
        <v>26.91</v>
      </c>
      <c r="DK76" s="228">
        <v>-0.9</v>
      </c>
      <c r="DL76" s="228">
        <v>-0.9</v>
      </c>
      <c r="DM76" s="228">
        <v>25.36</v>
      </c>
      <c r="DN76" s="228">
        <v>26.38</v>
      </c>
      <c r="DO76" s="228">
        <v>-1.02</v>
      </c>
      <c r="DP76" s="228">
        <v>-1.02</v>
      </c>
      <c r="DQ76" s="228">
        <v>0.81</v>
      </c>
      <c r="DR76" s="228">
        <v>0.64</v>
      </c>
      <c r="DS76" s="228">
        <v>0.17</v>
      </c>
      <c r="DT76" s="229">
        <v>0.2656</v>
      </c>
      <c r="DU76" s="231">
        <v>4700</v>
      </c>
      <c r="DV76" s="231">
        <v>4400</v>
      </c>
      <c r="DW76" s="228">
        <v>0.56000000000000005</v>
      </c>
      <c r="DX76" s="228">
        <v>0.47</v>
      </c>
      <c r="DY76" s="228">
        <v>0.09</v>
      </c>
      <c r="DZ76" s="229">
        <v>0.1915</v>
      </c>
      <c r="EA76" s="229">
        <v>0.90749999999999997</v>
      </c>
      <c r="EB76" s="230">
        <v>5530350</v>
      </c>
      <c r="EC76" s="229">
        <v>8.0999999999999996E-3</v>
      </c>
      <c r="ED76" s="229">
        <v>0.90749999999999997</v>
      </c>
      <c r="EE76" s="228">
        <v>30.38</v>
      </c>
      <c r="EF76" s="229">
        <v>6.8999999999999999E-3</v>
      </c>
      <c r="EG76" s="230">
        <v>576993</v>
      </c>
      <c r="EH76" s="230">
        <v>580611</v>
      </c>
      <c r="EI76" s="229">
        <v>-6.1999999999999998E-3</v>
      </c>
      <c r="EJ76" s="229">
        <v>0.54859999999999998</v>
      </c>
      <c r="EK76" s="231">
        <v>1834.87</v>
      </c>
      <c r="EL76" s="228">
        <v>985.9</v>
      </c>
      <c r="EM76" s="231">
        <v>1496.78</v>
      </c>
      <c r="EN76" s="228">
        <v>170.67</v>
      </c>
      <c r="EO76" s="231">
        <v>4317.55</v>
      </c>
      <c r="EP76" s="231">
        <v>7237.2</v>
      </c>
      <c r="EQ76" s="231">
        <v>-2919.64</v>
      </c>
      <c r="ER76" s="229">
        <v>-0.40339999999999998</v>
      </c>
      <c r="ES76" s="228">
        <v>700.93</v>
      </c>
      <c r="ET76" s="228">
        <v>534.62</v>
      </c>
      <c r="EU76" s="231">
        <v>2970.01</v>
      </c>
      <c r="EV76" s="231">
        <v>28450886</v>
      </c>
      <c r="EW76" s="231">
        <v>4205.5600000000004</v>
      </c>
      <c r="EX76" s="231">
        <v>6272.86</v>
      </c>
      <c r="EY76" s="231">
        <v>-2067.3000000000002</v>
      </c>
      <c r="EZ76" s="229">
        <v>-0.3296</v>
      </c>
      <c r="FA76" s="229">
        <v>0.32929999999999998</v>
      </c>
      <c r="FB76" s="227" t="s">
        <v>691</v>
      </c>
      <c r="FC76">
        <f t="shared" si="1"/>
        <v>2667</v>
      </c>
    </row>
    <row r="77" spans="1:159" ht="17.25" thickBot="1" x14ac:dyDescent="0.3">
      <c r="A77" s="226">
        <v>46168</v>
      </c>
      <c r="B77" s="227" t="s">
        <v>184</v>
      </c>
      <c r="C77" s="227" t="s">
        <v>220</v>
      </c>
      <c r="D77" s="228">
        <v>500</v>
      </c>
      <c r="E77" s="228">
        <v>0</v>
      </c>
      <c r="F77" s="231">
        <v>1211</v>
      </c>
      <c r="G77" s="231">
        <v>1212.7</v>
      </c>
      <c r="H77" s="228">
        <v>-1.7</v>
      </c>
      <c r="I77" s="229">
        <v>-1.4E-3</v>
      </c>
      <c r="J77" s="231">
        <v>1201</v>
      </c>
      <c r="K77" s="231">
        <v>1203.8</v>
      </c>
      <c r="L77" s="228">
        <v>-2.8</v>
      </c>
      <c r="M77" s="229">
        <v>-2.3E-3</v>
      </c>
      <c r="N77" s="231">
        <v>1202.9000000000001</v>
      </c>
      <c r="O77" s="231">
        <v>1205.7</v>
      </c>
      <c r="P77" s="228">
        <v>-2.8</v>
      </c>
      <c r="Q77" s="229">
        <v>-2.3E-3</v>
      </c>
      <c r="R77" s="231">
        <v>1211</v>
      </c>
      <c r="S77" s="231">
        <v>1212.7</v>
      </c>
      <c r="T77" s="228">
        <v>-1.7</v>
      </c>
      <c r="U77" s="229">
        <v>-1.4E-3</v>
      </c>
      <c r="V77" s="231">
        <v>1218.2</v>
      </c>
      <c r="W77" s="231">
        <v>1220.5999999999999</v>
      </c>
      <c r="X77" s="228">
        <v>-2.4</v>
      </c>
      <c r="Y77" s="229">
        <v>-2E-3</v>
      </c>
      <c r="Z77" s="228">
        <v>10</v>
      </c>
      <c r="AA77" s="228">
        <v>1.9</v>
      </c>
      <c r="AB77" s="228">
        <v>8.1</v>
      </c>
      <c r="AC77" s="229">
        <v>8.3000000000000001E-3</v>
      </c>
      <c r="AD77" s="228">
        <v>1.9</v>
      </c>
      <c r="AE77" s="228">
        <v>1.9</v>
      </c>
      <c r="AF77" s="228">
        <v>0</v>
      </c>
      <c r="AG77" s="229">
        <v>1.6000000000000001E-3</v>
      </c>
      <c r="AH77" s="228">
        <v>10</v>
      </c>
      <c r="AI77" s="228">
        <v>8.9</v>
      </c>
      <c r="AJ77" s="228">
        <v>1.1000000000000001</v>
      </c>
      <c r="AK77" s="229">
        <v>8.3000000000000001E-3</v>
      </c>
      <c r="AL77" s="228">
        <v>17.2</v>
      </c>
      <c r="AM77" s="228">
        <v>16.8</v>
      </c>
      <c r="AN77" s="228">
        <v>0.4</v>
      </c>
      <c r="AO77" s="229">
        <v>1.43E-2</v>
      </c>
      <c r="AP77" s="231">
        <v>1202.3800000000001</v>
      </c>
      <c r="AQ77" s="231">
        <v>1209.94</v>
      </c>
      <c r="AR77" s="228">
        <v>0</v>
      </c>
      <c r="AS77" s="228">
        <v>646</v>
      </c>
      <c r="AT77" s="228">
        <v>553</v>
      </c>
      <c r="AU77" s="228">
        <v>93</v>
      </c>
      <c r="AV77" s="229">
        <v>0.16850000000000001</v>
      </c>
      <c r="AW77" s="228">
        <v>299</v>
      </c>
      <c r="AX77" s="228">
        <v>256</v>
      </c>
      <c r="AY77" s="228">
        <v>43</v>
      </c>
      <c r="AZ77" s="229">
        <v>0.1696</v>
      </c>
      <c r="BA77" s="228">
        <v>338</v>
      </c>
      <c r="BB77" s="228">
        <v>291</v>
      </c>
      <c r="BC77" s="228">
        <v>47</v>
      </c>
      <c r="BD77" s="229">
        <v>0.1613</v>
      </c>
      <c r="BE77" s="228">
        <v>9</v>
      </c>
      <c r="BF77" s="228">
        <v>7</v>
      </c>
      <c r="BG77" s="228">
        <v>3</v>
      </c>
      <c r="BH77" s="229">
        <v>0.44440000000000002</v>
      </c>
      <c r="BI77" s="228">
        <v>278</v>
      </c>
      <c r="BJ77" s="228">
        <v>315</v>
      </c>
      <c r="BK77" s="228">
        <v>-37</v>
      </c>
      <c r="BL77" s="229">
        <v>-0.1188</v>
      </c>
      <c r="BM77" s="228">
        <v>380</v>
      </c>
      <c r="BN77" s="228">
        <v>121</v>
      </c>
      <c r="BO77" s="228">
        <v>259</v>
      </c>
      <c r="BP77" s="229">
        <v>2.1364999999999998</v>
      </c>
      <c r="BQ77" s="230">
        <v>1304</v>
      </c>
      <c r="BR77" s="228">
        <v>990</v>
      </c>
      <c r="BS77" s="228">
        <v>314</v>
      </c>
      <c r="BT77" s="229">
        <v>0.31769999999999998</v>
      </c>
      <c r="BU77" s="230">
        <v>503021</v>
      </c>
      <c r="BV77" s="230">
        <v>388233</v>
      </c>
      <c r="BW77" s="230">
        <v>114788</v>
      </c>
      <c r="BX77" s="229">
        <v>0.29570000000000002</v>
      </c>
      <c r="BY77" s="230">
        <v>1169</v>
      </c>
      <c r="BZ77" s="230">
        <v>1367</v>
      </c>
      <c r="CA77" s="228">
        <v>-199</v>
      </c>
      <c r="CB77" s="229">
        <v>-0.14530000000000001</v>
      </c>
      <c r="CC77" s="228">
        <v>219</v>
      </c>
      <c r="CD77" s="228">
        <v>462</v>
      </c>
      <c r="CE77" s="228">
        <v>-242</v>
      </c>
      <c r="CF77" s="229">
        <v>-0.52480000000000004</v>
      </c>
      <c r="CG77" s="230">
        <v>1147</v>
      </c>
      <c r="CH77" s="228">
        <v>890</v>
      </c>
      <c r="CI77" s="228">
        <v>257</v>
      </c>
      <c r="CJ77" s="229">
        <v>0.28849999999999998</v>
      </c>
      <c r="CK77" s="228">
        <v>21</v>
      </c>
      <c r="CL77" s="228">
        <v>15</v>
      </c>
      <c r="CM77" s="228">
        <v>6</v>
      </c>
      <c r="CN77" s="229">
        <v>0.4234</v>
      </c>
      <c r="CO77" s="228">
        <v>148</v>
      </c>
      <c r="CP77" s="228">
        <v>506</v>
      </c>
      <c r="CQ77" s="228">
        <v>-358</v>
      </c>
      <c r="CR77" s="229">
        <v>-0.70799999999999996</v>
      </c>
      <c r="CS77" s="228">
        <v>110</v>
      </c>
      <c r="CT77" s="228">
        <v>236</v>
      </c>
      <c r="CU77" s="228">
        <v>-127</v>
      </c>
      <c r="CV77" s="229">
        <v>-0.53590000000000004</v>
      </c>
      <c r="CW77" s="230">
        <v>1426</v>
      </c>
      <c r="CX77" s="230">
        <v>2109</v>
      </c>
      <c r="CY77" s="228">
        <v>-683</v>
      </c>
      <c r="CZ77" s="229">
        <v>-0.32390000000000002</v>
      </c>
      <c r="DA77" s="228">
        <v>24.64</v>
      </c>
      <c r="DB77" s="228">
        <v>26.23</v>
      </c>
      <c r="DC77" s="228">
        <v>-1.59</v>
      </c>
      <c r="DD77" s="228">
        <v>-1.59</v>
      </c>
      <c r="DE77" s="228">
        <v>30.69</v>
      </c>
      <c r="DF77" s="228">
        <v>30.77</v>
      </c>
      <c r="DG77" s="228">
        <v>-6.05</v>
      </c>
      <c r="DH77" s="228">
        <v>-0.08</v>
      </c>
      <c r="DI77" s="228">
        <v>24.88</v>
      </c>
      <c r="DJ77" s="228">
        <v>26.63</v>
      </c>
      <c r="DK77" s="228">
        <v>-1.75</v>
      </c>
      <c r="DL77" s="228">
        <v>-1.75</v>
      </c>
      <c r="DM77" s="228">
        <v>24.28</v>
      </c>
      <c r="DN77" s="228">
        <v>25.7</v>
      </c>
      <c r="DO77" s="228">
        <v>-1.42</v>
      </c>
      <c r="DP77" s="228">
        <v>-1.42</v>
      </c>
      <c r="DQ77" s="228">
        <v>0.74</v>
      </c>
      <c r="DR77" s="228">
        <v>0.47</v>
      </c>
      <c r="DS77" s="228">
        <v>0.27</v>
      </c>
      <c r="DT77" s="229">
        <v>0.57450000000000001</v>
      </c>
      <c r="DU77" s="231">
        <v>1400</v>
      </c>
      <c r="DV77" s="231">
        <v>1200</v>
      </c>
      <c r="DW77" s="228">
        <v>1.37</v>
      </c>
      <c r="DX77" s="228">
        <v>0.38</v>
      </c>
      <c r="DY77" s="228">
        <v>0.99</v>
      </c>
      <c r="DZ77" s="229">
        <v>2.6053000000000002</v>
      </c>
      <c r="EA77" s="229">
        <v>0.84189999999999998</v>
      </c>
      <c r="EB77" s="230">
        <v>7477000</v>
      </c>
      <c r="EC77" s="229">
        <v>6.7000000000000002E-3</v>
      </c>
      <c r="ED77" s="229">
        <v>0.84189999999999998</v>
      </c>
      <c r="EE77" s="228">
        <v>7.56</v>
      </c>
      <c r="EF77" s="229">
        <v>6.3E-3</v>
      </c>
      <c r="EG77" s="230">
        <v>307334</v>
      </c>
      <c r="EH77" s="230">
        <v>229638</v>
      </c>
      <c r="EI77" s="229">
        <v>0.33829999999999999</v>
      </c>
      <c r="EJ77" s="229">
        <v>0.61099999999999999</v>
      </c>
      <c r="EK77" s="228">
        <v>293.85000000000002</v>
      </c>
      <c r="EL77" s="228">
        <v>381.58</v>
      </c>
      <c r="EM77" s="228">
        <v>643.99</v>
      </c>
      <c r="EN77" s="228">
        <v>78.73</v>
      </c>
      <c r="EO77" s="231">
        <v>1319.42</v>
      </c>
      <c r="EP77" s="231">
        <v>1012.04</v>
      </c>
      <c r="EQ77" s="228">
        <v>307.38</v>
      </c>
      <c r="ER77" s="229">
        <v>0.30370000000000003</v>
      </c>
      <c r="ES77" s="228">
        <v>154.29</v>
      </c>
      <c r="ET77" s="228">
        <v>109.32</v>
      </c>
      <c r="EU77" s="231">
        <v>1168.8599999999999</v>
      </c>
      <c r="EV77" s="231">
        <v>29751886</v>
      </c>
      <c r="EW77" s="231">
        <v>1432.48</v>
      </c>
      <c r="EX77" s="231">
        <v>2154.5500000000002</v>
      </c>
      <c r="EY77" s="228">
        <v>-722.07</v>
      </c>
      <c r="EZ77" s="229">
        <v>-0.33510000000000001</v>
      </c>
      <c r="FA77" s="229">
        <v>0.39579999999999999</v>
      </c>
      <c r="FB77" s="227" t="s">
        <v>567</v>
      </c>
      <c r="FC77">
        <f t="shared" si="1"/>
        <v>950</v>
      </c>
    </row>
    <row r="78" spans="1:159" ht="17.25" thickBot="1" x14ac:dyDescent="0.3">
      <c r="A78" s="226">
        <v>46168</v>
      </c>
      <c r="B78" s="227" t="s">
        <v>221</v>
      </c>
      <c r="C78" s="227" t="s">
        <v>222</v>
      </c>
      <c r="D78" s="228">
        <v>350</v>
      </c>
      <c r="E78" s="228">
        <v>0</v>
      </c>
      <c r="F78" s="231">
        <v>1161.3</v>
      </c>
      <c r="G78" s="231">
        <v>1154.3</v>
      </c>
      <c r="H78" s="228">
        <v>7</v>
      </c>
      <c r="I78" s="229">
        <v>6.1000000000000004E-3</v>
      </c>
      <c r="J78" s="231">
        <v>1161.9000000000001</v>
      </c>
      <c r="K78" s="231">
        <v>1165.7</v>
      </c>
      <c r="L78" s="228">
        <v>-3.8</v>
      </c>
      <c r="M78" s="229">
        <v>-3.3E-3</v>
      </c>
      <c r="N78" s="231">
        <v>1161.9000000000001</v>
      </c>
      <c r="O78" s="231">
        <v>1169</v>
      </c>
      <c r="P78" s="228">
        <v>-7.1</v>
      </c>
      <c r="Q78" s="229">
        <v>-6.1000000000000004E-3</v>
      </c>
      <c r="R78" s="231">
        <v>1161.3</v>
      </c>
      <c r="S78" s="231">
        <v>1154.3</v>
      </c>
      <c r="T78" s="228">
        <v>7</v>
      </c>
      <c r="U78" s="229">
        <v>6.1000000000000004E-3</v>
      </c>
      <c r="V78" s="231">
        <v>1150.5</v>
      </c>
      <c r="W78" s="231">
        <v>1142.0999999999999</v>
      </c>
      <c r="X78" s="228">
        <v>8.4</v>
      </c>
      <c r="Y78" s="229">
        <v>7.4000000000000003E-3</v>
      </c>
      <c r="Z78" s="228">
        <v>-0.6</v>
      </c>
      <c r="AA78" s="228">
        <v>3.3</v>
      </c>
      <c r="AB78" s="228">
        <v>-3.9</v>
      </c>
      <c r="AC78" s="229">
        <v>-5.0000000000000001E-4</v>
      </c>
      <c r="AD78" s="228">
        <v>0</v>
      </c>
      <c r="AE78" s="228">
        <v>3.3</v>
      </c>
      <c r="AF78" s="228">
        <v>-3.3</v>
      </c>
      <c r="AG78" s="229">
        <v>0</v>
      </c>
      <c r="AH78" s="228">
        <v>-0.6</v>
      </c>
      <c r="AI78" s="228">
        <v>-11.4</v>
      </c>
      <c r="AJ78" s="228">
        <v>10.8</v>
      </c>
      <c r="AK78" s="229">
        <v>-5.0000000000000001E-4</v>
      </c>
      <c r="AL78" s="228">
        <v>-11.4</v>
      </c>
      <c r="AM78" s="228">
        <v>-23.6</v>
      </c>
      <c r="AN78" s="228">
        <v>12.2</v>
      </c>
      <c r="AO78" s="229">
        <v>-9.7999999999999997E-3</v>
      </c>
      <c r="AP78" s="231">
        <v>1167.75</v>
      </c>
      <c r="AQ78" s="231">
        <v>1162.4100000000001</v>
      </c>
      <c r="AR78" s="228">
        <v>0</v>
      </c>
      <c r="AS78" s="230">
        <v>1125</v>
      </c>
      <c r="AT78" s="230">
        <v>3656</v>
      </c>
      <c r="AU78" s="230">
        <v>-2531</v>
      </c>
      <c r="AV78" s="229">
        <v>-0.69230000000000003</v>
      </c>
      <c r="AW78" s="228">
        <v>461</v>
      </c>
      <c r="AX78" s="230">
        <v>1756</v>
      </c>
      <c r="AY78" s="230">
        <v>-1295</v>
      </c>
      <c r="AZ78" s="229">
        <v>-0.73750000000000004</v>
      </c>
      <c r="BA78" s="228">
        <v>630</v>
      </c>
      <c r="BB78" s="230">
        <v>1861</v>
      </c>
      <c r="BC78" s="230">
        <v>-1231</v>
      </c>
      <c r="BD78" s="229">
        <v>-0.6613</v>
      </c>
      <c r="BE78" s="228">
        <v>34</v>
      </c>
      <c r="BF78" s="228">
        <v>39</v>
      </c>
      <c r="BG78" s="228">
        <v>-5</v>
      </c>
      <c r="BH78" s="229">
        <v>-0.12759999999999999</v>
      </c>
      <c r="BI78" s="230">
        <v>1327</v>
      </c>
      <c r="BJ78" s="230">
        <v>1965</v>
      </c>
      <c r="BK78" s="228">
        <v>-639</v>
      </c>
      <c r="BL78" s="229">
        <v>-0.32490000000000002</v>
      </c>
      <c r="BM78" s="228">
        <v>627</v>
      </c>
      <c r="BN78" s="230">
        <v>1028</v>
      </c>
      <c r="BO78" s="228">
        <v>-400</v>
      </c>
      <c r="BP78" s="229">
        <v>-0.38950000000000001</v>
      </c>
      <c r="BQ78" s="230">
        <v>3079</v>
      </c>
      <c r="BR78" s="230">
        <v>6649</v>
      </c>
      <c r="BS78" s="230">
        <v>-3570</v>
      </c>
      <c r="BT78" s="229">
        <v>-0.53690000000000004</v>
      </c>
      <c r="BU78" s="230">
        <v>1316166</v>
      </c>
      <c r="BV78" s="230">
        <v>1481646</v>
      </c>
      <c r="BW78" s="230">
        <v>-165480</v>
      </c>
      <c r="BX78" s="229">
        <v>-0.11169999999999999</v>
      </c>
      <c r="BY78" s="230">
        <v>4623</v>
      </c>
      <c r="BZ78" s="230">
        <v>5030</v>
      </c>
      <c r="CA78" s="228">
        <v>-407</v>
      </c>
      <c r="CB78" s="229">
        <v>-8.09E-2</v>
      </c>
      <c r="CC78" s="228">
        <v>325</v>
      </c>
      <c r="CD78" s="228">
        <v>568</v>
      </c>
      <c r="CE78" s="228">
        <v>-242</v>
      </c>
      <c r="CF78" s="229">
        <v>-0.42670000000000002</v>
      </c>
      <c r="CG78" s="230">
        <v>4505</v>
      </c>
      <c r="CH78" s="230">
        <v>4364</v>
      </c>
      <c r="CI78" s="228">
        <v>141</v>
      </c>
      <c r="CJ78" s="229">
        <v>3.2300000000000002E-2</v>
      </c>
      <c r="CK78" s="228">
        <v>118</v>
      </c>
      <c r="CL78" s="228">
        <v>98</v>
      </c>
      <c r="CM78" s="228">
        <v>20</v>
      </c>
      <c r="CN78" s="229">
        <v>0.2034</v>
      </c>
      <c r="CO78" s="228">
        <v>506</v>
      </c>
      <c r="CP78" s="230">
        <v>2828</v>
      </c>
      <c r="CQ78" s="230">
        <v>-2322</v>
      </c>
      <c r="CR78" s="229">
        <v>-0.82120000000000004</v>
      </c>
      <c r="CS78" s="228">
        <v>379</v>
      </c>
      <c r="CT78" s="230">
        <v>1204</v>
      </c>
      <c r="CU78" s="228">
        <v>-825</v>
      </c>
      <c r="CV78" s="229">
        <v>-0.68530000000000002</v>
      </c>
      <c r="CW78" s="230">
        <v>5508</v>
      </c>
      <c r="CX78" s="230">
        <v>9063</v>
      </c>
      <c r="CY78" s="230">
        <v>-3555</v>
      </c>
      <c r="CZ78" s="229">
        <v>-0.39219999999999999</v>
      </c>
      <c r="DA78" s="228">
        <v>25.73</v>
      </c>
      <c r="DB78" s="228">
        <v>27.26</v>
      </c>
      <c r="DC78" s="228">
        <v>-1.53</v>
      </c>
      <c r="DD78" s="228">
        <v>-1.53</v>
      </c>
      <c r="DE78" s="228">
        <v>32.840000000000003</v>
      </c>
      <c r="DF78" s="228">
        <v>32.92</v>
      </c>
      <c r="DG78" s="228">
        <v>-7.11</v>
      </c>
      <c r="DH78" s="228">
        <v>-0.08</v>
      </c>
      <c r="DI78" s="228">
        <v>25.94</v>
      </c>
      <c r="DJ78" s="228">
        <v>27.59</v>
      </c>
      <c r="DK78" s="228">
        <v>-1.65</v>
      </c>
      <c r="DL78" s="228">
        <v>-1.65</v>
      </c>
      <c r="DM78" s="228">
        <v>25.4</v>
      </c>
      <c r="DN78" s="228">
        <v>26.72</v>
      </c>
      <c r="DO78" s="228">
        <v>-1.32</v>
      </c>
      <c r="DP78" s="228">
        <v>-1.32</v>
      </c>
      <c r="DQ78" s="228">
        <v>0.75</v>
      </c>
      <c r="DR78" s="228">
        <v>0.43</v>
      </c>
      <c r="DS78" s="228">
        <v>0.32</v>
      </c>
      <c r="DT78" s="229">
        <v>0.74419999999999997</v>
      </c>
      <c r="DU78" s="231">
        <v>1290</v>
      </c>
      <c r="DV78" s="231">
        <v>1200</v>
      </c>
      <c r="DW78" s="228">
        <v>0.47</v>
      </c>
      <c r="DX78" s="228">
        <v>0.52</v>
      </c>
      <c r="DY78" s="228">
        <v>-0.05</v>
      </c>
      <c r="DZ78" s="229">
        <v>-9.6199999999999994E-2</v>
      </c>
      <c r="EA78" s="229">
        <v>0.93420000000000003</v>
      </c>
      <c r="EB78" s="230">
        <v>38425900</v>
      </c>
      <c r="EC78" s="229">
        <v>-5.0000000000000001E-4</v>
      </c>
      <c r="ED78" s="229">
        <v>0.93420000000000003</v>
      </c>
      <c r="EE78" s="228">
        <v>-5.34</v>
      </c>
      <c r="EF78" s="229">
        <v>-4.5999999999999999E-3</v>
      </c>
      <c r="EG78" s="230">
        <v>565909</v>
      </c>
      <c r="EH78" s="230">
        <v>608154</v>
      </c>
      <c r="EI78" s="229">
        <v>-6.9500000000000006E-2</v>
      </c>
      <c r="EJ78" s="229">
        <v>0.43</v>
      </c>
      <c r="EK78" s="231">
        <v>1411.65</v>
      </c>
      <c r="EL78" s="228">
        <v>646.44000000000005</v>
      </c>
      <c r="EM78" s="231">
        <v>1132.45</v>
      </c>
      <c r="EN78" s="228">
        <v>585.75</v>
      </c>
      <c r="EO78" s="231">
        <v>3190.54</v>
      </c>
      <c r="EP78" s="231">
        <v>6796.19</v>
      </c>
      <c r="EQ78" s="231">
        <v>-3605.65</v>
      </c>
      <c r="ER78" s="229">
        <v>-0.53049999999999997</v>
      </c>
      <c r="ES78" s="228">
        <v>531.51</v>
      </c>
      <c r="ET78" s="228">
        <v>379.22</v>
      </c>
      <c r="EU78" s="231">
        <v>4622.1099999999997</v>
      </c>
      <c r="EV78" s="231">
        <v>145140505</v>
      </c>
      <c r="EW78" s="231">
        <v>5532.84</v>
      </c>
      <c r="EX78" s="231">
        <v>9305.26</v>
      </c>
      <c r="EY78" s="231">
        <v>-3772.42</v>
      </c>
      <c r="EZ78" s="229">
        <v>-0.40539999999999998</v>
      </c>
      <c r="FA78" s="229">
        <v>0.32679999999999998</v>
      </c>
      <c r="FB78" s="227" t="s">
        <v>691</v>
      </c>
      <c r="FC78">
        <f t="shared" si="1"/>
        <v>4298</v>
      </c>
    </row>
    <row r="79" spans="1:159" ht="17.25" thickBot="1" x14ac:dyDescent="0.3">
      <c r="A79" s="226">
        <v>46168</v>
      </c>
      <c r="B79" s="227" t="s">
        <v>175</v>
      </c>
      <c r="C79" s="227" t="s">
        <v>475</v>
      </c>
      <c r="D79" s="228">
        <v>300</v>
      </c>
      <c r="E79" s="228">
        <v>0</v>
      </c>
      <c r="F79" s="231">
        <v>2755.1</v>
      </c>
      <c r="G79" s="231">
        <v>2780.7</v>
      </c>
      <c r="H79" s="228">
        <v>-25.6</v>
      </c>
      <c r="I79" s="229">
        <v>-9.1999999999999998E-3</v>
      </c>
      <c r="J79" s="231">
        <v>2739.8</v>
      </c>
      <c r="K79" s="231">
        <v>2758.1</v>
      </c>
      <c r="L79" s="228">
        <v>-18.3</v>
      </c>
      <c r="M79" s="229">
        <v>-6.6E-3</v>
      </c>
      <c r="N79" s="231">
        <v>2739.6</v>
      </c>
      <c r="O79" s="231">
        <v>2763.2</v>
      </c>
      <c r="P79" s="228">
        <v>-23.6</v>
      </c>
      <c r="Q79" s="229">
        <v>-8.5000000000000006E-3</v>
      </c>
      <c r="R79" s="231">
        <v>2755.1</v>
      </c>
      <c r="S79" s="231">
        <v>2780.7</v>
      </c>
      <c r="T79" s="228">
        <v>-25.6</v>
      </c>
      <c r="U79" s="229">
        <v>-9.1999999999999998E-3</v>
      </c>
      <c r="V79" s="231">
        <v>2772.1</v>
      </c>
      <c r="W79" s="231">
        <v>2793.4</v>
      </c>
      <c r="X79" s="228">
        <v>-21.3</v>
      </c>
      <c r="Y79" s="229">
        <v>-7.6E-3</v>
      </c>
      <c r="Z79" s="228">
        <v>15.3</v>
      </c>
      <c r="AA79" s="228">
        <v>5.0999999999999996</v>
      </c>
      <c r="AB79" s="228">
        <v>10.199999999999999</v>
      </c>
      <c r="AC79" s="229">
        <v>5.5999999999999999E-3</v>
      </c>
      <c r="AD79" s="228">
        <v>-0.2</v>
      </c>
      <c r="AE79" s="228">
        <v>5.0999999999999996</v>
      </c>
      <c r="AF79" s="228">
        <v>-5.3</v>
      </c>
      <c r="AG79" s="229">
        <v>-1E-4</v>
      </c>
      <c r="AH79" s="228">
        <v>15.3</v>
      </c>
      <c r="AI79" s="228">
        <v>22.6</v>
      </c>
      <c r="AJ79" s="228">
        <v>-7.3</v>
      </c>
      <c r="AK79" s="229">
        <v>5.5999999999999999E-3</v>
      </c>
      <c r="AL79" s="228">
        <v>32.299999999999997</v>
      </c>
      <c r="AM79" s="228">
        <v>35.299999999999997</v>
      </c>
      <c r="AN79" s="228">
        <v>-3</v>
      </c>
      <c r="AO79" s="229">
        <v>1.18E-2</v>
      </c>
      <c r="AP79" s="231">
        <v>2742.11</v>
      </c>
      <c r="AQ79" s="231">
        <v>2756.38</v>
      </c>
      <c r="AR79" s="228">
        <v>0</v>
      </c>
      <c r="AS79" s="228">
        <v>374</v>
      </c>
      <c r="AT79" s="230">
        <v>1030</v>
      </c>
      <c r="AU79" s="228">
        <v>-656</v>
      </c>
      <c r="AV79" s="229">
        <v>-0.63719999999999999</v>
      </c>
      <c r="AW79" s="228">
        <v>140</v>
      </c>
      <c r="AX79" s="228">
        <v>476</v>
      </c>
      <c r="AY79" s="228">
        <v>-336</v>
      </c>
      <c r="AZ79" s="229">
        <v>-0.70540000000000003</v>
      </c>
      <c r="BA79" s="228">
        <v>229</v>
      </c>
      <c r="BB79" s="228">
        <v>551</v>
      </c>
      <c r="BC79" s="228">
        <v>-321</v>
      </c>
      <c r="BD79" s="229">
        <v>-0.5837</v>
      </c>
      <c r="BE79" s="228">
        <v>4</v>
      </c>
      <c r="BF79" s="228">
        <v>2</v>
      </c>
      <c r="BG79" s="228">
        <v>1</v>
      </c>
      <c r="BH79" s="229">
        <v>0.56669999999999998</v>
      </c>
      <c r="BI79" s="228">
        <v>434</v>
      </c>
      <c r="BJ79" s="230">
        <v>1597</v>
      </c>
      <c r="BK79" s="230">
        <v>-1162</v>
      </c>
      <c r="BL79" s="229">
        <v>-0.72799999999999998</v>
      </c>
      <c r="BM79" s="228">
        <v>237</v>
      </c>
      <c r="BN79" s="228">
        <v>259</v>
      </c>
      <c r="BO79" s="228">
        <v>-21</v>
      </c>
      <c r="BP79" s="229">
        <v>-8.1799999999999998E-2</v>
      </c>
      <c r="BQ79" s="230">
        <v>1045</v>
      </c>
      <c r="BR79" s="230">
        <v>2885</v>
      </c>
      <c r="BS79" s="230">
        <v>-1840</v>
      </c>
      <c r="BT79" s="229">
        <v>-0.63770000000000004</v>
      </c>
      <c r="BU79" s="230">
        <v>744434</v>
      </c>
      <c r="BV79" s="230">
        <v>801017</v>
      </c>
      <c r="BW79" s="230">
        <v>-56583</v>
      </c>
      <c r="BX79" s="229">
        <v>-7.0599999999999996E-2</v>
      </c>
      <c r="BY79" s="230">
        <v>1842</v>
      </c>
      <c r="BZ79" s="230">
        <v>2055</v>
      </c>
      <c r="CA79" s="228">
        <v>-213</v>
      </c>
      <c r="CB79" s="229">
        <v>-0.1038</v>
      </c>
      <c r="CC79" s="228">
        <v>187</v>
      </c>
      <c r="CD79" s="228">
        <v>244</v>
      </c>
      <c r="CE79" s="228">
        <v>-57</v>
      </c>
      <c r="CF79" s="229">
        <v>-0.2329</v>
      </c>
      <c r="CG79" s="230">
        <v>1837</v>
      </c>
      <c r="CH79" s="230">
        <v>1807</v>
      </c>
      <c r="CI79" s="228">
        <v>29</v>
      </c>
      <c r="CJ79" s="229">
        <v>1.6199999999999999E-2</v>
      </c>
      <c r="CK79" s="228">
        <v>5</v>
      </c>
      <c r="CL79" s="228">
        <v>4</v>
      </c>
      <c r="CM79" s="228">
        <v>1</v>
      </c>
      <c r="CN79" s="229">
        <v>0.33329999999999999</v>
      </c>
      <c r="CO79" s="228">
        <v>135</v>
      </c>
      <c r="CP79" s="228">
        <v>409</v>
      </c>
      <c r="CQ79" s="228">
        <v>-274</v>
      </c>
      <c r="CR79" s="229">
        <v>-0.66910000000000003</v>
      </c>
      <c r="CS79" s="228">
        <v>88</v>
      </c>
      <c r="CT79" s="228">
        <v>274</v>
      </c>
      <c r="CU79" s="228">
        <v>-187</v>
      </c>
      <c r="CV79" s="229">
        <v>-0.67979999999999996</v>
      </c>
      <c r="CW79" s="230">
        <v>2065</v>
      </c>
      <c r="CX79" s="230">
        <v>2738</v>
      </c>
      <c r="CY79" s="228">
        <v>-673</v>
      </c>
      <c r="CZ79" s="229">
        <v>-0.24590000000000001</v>
      </c>
      <c r="DA79" s="228">
        <v>28.81</v>
      </c>
      <c r="DB79" s="228">
        <v>29.21</v>
      </c>
      <c r="DC79" s="228">
        <v>-0.4</v>
      </c>
      <c r="DD79" s="228">
        <v>-0.4</v>
      </c>
      <c r="DE79" s="228">
        <v>38.630000000000003</v>
      </c>
      <c r="DF79" s="228">
        <v>38.71</v>
      </c>
      <c r="DG79" s="228">
        <v>-9.82</v>
      </c>
      <c r="DH79" s="228">
        <v>-0.08</v>
      </c>
      <c r="DI79" s="228">
        <v>28.76</v>
      </c>
      <c r="DJ79" s="228">
        <v>29.08</v>
      </c>
      <c r="DK79" s="228">
        <v>-0.32</v>
      </c>
      <c r="DL79" s="228">
        <v>-0.32</v>
      </c>
      <c r="DM79" s="228">
        <v>28.86</v>
      </c>
      <c r="DN79" s="228">
        <v>29.47</v>
      </c>
      <c r="DO79" s="228">
        <v>-0.61</v>
      </c>
      <c r="DP79" s="228">
        <v>-0.61</v>
      </c>
      <c r="DQ79" s="228">
        <v>0.65</v>
      </c>
      <c r="DR79" s="228">
        <v>0.67</v>
      </c>
      <c r="DS79" s="228">
        <v>-0.02</v>
      </c>
      <c r="DT79" s="229">
        <v>-2.9899999999999999E-2</v>
      </c>
      <c r="DU79" s="231">
        <v>2800</v>
      </c>
      <c r="DV79" s="231">
        <v>2640</v>
      </c>
      <c r="DW79" s="228">
        <v>0.55000000000000004</v>
      </c>
      <c r="DX79" s="228">
        <v>0.16</v>
      </c>
      <c r="DY79" s="228">
        <v>0.39</v>
      </c>
      <c r="DZ79" s="229">
        <v>2.4375</v>
      </c>
      <c r="EA79" s="229">
        <v>0.90780000000000005</v>
      </c>
      <c r="EB79" s="230">
        <v>6573600</v>
      </c>
      <c r="EC79" s="229">
        <v>5.7000000000000002E-3</v>
      </c>
      <c r="ED79" s="229">
        <v>0.90780000000000005</v>
      </c>
      <c r="EE79" s="228">
        <v>14.27</v>
      </c>
      <c r="EF79" s="229">
        <v>5.1999999999999998E-3</v>
      </c>
      <c r="EG79" s="230">
        <v>438932</v>
      </c>
      <c r="EH79" s="230">
        <v>452397</v>
      </c>
      <c r="EI79" s="229">
        <v>-2.98E-2</v>
      </c>
      <c r="EJ79" s="229">
        <v>0.58960000000000001</v>
      </c>
      <c r="EK79" s="228">
        <v>444.69</v>
      </c>
      <c r="EL79" s="228">
        <v>234</v>
      </c>
      <c r="EM79" s="228">
        <v>372.97</v>
      </c>
      <c r="EN79" s="228">
        <v>106.86</v>
      </c>
      <c r="EO79" s="231">
        <v>1051.6600000000001</v>
      </c>
      <c r="EP79" s="231">
        <v>2960.11</v>
      </c>
      <c r="EQ79" s="231">
        <v>-1908.45</v>
      </c>
      <c r="ER79" s="229">
        <v>-0.64470000000000005</v>
      </c>
      <c r="ES79" s="228">
        <v>141.31</v>
      </c>
      <c r="ET79" s="228">
        <v>84.61</v>
      </c>
      <c r="EU79" s="231">
        <v>1841.7</v>
      </c>
      <c r="EV79" s="231">
        <v>30592324</v>
      </c>
      <c r="EW79" s="231">
        <v>2067.63</v>
      </c>
      <c r="EX79" s="231">
        <v>2761.87</v>
      </c>
      <c r="EY79" s="228">
        <v>-694.24</v>
      </c>
      <c r="EZ79" s="229">
        <v>-0.25140000000000001</v>
      </c>
      <c r="FA79" s="229">
        <v>0.245</v>
      </c>
      <c r="FB79" s="227" t="s">
        <v>567</v>
      </c>
      <c r="FC79">
        <f t="shared" si="1"/>
        <v>1655</v>
      </c>
    </row>
    <row r="80" spans="1:159" ht="17.25" thickBot="1" x14ac:dyDescent="0.3">
      <c r="A80" s="226">
        <v>46168</v>
      </c>
      <c r="B80" s="227" t="s">
        <v>172</v>
      </c>
      <c r="C80" s="227" t="s">
        <v>224</v>
      </c>
      <c r="D80" s="228">
        <v>550</v>
      </c>
      <c r="E80" s="228">
        <v>0</v>
      </c>
      <c r="F80" s="228">
        <v>771.85</v>
      </c>
      <c r="G80" s="228">
        <v>779.45</v>
      </c>
      <c r="H80" s="228">
        <v>-7.6</v>
      </c>
      <c r="I80" s="229">
        <v>-9.7999999999999997E-3</v>
      </c>
      <c r="J80" s="228">
        <v>778.9</v>
      </c>
      <c r="K80" s="228">
        <v>786.85</v>
      </c>
      <c r="L80" s="228">
        <v>-7.95</v>
      </c>
      <c r="M80" s="229">
        <v>-1.01E-2</v>
      </c>
      <c r="N80" s="228">
        <v>780</v>
      </c>
      <c r="O80" s="228">
        <v>787.55</v>
      </c>
      <c r="P80" s="228">
        <v>-7.55</v>
      </c>
      <c r="Q80" s="229">
        <v>-9.5999999999999992E-3</v>
      </c>
      <c r="R80" s="228">
        <v>771.85</v>
      </c>
      <c r="S80" s="228">
        <v>779.45</v>
      </c>
      <c r="T80" s="228">
        <v>-7.6</v>
      </c>
      <c r="U80" s="229">
        <v>-9.7999999999999997E-3</v>
      </c>
      <c r="V80" s="228">
        <v>776.5</v>
      </c>
      <c r="W80" s="228">
        <v>784.45</v>
      </c>
      <c r="X80" s="228">
        <v>-7.95</v>
      </c>
      <c r="Y80" s="229">
        <v>-1.01E-2</v>
      </c>
      <c r="Z80" s="228">
        <v>-7.05</v>
      </c>
      <c r="AA80" s="228">
        <v>0.7</v>
      </c>
      <c r="AB80" s="228">
        <v>-7.75</v>
      </c>
      <c r="AC80" s="229">
        <v>-9.1000000000000004E-3</v>
      </c>
      <c r="AD80" s="228">
        <v>1.1000000000000001</v>
      </c>
      <c r="AE80" s="228">
        <v>0.7</v>
      </c>
      <c r="AF80" s="228">
        <v>0.4</v>
      </c>
      <c r="AG80" s="229">
        <v>1.4E-3</v>
      </c>
      <c r="AH80" s="228">
        <v>-7.05</v>
      </c>
      <c r="AI80" s="228">
        <v>-7.4</v>
      </c>
      <c r="AJ80" s="228">
        <v>0.35</v>
      </c>
      <c r="AK80" s="229">
        <v>-9.1000000000000004E-3</v>
      </c>
      <c r="AL80" s="228">
        <v>-2.4</v>
      </c>
      <c r="AM80" s="228">
        <v>-2.4</v>
      </c>
      <c r="AN80" s="228">
        <v>0</v>
      </c>
      <c r="AO80" s="229">
        <v>-3.0999999999999999E-3</v>
      </c>
      <c r="AP80" s="228">
        <v>784.91</v>
      </c>
      <c r="AQ80" s="228">
        <v>776.77</v>
      </c>
      <c r="AR80" s="228">
        <v>0</v>
      </c>
      <c r="AS80" s="230">
        <v>4184</v>
      </c>
      <c r="AT80" s="230">
        <v>8770</v>
      </c>
      <c r="AU80" s="230">
        <v>-4586</v>
      </c>
      <c r="AV80" s="229">
        <v>-0.52290000000000003</v>
      </c>
      <c r="AW80" s="230">
        <v>1564</v>
      </c>
      <c r="AX80" s="230">
        <v>4167</v>
      </c>
      <c r="AY80" s="230">
        <v>-2603</v>
      </c>
      <c r="AZ80" s="229">
        <v>-0.62460000000000004</v>
      </c>
      <c r="BA80" s="230">
        <v>2530</v>
      </c>
      <c r="BB80" s="230">
        <v>4492</v>
      </c>
      <c r="BC80" s="230">
        <v>-1961</v>
      </c>
      <c r="BD80" s="229">
        <v>-0.43669999999999998</v>
      </c>
      <c r="BE80" s="228">
        <v>90</v>
      </c>
      <c r="BF80" s="228">
        <v>111</v>
      </c>
      <c r="BG80" s="228">
        <v>-21</v>
      </c>
      <c r="BH80" s="229">
        <v>-0.19289999999999999</v>
      </c>
      <c r="BI80" s="230">
        <v>6523</v>
      </c>
      <c r="BJ80" s="230">
        <v>10872</v>
      </c>
      <c r="BK80" s="230">
        <v>-4349</v>
      </c>
      <c r="BL80" s="229">
        <v>-0.4</v>
      </c>
      <c r="BM80" s="230">
        <v>3599</v>
      </c>
      <c r="BN80" s="230">
        <v>6067</v>
      </c>
      <c r="BO80" s="230">
        <v>-2469</v>
      </c>
      <c r="BP80" s="229">
        <v>-0.40689999999999998</v>
      </c>
      <c r="BQ80" s="230">
        <v>14307</v>
      </c>
      <c r="BR80" s="230">
        <v>25710</v>
      </c>
      <c r="BS80" s="230">
        <v>-11403</v>
      </c>
      <c r="BT80" s="229">
        <v>-0.44350000000000001</v>
      </c>
      <c r="BU80" s="230">
        <v>32460126</v>
      </c>
      <c r="BV80" s="230">
        <v>27008144</v>
      </c>
      <c r="BW80" s="230">
        <v>5451982</v>
      </c>
      <c r="BX80" s="229">
        <v>0.2019</v>
      </c>
      <c r="BY80" s="230">
        <v>27280</v>
      </c>
      <c r="BZ80" s="230">
        <v>28169</v>
      </c>
      <c r="CA80" s="228">
        <v>-890</v>
      </c>
      <c r="CB80" s="229">
        <v>-3.1600000000000003E-2</v>
      </c>
      <c r="CC80" s="228">
        <v>522</v>
      </c>
      <c r="CD80" s="230">
        <v>1742</v>
      </c>
      <c r="CE80" s="230">
        <v>-1220</v>
      </c>
      <c r="CF80" s="229">
        <v>-0.70030000000000003</v>
      </c>
      <c r="CG80" s="230">
        <v>24764</v>
      </c>
      <c r="CH80" s="230">
        <v>23971</v>
      </c>
      <c r="CI80" s="228">
        <v>793</v>
      </c>
      <c r="CJ80" s="229">
        <v>3.3099999999999997E-2</v>
      </c>
      <c r="CK80" s="230">
        <v>2516</v>
      </c>
      <c r="CL80" s="230">
        <v>2457</v>
      </c>
      <c r="CM80" s="228">
        <v>59</v>
      </c>
      <c r="CN80" s="229">
        <v>2.4199999999999999E-2</v>
      </c>
      <c r="CO80" s="230">
        <v>3540</v>
      </c>
      <c r="CP80" s="230">
        <v>5797</v>
      </c>
      <c r="CQ80" s="230">
        <v>-2257</v>
      </c>
      <c r="CR80" s="229">
        <v>-0.38929999999999998</v>
      </c>
      <c r="CS80" s="230">
        <v>2206</v>
      </c>
      <c r="CT80" s="230">
        <v>3864</v>
      </c>
      <c r="CU80" s="230">
        <v>-1657</v>
      </c>
      <c r="CV80" s="229">
        <v>-0.42899999999999999</v>
      </c>
      <c r="CW80" s="230">
        <v>33026</v>
      </c>
      <c r="CX80" s="230">
        <v>37830</v>
      </c>
      <c r="CY80" s="230">
        <v>-4804</v>
      </c>
      <c r="CZ80" s="229">
        <v>-0.127</v>
      </c>
      <c r="DA80" s="228">
        <v>22.03</v>
      </c>
      <c r="DB80" s="228">
        <v>23.59</v>
      </c>
      <c r="DC80" s="228">
        <v>-1.56</v>
      </c>
      <c r="DD80" s="228">
        <v>-1.56</v>
      </c>
      <c r="DE80" s="228">
        <v>25.58</v>
      </c>
      <c r="DF80" s="228">
        <v>25.6</v>
      </c>
      <c r="DG80" s="228">
        <v>-3.55</v>
      </c>
      <c r="DH80" s="228">
        <v>-0.02</v>
      </c>
      <c r="DI80" s="228">
        <v>22.08</v>
      </c>
      <c r="DJ80" s="228">
        <v>23.88</v>
      </c>
      <c r="DK80" s="228">
        <v>-1.8</v>
      </c>
      <c r="DL80" s="228">
        <v>-1.8</v>
      </c>
      <c r="DM80" s="228">
        <v>21.94</v>
      </c>
      <c r="DN80" s="228">
        <v>23.1</v>
      </c>
      <c r="DO80" s="228">
        <v>-1.1599999999999999</v>
      </c>
      <c r="DP80" s="228">
        <v>-1.1599999999999999</v>
      </c>
      <c r="DQ80" s="228">
        <v>0.62</v>
      </c>
      <c r="DR80" s="228">
        <v>0.67</v>
      </c>
      <c r="DS80" s="228">
        <v>-0.05</v>
      </c>
      <c r="DT80" s="229">
        <v>-7.46E-2</v>
      </c>
      <c r="DU80" s="228">
        <v>800</v>
      </c>
      <c r="DV80" s="228">
        <v>760</v>
      </c>
      <c r="DW80" s="228">
        <v>0.55000000000000004</v>
      </c>
      <c r="DX80" s="228">
        <v>0.56000000000000005</v>
      </c>
      <c r="DY80" s="228">
        <v>-0.01</v>
      </c>
      <c r="DZ80" s="229">
        <v>-1.7899999999999999E-2</v>
      </c>
      <c r="EA80" s="229">
        <v>0.98119999999999996</v>
      </c>
      <c r="EB80" s="230">
        <v>342394950</v>
      </c>
      <c r="EC80" s="229">
        <v>-1.04E-2</v>
      </c>
      <c r="ED80" s="229">
        <v>0.98119999999999996</v>
      </c>
      <c r="EE80" s="228">
        <v>-8.14</v>
      </c>
      <c r="EF80" s="229">
        <v>-1.04E-2</v>
      </c>
      <c r="EG80" s="230">
        <v>13439280</v>
      </c>
      <c r="EH80" s="230">
        <v>17754293</v>
      </c>
      <c r="EI80" s="229">
        <v>-0.24299999999999999</v>
      </c>
      <c r="EJ80" s="229">
        <v>0.41399999999999998</v>
      </c>
      <c r="EK80" s="231">
        <v>6870.24</v>
      </c>
      <c r="EL80" s="231">
        <v>3666.58</v>
      </c>
      <c r="EM80" s="231">
        <v>4244.6099999999997</v>
      </c>
      <c r="EN80" s="231">
        <v>1965.82</v>
      </c>
      <c r="EO80" s="231">
        <v>14781.44</v>
      </c>
      <c r="EP80" s="231">
        <v>26326.49</v>
      </c>
      <c r="EQ80" s="231">
        <v>-11545.06</v>
      </c>
      <c r="ER80" s="229">
        <v>-0.4385</v>
      </c>
      <c r="ES80" s="231">
        <v>3689.5</v>
      </c>
      <c r="ET80" s="231">
        <v>2207.2600000000002</v>
      </c>
      <c r="EU80" s="231">
        <v>27294.97</v>
      </c>
      <c r="EV80" s="231">
        <v>1496665645</v>
      </c>
      <c r="EW80" s="231">
        <v>33191.730000000003</v>
      </c>
      <c r="EX80" s="231">
        <v>38420.44</v>
      </c>
      <c r="EY80" s="231">
        <v>-5228.71</v>
      </c>
      <c r="EZ80" s="229">
        <v>-0.1361</v>
      </c>
      <c r="FA80" s="229">
        <v>0.28589999999999999</v>
      </c>
      <c r="FB80" s="227" t="s">
        <v>567</v>
      </c>
      <c r="FC80">
        <f t="shared" si="1"/>
        <v>26758</v>
      </c>
    </row>
    <row r="81" spans="1:159" ht="17.25" thickBot="1" x14ac:dyDescent="0.3">
      <c r="A81" s="226">
        <v>46168</v>
      </c>
      <c r="B81" s="227" t="s">
        <v>175</v>
      </c>
      <c r="C81" s="227" t="s">
        <v>225</v>
      </c>
      <c r="D81" s="228">
        <v>1100</v>
      </c>
      <c r="E81" s="228">
        <v>0</v>
      </c>
      <c r="F81" s="228">
        <v>620.25</v>
      </c>
      <c r="G81" s="228">
        <v>621.54999999999995</v>
      </c>
      <c r="H81" s="228">
        <v>-1.3</v>
      </c>
      <c r="I81" s="229">
        <v>-2.0999999999999999E-3</v>
      </c>
      <c r="J81" s="228">
        <v>618.85</v>
      </c>
      <c r="K81" s="228">
        <v>620</v>
      </c>
      <c r="L81" s="228">
        <v>-1.1499999999999999</v>
      </c>
      <c r="M81" s="229">
        <v>-1.9E-3</v>
      </c>
      <c r="N81" s="228">
        <v>616.9</v>
      </c>
      <c r="O81" s="228">
        <v>619.25</v>
      </c>
      <c r="P81" s="228">
        <v>-2.35</v>
      </c>
      <c r="Q81" s="229">
        <v>-3.8E-3</v>
      </c>
      <c r="R81" s="228">
        <v>620.25</v>
      </c>
      <c r="S81" s="228">
        <v>621.54999999999995</v>
      </c>
      <c r="T81" s="228">
        <v>-1.3</v>
      </c>
      <c r="U81" s="229">
        <v>-2.0999999999999999E-3</v>
      </c>
      <c r="V81" s="228">
        <v>624.4</v>
      </c>
      <c r="W81" s="228">
        <v>625.15</v>
      </c>
      <c r="X81" s="228">
        <v>-0.75</v>
      </c>
      <c r="Y81" s="229">
        <v>-1.1999999999999999E-3</v>
      </c>
      <c r="Z81" s="228">
        <v>1.4</v>
      </c>
      <c r="AA81" s="228">
        <v>-0.75</v>
      </c>
      <c r="AB81" s="228">
        <v>2.15</v>
      </c>
      <c r="AC81" s="229">
        <v>2.3E-3</v>
      </c>
      <c r="AD81" s="228">
        <v>-1.95</v>
      </c>
      <c r="AE81" s="228">
        <v>-0.75</v>
      </c>
      <c r="AF81" s="228">
        <v>-1.2</v>
      </c>
      <c r="AG81" s="229">
        <v>-3.2000000000000002E-3</v>
      </c>
      <c r="AH81" s="228">
        <v>1.4</v>
      </c>
      <c r="AI81" s="228">
        <v>1.55</v>
      </c>
      <c r="AJ81" s="228">
        <v>-0.15</v>
      </c>
      <c r="AK81" s="229">
        <v>2.3E-3</v>
      </c>
      <c r="AL81" s="228">
        <v>5.55</v>
      </c>
      <c r="AM81" s="228">
        <v>5.15</v>
      </c>
      <c r="AN81" s="228">
        <v>0.4</v>
      </c>
      <c r="AO81" s="229">
        <v>8.9999999999999993E-3</v>
      </c>
      <c r="AP81" s="228">
        <v>619.41999999999996</v>
      </c>
      <c r="AQ81" s="228">
        <v>621.91999999999996</v>
      </c>
      <c r="AR81" s="228">
        <v>0</v>
      </c>
      <c r="AS81" s="228">
        <v>724</v>
      </c>
      <c r="AT81" s="230">
        <v>1358</v>
      </c>
      <c r="AU81" s="228">
        <v>-633</v>
      </c>
      <c r="AV81" s="229">
        <v>-0.46660000000000001</v>
      </c>
      <c r="AW81" s="228">
        <v>341</v>
      </c>
      <c r="AX81" s="228">
        <v>673</v>
      </c>
      <c r="AY81" s="228">
        <v>-332</v>
      </c>
      <c r="AZ81" s="229">
        <v>-0.49380000000000002</v>
      </c>
      <c r="BA81" s="228">
        <v>379</v>
      </c>
      <c r="BB81" s="228">
        <v>664</v>
      </c>
      <c r="BC81" s="228">
        <v>-285</v>
      </c>
      <c r="BD81" s="229">
        <v>-0.42930000000000001</v>
      </c>
      <c r="BE81" s="228">
        <v>5</v>
      </c>
      <c r="BF81" s="228">
        <v>21</v>
      </c>
      <c r="BG81" s="228">
        <v>-16</v>
      </c>
      <c r="BH81" s="229">
        <v>-0.77890000000000004</v>
      </c>
      <c r="BI81" s="228">
        <v>743</v>
      </c>
      <c r="BJ81" s="228">
        <v>961</v>
      </c>
      <c r="BK81" s="228">
        <v>-217</v>
      </c>
      <c r="BL81" s="229">
        <v>-0.2261</v>
      </c>
      <c r="BM81" s="228">
        <v>382</v>
      </c>
      <c r="BN81" s="228">
        <v>570</v>
      </c>
      <c r="BO81" s="228">
        <v>-187</v>
      </c>
      <c r="BP81" s="229">
        <v>-0.32900000000000001</v>
      </c>
      <c r="BQ81" s="230">
        <v>1850</v>
      </c>
      <c r="BR81" s="230">
        <v>2888</v>
      </c>
      <c r="BS81" s="230">
        <v>-1038</v>
      </c>
      <c r="BT81" s="229">
        <v>-0.35949999999999999</v>
      </c>
      <c r="BU81" s="230">
        <v>2279987</v>
      </c>
      <c r="BV81" s="230">
        <v>1764233</v>
      </c>
      <c r="BW81" s="230">
        <v>515754</v>
      </c>
      <c r="BX81" s="229">
        <v>0.2923</v>
      </c>
      <c r="BY81" s="230">
        <v>3247</v>
      </c>
      <c r="BZ81" s="230">
        <v>3565</v>
      </c>
      <c r="CA81" s="228">
        <v>-318</v>
      </c>
      <c r="CB81" s="229">
        <v>-8.9099999999999999E-2</v>
      </c>
      <c r="CC81" s="228">
        <v>285</v>
      </c>
      <c r="CD81" s="228">
        <v>487</v>
      </c>
      <c r="CE81" s="228">
        <v>-202</v>
      </c>
      <c r="CF81" s="229">
        <v>-0.41570000000000001</v>
      </c>
      <c r="CG81" s="230">
        <v>3057</v>
      </c>
      <c r="CH81" s="230">
        <v>2889</v>
      </c>
      <c r="CI81" s="228">
        <v>168</v>
      </c>
      <c r="CJ81" s="229">
        <v>5.8200000000000002E-2</v>
      </c>
      <c r="CK81" s="228">
        <v>190</v>
      </c>
      <c r="CL81" s="228">
        <v>189</v>
      </c>
      <c r="CM81" s="228">
        <v>1</v>
      </c>
      <c r="CN81" s="229">
        <v>6.1000000000000004E-3</v>
      </c>
      <c r="CO81" s="228">
        <v>400</v>
      </c>
      <c r="CP81" s="230">
        <v>1301</v>
      </c>
      <c r="CQ81" s="228">
        <v>-902</v>
      </c>
      <c r="CR81" s="229">
        <v>-0.69299999999999995</v>
      </c>
      <c r="CS81" s="228">
        <v>299</v>
      </c>
      <c r="CT81" s="228">
        <v>917</v>
      </c>
      <c r="CU81" s="228">
        <v>-619</v>
      </c>
      <c r="CV81" s="229">
        <v>-0.67449999999999999</v>
      </c>
      <c r="CW81" s="230">
        <v>3945</v>
      </c>
      <c r="CX81" s="230">
        <v>5783</v>
      </c>
      <c r="CY81" s="230">
        <v>-1838</v>
      </c>
      <c r="CZ81" s="229">
        <v>-0.31790000000000002</v>
      </c>
      <c r="DA81" s="228">
        <v>22.19</v>
      </c>
      <c r="DB81" s="228">
        <v>22.49</v>
      </c>
      <c r="DC81" s="228">
        <v>-0.3</v>
      </c>
      <c r="DD81" s="228">
        <v>-0.3</v>
      </c>
      <c r="DE81" s="228">
        <v>27.59</v>
      </c>
      <c r="DF81" s="228">
        <v>27.66</v>
      </c>
      <c r="DG81" s="228">
        <v>-5.4</v>
      </c>
      <c r="DH81" s="228">
        <v>-7.0000000000000007E-2</v>
      </c>
      <c r="DI81" s="228">
        <v>21.52</v>
      </c>
      <c r="DJ81" s="228">
        <v>22.11</v>
      </c>
      <c r="DK81" s="228">
        <v>-0.59</v>
      </c>
      <c r="DL81" s="228">
        <v>-0.59</v>
      </c>
      <c r="DM81" s="228">
        <v>23.42</v>
      </c>
      <c r="DN81" s="228">
        <v>23.2</v>
      </c>
      <c r="DO81" s="228">
        <v>0.22</v>
      </c>
      <c r="DP81" s="228">
        <v>0.22</v>
      </c>
      <c r="DQ81" s="228">
        <v>0.75</v>
      </c>
      <c r="DR81" s="228">
        <v>0.7</v>
      </c>
      <c r="DS81" s="228">
        <v>0.05</v>
      </c>
      <c r="DT81" s="229">
        <v>7.1400000000000005E-2</v>
      </c>
      <c r="DU81" s="228">
        <v>600</v>
      </c>
      <c r="DV81" s="228">
        <v>585</v>
      </c>
      <c r="DW81" s="228">
        <v>0.51</v>
      </c>
      <c r="DX81" s="228">
        <v>0.59</v>
      </c>
      <c r="DY81" s="228">
        <v>-0.08</v>
      </c>
      <c r="DZ81" s="229">
        <v>-0.1356</v>
      </c>
      <c r="EA81" s="229">
        <v>0.9194</v>
      </c>
      <c r="EB81" s="230">
        <v>49619900</v>
      </c>
      <c r="EC81" s="229">
        <v>5.4000000000000003E-3</v>
      </c>
      <c r="ED81" s="229">
        <v>0.9194</v>
      </c>
      <c r="EE81" s="228">
        <v>2.5</v>
      </c>
      <c r="EF81" s="229">
        <v>4.0000000000000001E-3</v>
      </c>
      <c r="EG81" s="230">
        <v>1223257</v>
      </c>
      <c r="EH81" s="230">
        <v>1072030</v>
      </c>
      <c r="EI81" s="229">
        <v>0.1411</v>
      </c>
      <c r="EJ81" s="229">
        <v>0.53649999999999998</v>
      </c>
      <c r="EK81" s="228">
        <v>763.86</v>
      </c>
      <c r="EL81" s="228">
        <v>380.72</v>
      </c>
      <c r="EM81" s="228">
        <v>724.77</v>
      </c>
      <c r="EN81" s="228">
        <v>193.85</v>
      </c>
      <c r="EO81" s="231">
        <v>1869.35</v>
      </c>
      <c r="EP81" s="231">
        <v>2905.39</v>
      </c>
      <c r="EQ81" s="231">
        <v>-1036.04</v>
      </c>
      <c r="ER81" s="229">
        <v>-0.35659999999999997</v>
      </c>
      <c r="ES81" s="228">
        <v>414.94</v>
      </c>
      <c r="ET81" s="228">
        <v>289.31</v>
      </c>
      <c r="EU81" s="231">
        <v>3248.29</v>
      </c>
      <c r="EV81" s="231">
        <v>156090005</v>
      </c>
      <c r="EW81" s="231">
        <v>3952.54</v>
      </c>
      <c r="EX81" s="231">
        <v>5763.18</v>
      </c>
      <c r="EY81" s="231">
        <v>-1810.64</v>
      </c>
      <c r="EZ81" s="229">
        <v>-0.31419999999999998</v>
      </c>
      <c r="FA81" s="229">
        <v>0.40749999999999997</v>
      </c>
      <c r="FB81" s="227" t="s">
        <v>567</v>
      </c>
      <c r="FC81">
        <f t="shared" si="1"/>
        <v>2962</v>
      </c>
    </row>
    <row r="82" spans="1:159" ht="17.25" thickBot="1" x14ac:dyDescent="0.3">
      <c r="A82" s="226">
        <v>46168</v>
      </c>
      <c r="B82" s="227" t="s">
        <v>162</v>
      </c>
      <c r="C82" s="227" t="s">
        <v>226</v>
      </c>
      <c r="D82" s="228">
        <v>150</v>
      </c>
      <c r="E82" s="228">
        <v>0</v>
      </c>
      <c r="F82" s="231">
        <v>5014</v>
      </c>
      <c r="G82" s="231">
        <v>5018</v>
      </c>
      <c r="H82" s="228">
        <v>-4</v>
      </c>
      <c r="I82" s="229">
        <v>-8.0000000000000004E-4</v>
      </c>
      <c r="J82" s="231">
        <v>4983</v>
      </c>
      <c r="K82" s="231">
        <v>4979</v>
      </c>
      <c r="L82" s="228">
        <v>4</v>
      </c>
      <c r="M82" s="229">
        <v>8.0000000000000004E-4</v>
      </c>
      <c r="N82" s="231">
        <v>4975.5</v>
      </c>
      <c r="O82" s="231">
        <v>4987.5</v>
      </c>
      <c r="P82" s="228">
        <v>-12</v>
      </c>
      <c r="Q82" s="229">
        <v>-2.3999999999999998E-3</v>
      </c>
      <c r="R82" s="231">
        <v>5014</v>
      </c>
      <c r="S82" s="231">
        <v>5018</v>
      </c>
      <c r="T82" s="228">
        <v>-4</v>
      </c>
      <c r="U82" s="229">
        <v>-8.0000000000000004E-4</v>
      </c>
      <c r="V82" s="231">
        <v>4974.5</v>
      </c>
      <c r="W82" s="231">
        <v>4972.5</v>
      </c>
      <c r="X82" s="228">
        <v>2</v>
      </c>
      <c r="Y82" s="229">
        <v>4.0000000000000002E-4</v>
      </c>
      <c r="Z82" s="228">
        <v>31</v>
      </c>
      <c r="AA82" s="228">
        <v>8.5</v>
      </c>
      <c r="AB82" s="228">
        <v>22.5</v>
      </c>
      <c r="AC82" s="229">
        <v>6.1999999999999998E-3</v>
      </c>
      <c r="AD82" s="228">
        <v>-7.5</v>
      </c>
      <c r="AE82" s="228">
        <v>8.5</v>
      </c>
      <c r="AF82" s="228">
        <v>-16</v>
      </c>
      <c r="AG82" s="229">
        <v>-1.5E-3</v>
      </c>
      <c r="AH82" s="228">
        <v>31</v>
      </c>
      <c r="AI82" s="228">
        <v>39</v>
      </c>
      <c r="AJ82" s="228">
        <v>-8</v>
      </c>
      <c r="AK82" s="229">
        <v>6.1999999999999998E-3</v>
      </c>
      <c r="AL82" s="228">
        <v>-8.5</v>
      </c>
      <c r="AM82" s="228">
        <v>-6.5</v>
      </c>
      <c r="AN82" s="228">
        <v>-2</v>
      </c>
      <c r="AO82" s="229">
        <v>-1.6999999999999999E-3</v>
      </c>
      <c r="AP82" s="231">
        <v>4986.63</v>
      </c>
      <c r="AQ82" s="231">
        <v>5020.78</v>
      </c>
      <c r="AR82" s="228">
        <v>0</v>
      </c>
      <c r="AS82" s="228">
        <v>807</v>
      </c>
      <c r="AT82" s="230">
        <v>1277</v>
      </c>
      <c r="AU82" s="228">
        <v>-469</v>
      </c>
      <c r="AV82" s="229">
        <v>-0.36759999999999998</v>
      </c>
      <c r="AW82" s="228">
        <v>358</v>
      </c>
      <c r="AX82" s="228">
        <v>524</v>
      </c>
      <c r="AY82" s="228">
        <v>-166</v>
      </c>
      <c r="AZ82" s="229">
        <v>-0.31609999999999999</v>
      </c>
      <c r="BA82" s="228">
        <v>428</v>
      </c>
      <c r="BB82" s="228">
        <v>719</v>
      </c>
      <c r="BC82" s="228">
        <v>-291</v>
      </c>
      <c r="BD82" s="229">
        <v>-0.40460000000000002</v>
      </c>
      <c r="BE82" s="228">
        <v>22</v>
      </c>
      <c r="BF82" s="228">
        <v>35</v>
      </c>
      <c r="BG82" s="228">
        <v>-13</v>
      </c>
      <c r="BH82" s="229">
        <v>-0.37690000000000001</v>
      </c>
      <c r="BI82" s="230">
        <v>1874</v>
      </c>
      <c r="BJ82" s="230">
        <v>2571</v>
      </c>
      <c r="BK82" s="228">
        <v>-698</v>
      </c>
      <c r="BL82" s="229">
        <v>-0.27139999999999997</v>
      </c>
      <c r="BM82" s="228">
        <v>605</v>
      </c>
      <c r="BN82" s="228">
        <v>856</v>
      </c>
      <c r="BO82" s="228">
        <v>-252</v>
      </c>
      <c r="BP82" s="229">
        <v>-0.29370000000000002</v>
      </c>
      <c r="BQ82" s="230">
        <v>3286</v>
      </c>
      <c r="BR82" s="230">
        <v>4704</v>
      </c>
      <c r="BS82" s="230">
        <v>-1419</v>
      </c>
      <c r="BT82" s="229">
        <v>-0.30149999999999999</v>
      </c>
      <c r="BU82" s="230">
        <v>432793</v>
      </c>
      <c r="BV82" s="230">
        <v>474701</v>
      </c>
      <c r="BW82" s="230">
        <v>-41908</v>
      </c>
      <c r="BX82" s="229">
        <v>-8.8300000000000003E-2</v>
      </c>
      <c r="BY82" s="230">
        <v>2014</v>
      </c>
      <c r="BZ82" s="230">
        <v>2213</v>
      </c>
      <c r="CA82" s="228">
        <v>-200</v>
      </c>
      <c r="CB82" s="229">
        <v>-9.0200000000000002E-2</v>
      </c>
      <c r="CC82" s="228">
        <v>226</v>
      </c>
      <c r="CD82" s="228">
        <v>456</v>
      </c>
      <c r="CE82" s="228">
        <v>-230</v>
      </c>
      <c r="CF82" s="229">
        <v>-0.50480000000000003</v>
      </c>
      <c r="CG82" s="230">
        <v>1917</v>
      </c>
      <c r="CH82" s="230">
        <v>1672</v>
      </c>
      <c r="CI82" s="228">
        <v>245</v>
      </c>
      <c r="CJ82" s="229">
        <v>0.1464</v>
      </c>
      <c r="CK82" s="228">
        <v>97</v>
      </c>
      <c r="CL82" s="228">
        <v>85</v>
      </c>
      <c r="CM82" s="228">
        <v>12</v>
      </c>
      <c r="CN82" s="229">
        <v>0.14230000000000001</v>
      </c>
      <c r="CO82" s="228">
        <v>582</v>
      </c>
      <c r="CP82" s="230">
        <v>1489</v>
      </c>
      <c r="CQ82" s="228">
        <v>-906</v>
      </c>
      <c r="CR82" s="229">
        <v>-0.60880000000000001</v>
      </c>
      <c r="CS82" s="228">
        <v>316</v>
      </c>
      <c r="CT82" s="228">
        <v>879</v>
      </c>
      <c r="CU82" s="228">
        <v>-563</v>
      </c>
      <c r="CV82" s="229">
        <v>-0.64059999999999995</v>
      </c>
      <c r="CW82" s="230">
        <v>2912</v>
      </c>
      <c r="CX82" s="230">
        <v>4581</v>
      </c>
      <c r="CY82" s="230">
        <v>-1669</v>
      </c>
      <c r="CZ82" s="229">
        <v>-0.36430000000000001</v>
      </c>
      <c r="DA82" s="228">
        <v>27.93</v>
      </c>
      <c r="DB82" s="228">
        <v>28.55</v>
      </c>
      <c r="DC82" s="228">
        <v>-0.62</v>
      </c>
      <c r="DD82" s="228">
        <v>-0.62</v>
      </c>
      <c r="DE82" s="228">
        <v>32.94</v>
      </c>
      <c r="DF82" s="228">
        <v>33.03</v>
      </c>
      <c r="DG82" s="228">
        <v>-5.01</v>
      </c>
      <c r="DH82" s="228">
        <v>-0.09</v>
      </c>
      <c r="DI82" s="228">
        <v>28.14</v>
      </c>
      <c r="DJ82" s="228">
        <v>28.73</v>
      </c>
      <c r="DK82" s="228">
        <v>-0.59</v>
      </c>
      <c r="DL82" s="228">
        <v>-0.59</v>
      </c>
      <c r="DM82" s="228">
        <v>27.29</v>
      </c>
      <c r="DN82" s="228">
        <v>28.05</v>
      </c>
      <c r="DO82" s="228">
        <v>-0.76</v>
      </c>
      <c r="DP82" s="228">
        <v>-0.76</v>
      </c>
      <c r="DQ82" s="228">
        <v>0.54</v>
      </c>
      <c r="DR82" s="228">
        <v>0.59</v>
      </c>
      <c r="DS82" s="228">
        <v>-0.05</v>
      </c>
      <c r="DT82" s="229">
        <v>-8.4699999999999998E-2</v>
      </c>
      <c r="DU82" s="231">
        <v>5000</v>
      </c>
      <c r="DV82" s="231">
        <v>5000</v>
      </c>
      <c r="DW82" s="228">
        <v>0.32</v>
      </c>
      <c r="DX82" s="228">
        <v>0.33</v>
      </c>
      <c r="DY82" s="228">
        <v>-0.01</v>
      </c>
      <c r="DZ82" s="229">
        <v>-3.0300000000000001E-2</v>
      </c>
      <c r="EA82" s="229">
        <v>0.89910000000000001</v>
      </c>
      <c r="EB82" s="230">
        <v>3504000</v>
      </c>
      <c r="EC82" s="229">
        <v>7.7000000000000002E-3</v>
      </c>
      <c r="ED82" s="229">
        <v>0.89910000000000001</v>
      </c>
      <c r="EE82" s="228">
        <v>34.15</v>
      </c>
      <c r="EF82" s="229">
        <v>6.7999999999999996E-3</v>
      </c>
      <c r="EG82" s="230">
        <v>223685</v>
      </c>
      <c r="EH82" s="230">
        <v>227314</v>
      </c>
      <c r="EI82" s="229">
        <v>-1.6E-2</v>
      </c>
      <c r="EJ82" s="229">
        <v>0.51680000000000004</v>
      </c>
      <c r="EK82" s="231">
        <v>1965.85</v>
      </c>
      <c r="EL82" s="228">
        <v>612.62</v>
      </c>
      <c r="EM82" s="228">
        <v>805.96</v>
      </c>
      <c r="EN82" s="228">
        <v>126.39</v>
      </c>
      <c r="EO82" s="231">
        <v>3384.43</v>
      </c>
      <c r="EP82" s="231">
        <v>4810.2700000000004</v>
      </c>
      <c r="EQ82" s="231">
        <v>-1425.85</v>
      </c>
      <c r="ER82" s="229">
        <v>-0.2964</v>
      </c>
      <c r="ES82" s="228">
        <v>614.51</v>
      </c>
      <c r="ET82" s="228">
        <v>311.63</v>
      </c>
      <c r="EU82" s="231">
        <v>2012.99</v>
      </c>
      <c r="EV82" s="231">
        <v>19589014</v>
      </c>
      <c r="EW82" s="231">
        <v>2939.13</v>
      </c>
      <c r="EX82" s="231">
        <v>4661.8599999999997</v>
      </c>
      <c r="EY82" s="231">
        <v>-1722.73</v>
      </c>
      <c r="EZ82" s="229">
        <v>-0.3695</v>
      </c>
      <c r="FA82" s="229">
        <v>0.29649999999999999</v>
      </c>
      <c r="FB82" s="227" t="s">
        <v>567</v>
      </c>
      <c r="FC82">
        <f t="shared" si="1"/>
        <v>1788</v>
      </c>
    </row>
    <row r="83" spans="1:159" ht="17.25" thickBot="1" x14ac:dyDescent="0.3">
      <c r="A83" s="226">
        <v>46168</v>
      </c>
      <c r="B83" s="227" t="s">
        <v>227</v>
      </c>
      <c r="C83" s="227" t="s">
        <v>228</v>
      </c>
      <c r="D83" s="228">
        <v>700</v>
      </c>
      <c r="E83" s="228">
        <v>0</v>
      </c>
      <c r="F83" s="231">
        <v>1114</v>
      </c>
      <c r="G83" s="231">
        <v>1105.4000000000001</v>
      </c>
      <c r="H83" s="228">
        <v>8.6</v>
      </c>
      <c r="I83" s="229">
        <v>7.7999999999999996E-3</v>
      </c>
      <c r="J83" s="231">
        <v>1103.8</v>
      </c>
      <c r="K83" s="231">
        <v>1099.5999999999999</v>
      </c>
      <c r="L83" s="228">
        <v>4.2</v>
      </c>
      <c r="M83" s="229">
        <v>3.8E-3</v>
      </c>
      <c r="N83" s="231">
        <v>1106.4000000000001</v>
      </c>
      <c r="O83" s="231">
        <v>1099.5999999999999</v>
      </c>
      <c r="P83" s="228">
        <v>6.8</v>
      </c>
      <c r="Q83" s="229">
        <v>6.1999999999999998E-3</v>
      </c>
      <c r="R83" s="231">
        <v>1114</v>
      </c>
      <c r="S83" s="231">
        <v>1105.4000000000001</v>
      </c>
      <c r="T83" s="228">
        <v>8.6</v>
      </c>
      <c r="U83" s="229">
        <v>7.7999999999999996E-3</v>
      </c>
      <c r="V83" s="231">
        <v>1114.3</v>
      </c>
      <c r="W83" s="231">
        <v>1106.0999999999999</v>
      </c>
      <c r="X83" s="228">
        <v>8.1999999999999993</v>
      </c>
      <c r="Y83" s="229">
        <v>7.4000000000000003E-3</v>
      </c>
      <c r="Z83" s="228">
        <v>10.199999999999999</v>
      </c>
      <c r="AA83" s="228">
        <v>0</v>
      </c>
      <c r="AB83" s="228">
        <v>10.199999999999999</v>
      </c>
      <c r="AC83" s="229">
        <v>9.1999999999999998E-3</v>
      </c>
      <c r="AD83" s="228">
        <v>2.6</v>
      </c>
      <c r="AE83" s="228">
        <v>0</v>
      </c>
      <c r="AF83" s="228">
        <v>2.6</v>
      </c>
      <c r="AG83" s="229">
        <v>2.3999999999999998E-3</v>
      </c>
      <c r="AH83" s="228">
        <v>10.199999999999999</v>
      </c>
      <c r="AI83" s="228">
        <v>5.8</v>
      </c>
      <c r="AJ83" s="228">
        <v>4.4000000000000004</v>
      </c>
      <c r="AK83" s="229">
        <v>9.1999999999999998E-3</v>
      </c>
      <c r="AL83" s="228">
        <v>10.5</v>
      </c>
      <c r="AM83" s="228">
        <v>6.5</v>
      </c>
      <c r="AN83" s="228">
        <v>4</v>
      </c>
      <c r="AO83" s="229">
        <v>9.4999999999999998E-3</v>
      </c>
      <c r="AP83" s="231">
        <v>1109.72</v>
      </c>
      <c r="AQ83" s="231">
        <v>1116.21</v>
      </c>
      <c r="AR83" s="228">
        <v>0</v>
      </c>
      <c r="AS83" s="230">
        <v>1049</v>
      </c>
      <c r="AT83" s="230">
        <v>2728</v>
      </c>
      <c r="AU83" s="230">
        <v>-1679</v>
      </c>
      <c r="AV83" s="229">
        <v>-0.61560000000000004</v>
      </c>
      <c r="AW83" s="228">
        <v>354</v>
      </c>
      <c r="AX83" s="230">
        <v>1185</v>
      </c>
      <c r="AY83" s="228">
        <v>-831</v>
      </c>
      <c r="AZ83" s="229">
        <v>-0.70130000000000003</v>
      </c>
      <c r="BA83" s="228">
        <v>675</v>
      </c>
      <c r="BB83" s="230">
        <v>1485</v>
      </c>
      <c r="BC83" s="228">
        <v>-810</v>
      </c>
      <c r="BD83" s="229">
        <v>-0.54530000000000001</v>
      </c>
      <c r="BE83" s="228">
        <v>19</v>
      </c>
      <c r="BF83" s="228">
        <v>57</v>
      </c>
      <c r="BG83" s="228">
        <v>-38</v>
      </c>
      <c r="BH83" s="229">
        <v>-0.66669999999999996</v>
      </c>
      <c r="BI83" s="230">
        <v>2377</v>
      </c>
      <c r="BJ83" s="230">
        <v>6981</v>
      </c>
      <c r="BK83" s="230">
        <v>-4605</v>
      </c>
      <c r="BL83" s="229">
        <v>-0.65959999999999996</v>
      </c>
      <c r="BM83" s="230">
        <v>1362</v>
      </c>
      <c r="BN83" s="230">
        <v>4026</v>
      </c>
      <c r="BO83" s="230">
        <v>-2664</v>
      </c>
      <c r="BP83" s="229">
        <v>-0.66169999999999995</v>
      </c>
      <c r="BQ83" s="230">
        <v>4787</v>
      </c>
      <c r="BR83" s="230">
        <v>13735</v>
      </c>
      <c r="BS83" s="230">
        <v>-8948</v>
      </c>
      <c r="BT83" s="229">
        <v>-0.65149999999999997</v>
      </c>
      <c r="BU83" s="230">
        <v>6002464</v>
      </c>
      <c r="BV83" s="230">
        <v>8261424</v>
      </c>
      <c r="BW83" s="230">
        <v>-2258960</v>
      </c>
      <c r="BX83" s="229">
        <v>-0.27339999999999998</v>
      </c>
      <c r="BY83" s="230">
        <v>3694</v>
      </c>
      <c r="BZ83" s="230">
        <v>3870</v>
      </c>
      <c r="CA83" s="228">
        <v>-176</v>
      </c>
      <c r="CB83" s="229">
        <v>-4.5600000000000002E-2</v>
      </c>
      <c r="CC83" s="228">
        <v>246</v>
      </c>
      <c r="CD83" s="228">
        <v>406</v>
      </c>
      <c r="CE83" s="228">
        <v>-160</v>
      </c>
      <c r="CF83" s="229">
        <v>-0.39510000000000001</v>
      </c>
      <c r="CG83" s="230">
        <v>3456</v>
      </c>
      <c r="CH83" s="230">
        <v>3231</v>
      </c>
      <c r="CI83" s="228">
        <v>225</v>
      </c>
      <c r="CJ83" s="229">
        <v>6.9800000000000001E-2</v>
      </c>
      <c r="CK83" s="228">
        <v>238</v>
      </c>
      <c r="CL83" s="228">
        <v>234</v>
      </c>
      <c r="CM83" s="228">
        <v>4</v>
      </c>
      <c r="CN83" s="229">
        <v>1.77E-2</v>
      </c>
      <c r="CO83" s="228">
        <v>651</v>
      </c>
      <c r="CP83" s="230">
        <v>1320</v>
      </c>
      <c r="CQ83" s="228">
        <v>-669</v>
      </c>
      <c r="CR83" s="229">
        <v>-0.50690000000000002</v>
      </c>
      <c r="CS83" s="228">
        <v>416</v>
      </c>
      <c r="CT83" s="230">
        <v>1130</v>
      </c>
      <c r="CU83" s="228">
        <v>-714</v>
      </c>
      <c r="CV83" s="229">
        <v>-0.63160000000000005</v>
      </c>
      <c r="CW83" s="230">
        <v>4761</v>
      </c>
      <c r="CX83" s="230">
        <v>6320</v>
      </c>
      <c r="CY83" s="230">
        <v>-1559</v>
      </c>
      <c r="CZ83" s="229">
        <v>-0.2467</v>
      </c>
      <c r="DA83" s="228">
        <v>27.37</v>
      </c>
      <c r="DB83" s="228">
        <v>29.51</v>
      </c>
      <c r="DC83" s="228">
        <v>-2.14</v>
      </c>
      <c r="DD83" s="228">
        <v>-2.14</v>
      </c>
      <c r="DE83" s="228">
        <v>36.159999999999997</v>
      </c>
      <c r="DF83" s="228">
        <v>36.25</v>
      </c>
      <c r="DG83" s="228">
        <v>-8.7899999999999991</v>
      </c>
      <c r="DH83" s="228">
        <v>-0.09</v>
      </c>
      <c r="DI83" s="228">
        <v>27.12</v>
      </c>
      <c r="DJ83" s="228">
        <v>29.29</v>
      </c>
      <c r="DK83" s="228">
        <v>-2.17</v>
      </c>
      <c r="DL83" s="228">
        <v>-2.17</v>
      </c>
      <c r="DM83" s="228">
        <v>27.84</v>
      </c>
      <c r="DN83" s="228">
        <v>29.83</v>
      </c>
      <c r="DO83" s="228">
        <v>-1.99</v>
      </c>
      <c r="DP83" s="228">
        <v>-1.99</v>
      </c>
      <c r="DQ83" s="228">
        <v>0.64</v>
      </c>
      <c r="DR83" s="228">
        <v>0.86</v>
      </c>
      <c r="DS83" s="228">
        <v>-0.22</v>
      </c>
      <c r="DT83" s="229">
        <v>-0.25580000000000003</v>
      </c>
      <c r="DU83" s="231">
        <v>1110</v>
      </c>
      <c r="DV83" s="231">
        <v>1050</v>
      </c>
      <c r="DW83" s="228">
        <v>0.56999999999999995</v>
      </c>
      <c r="DX83" s="228">
        <v>0.57999999999999996</v>
      </c>
      <c r="DY83" s="228">
        <v>-0.01</v>
      </c>
      <c r="DZ83" s="229">
        <v>-1.72E-2</v>
      </c>
      <c r="EA83" s="229">
        <v>0.93769999999999998</v>
      </c>
      <c r="EB83" s="230">
        <v>31098900</v>
      </c>
      <c r="EC83" s="229">
        <v>6.8999999999999999E-3</v>
      </c>
      <c r="ED83" s="229">
        <v>0.93769999999999998</v>
      </c>
      <c r="EE83" s="228">
        <v>6.49</v>
      </c>
      <c r="EF83" s="229">
        <v>5.7999999999999996E-3</v>
      </c>
      <c r="EG83" s="230">
        <v>3191422</v>
      </c>
      <c r="EH83" s="230">
        <v>3646263</v>
      </c>
      <c r="EI83" s="229">
        <v>-0.12470000000000001</v>
      </c>
      <c r="EJ83" s="229">
        <v>0.53169999999999995</v>
      </c>
      <c r="EK83" s="231">
        <v>2451.41</v>
      </c>
      <c r="EL83" s="231">
        <v>1332.36</v>
      </c>
      <c r="EM83" s="231">
        <v>1048.55</v>
      </c>
      <c r="EN83" s="228">
        <v>247.91</v>
      </c>
      <c r="EO83" s="231">
        <v>4832.32</v>
      </c>
      <c r="EP83" s="231">
        <v>13654.28</v>
      </c>
      <c r="EQ83" s="231">
        <v>-8821.9599999999991</v>
      </c>
      <c r="ER83" s="229">
        <v>-0.64610000000000001</v>
      </c>
      <c r="ES83" s="228">
        <v>655.61</v>
      </c>
      <c r="ET83" s="228">
        <v>394.09</v>
      </c>
      <c r="EU83" s="231">
        <v>3693.98</v>
      </c>
      <c r="EV83" s="231">
        <v>218611634</v>
      </c>
      <c r="EW83" s="231">
        <v>4743.68</v>
      </c>
      <c r="EX83" s="231">
        <v>6211.57</v>
      </c>
      <c r="EY83" s="231">
        <v>-1467.89</v>
      </c>
      <c r="EZ83" s="229">
        <v>-0.23630000000000001</v>
      </c>
      <c r="FA83" s="229">
        <v>0.19550000000000001</v>
      </c>
      <c r="FB83" s="227" t="s">
        <v>691</v>
      </c>
      <c r="FC83">
        <f t="shared" si="1"/>
        <v>3448</v>
      </c>
    </row>
    <row r="84" spans="1:159" ht="17.25" thickBot="1" x14ac:dyDescent="0.3">
      <c r="A84" s="226">
        <v>46168</v>
      </c>
      <c r="B84" s="227" t="s">
        <v>193</v>
      </c>
      <c r="C84" s="227" t="s">
        <v>229</v>
      </c>
      <c r="D84" s="228">
        <v>2025</v>
      </c>
      <c r="E84" s="228">
        <v>0</v>
      </c>
      <c r="F84" s="228">
        <v>400.55</v>
      </c>
      <c r="G84" s="228">
        <v>406.4</v>
      </c>
      <c r="H84" s="228">
        <v>-5.85</v>
      </c>
      <c r="I84" s="229">
        <v>-1.44E-2</v>
      </c>
      <c r="J84" s="228">
        <v>398</v>
      </c>
      <c r="K84" s="228">
        <v>403.35</v>
      </c>
      <c r="L84" s="228">
        <v>-5.35</v>
      </c>
      <c r="M84" s="229">
        <v>-1.3299999999999999E-2</v>
      </c>
      <c r="N84" s="228">
        <v>397.65</v>
      </c>
      <c r="O84" s="228">
        <v>405.1</v>
      </c>
      <c r="P84" s="228">
        <v>-7.45</v>
      </c>
      <c r="Q84" s="229">
        <v>-1.84E-2</v>
      </c>
      <c r="R84" s="228">
        <v>400.55</v>
      </c>
      <c r="S84" s="228">
        <v>406.4</v>
      </c>
      <c r="T84" s="228">
        <v>-5.85</v>
      </c>
      <c r="U84" s="229">
        <v>-1.44E-2</v>
      </c>
      <c r="V84" s="228">
        <v>402.65</v>
      </c>
      <c r="W84" s="228">
        <v>409.15</v>
      </c>
      <c r="X84" s="228">
        <v>-6.5</v>
      </c>
      <c r="Y84" s="229">
        <v>-1.5900000000000001E-2</v>
      </c>
      <c r="Z84" s="228">
        <v>2.5499999999999998</v>
      </c>
      <c r="AA84" s="228">
        <v>1.75</v>
      </c>
      <c r="AB84" s="228">
        <v>0.8</v>
      </c>
      <c r="AC84" s="229">
        <v>6.4000000000000003E-3</v>
      </c>
      <c r="AD84" s="228">
        <v>-0.35</v>
      </c>
      <c r="AE84" s="228">
        <v>1.75</v>
      </c>
      <c r="AF84" s="228">
        <v>-2.1</v>
      </c>
      <c r="AG84" s="229">
        <v>-8.9999999999999998E-4</v>
      </c>
      <c r="AH84" s="228">
        <v>2.5499999999999998</v>
      </c>
      <c r="AI84" s="228">
        <v>3.05</v>
      </c>
      <c r="AJ84" s="228">
        <v>-0.5</v>
      </c>
      <c r="AK84" s="229">
        <v>6.4000000000000003E-3</v>
      </c>
      <c r="AL84" s="228">
        <v>4.6500000000000004</v>
      </c>
      <c r="AM84" s="228">
        <v>5.8</v>
      </c>
      <c r="AN84" s="228">
        <v>-1.1499999999999999</v>
      </c>
      <c r="AO84" s="229">
        <v>1.17E-2</v>
      </c>
      <c r="AP84" s="228">
        <v>399.82</v>
      </c>
      <c r="AQ84" s="228">
        <v>402.39</v>
      </c>
      <c r="AR84" s="228">
        <v>0</v>
      </c>
      <c r="AS84" s="228">
        <v>456</v>
      </c>
      <c r="AT84" s="230">
        <v>1247</v>
      </c>
      <c r="AU84" s="228">
        <v>-791</v>
      </c>
      <c r="AV84" s="229">
        <v>-0.6341</v>
      </c>
      <c r="AW84" s="228">
        <v>163</v>
      </c>
      <c r="AX84" s="228">
        <v>585</v>
      </c>
      <c r="AY84" s="228">
        <v>-422</v>
      </c>
      <c r="AZ84" s="229">
        <v>-0.72099999999999997</v>
      </c>
      <c r="BA84" s="228">
        <v>287</v>
      </c>
      <c r="BB84" s="228">
        <v>649</v>
      </c>
      <c r="BC84" s="228">
        <v>-362</v>
      </c>
      <c r="BD84" s="229">
        <v>-0.55830000000000002</v>
      </c>
      <c r="BE84" s="228">
        <v>7</v>
      </c>
      <c r="BF84" s="228">
        <v>13</v>
      </c>
      <c r="BG84" s="228">
        <v>-7</v>
      </c>
      <c r="BH84" s="229">
        <v>-0.51200000000000001</v>
      </c>
      <c r="BI84" s="228">
        <v>534</v>
      </c>
      <c r="BJ84" s="230">
        <v>2392</v>
      </c>
      <c r="BK84" s="230">
        <v>-1858</v>
      </c>
      <c r="BL84" s="229">
        <v>-0.77680000000000005</v>
      </c>
      <c r="BM84" s="228">
        <v>394</v>
      </c>
      <c r="BN84" s="228">
        <v>988</v>
      </c>
      <c r="BO84" s="228">
        <v>-594</v>
      </c>
      <c r="BP84" s="229">
        <v>-0.60119999999999996</v>
      </c>
      <c r="BQ84" s="230">
        <v>1384</v>
      </c>
      <c r="BR84" s="230">
        <v>4627</v>
      </c>
      <c r="BS84" s="230">
        <v>-3243</v>
      </c>
      <c r="BT84" s="229">
        <v>-0.70089999999999997</v>
      </c>
      <c r="BU84" s="230">
        <v>4513885</v>
      </c>
      <c r="BV84" s="230">
        <v>10875116</v>
      </c>
      <c r="BW84" s="230">
        <v>-6361231</v>
      </c>
      <c r="BX84" s="229">
        <v>-0.58489999999999998</v>
      </c>
      <c r="BY84" s="230">
        <v>1274</v>
      </c>
      <c r="BZ84" s="230">
        <v>1452</v>
      </c>
      <c r="CA84" s="228">
        <v>-178</v>
      </c>
      <c r="CB84" s="229">
        <v>-0.12239999999999999</v>
      </c>
      <c r="CC84" s="228">
        <v>165</v>
      </c>
      <c r="CD84" s="228">
        <v>243</v>
      </c>
      <c r="CE84" s="228">
        <v>-78</v>
      </c>
      <c r="CF84" s="229">
        <v>-0.3206</v>
      </c>
      <c r="CG84" s="230">
        <v>1173</v>
      </c>
      <c r="CH84" s="230">
        <v>1111</v>
      </c>
      <c r="CI84" s="228">
        <v>62</v>
      </c>
      <c r="CJ84" s="229">
        <v>5.57E-2</v>
      </c>
      <c r="CK84" s="228">
        <v>101</v>
      </c>
      <c r="CL84" s="228">
        <v>97</v>
      </c>
      <c r="CM84" s="228">
        <v>4</v>
      </c>
      <c r="CN84" s="229">
        <v>4.0099999999999997E-2</v>
      </c>
      <c r="CO84" s="228">
        <v>346</v>
      </c>
      <c r="CP84" s="228">
        <v>713</v>
      </c>
      <c r="CQ84" s="228">
        <v>-366</v>
      </c>
      <c r="CR84" s="229">
        <v>-0.51390000000000002</v>
      </c>
      <c r="CS84" s="228">
        <v>259</v>
      </c>
      <c r="CT84" s="228">
        <v>614</v>
      </c>
      <c r="CU84" s="228">
        <v>-355</v>
      </c>
      <c r="CV84" s="229">
        <v>-0.57850000000000001</v>
      </c>
      <c r="CW84" s="230">
        <v>1879</v>
      </c>
      <c r="CX84" s="230">
        <v>2779</v>
      </c>
      <c r="CY84" s="228">
        <v>-899</v>
      </c>
      <c r="CZ84" s="229">
        <v>-0.3236</v>
      </c>
      <c r="DA84" s="228">
        <v>33.11</v>
      </c>
      <c r="DB84" s="228">
        <v>37.369999999999997</v>
      </c>
      <c r="DC84" s="228">
        <v>-4.26</v>
      </c>
      <c r="DD84" s="228">
        <v>-4.26</v>
      </c>
      <c r="DE84" s="228">
        <v>44.82</v>
      </c>
      <c r="DF84" s="228">
        <v>44.89</v>
      </c>
      <c r="DG84" s="228">
        <v>-11.71</v>
      </c>
      <c r="DH84" s="228">
        <v>-7.0000000000000007E-2</v>
      </c>
      <c r="DI84" s="228">
        <v>33.03</v>
      </c>
      <c r="DJ84" s="228">
        <v>37.72</v>
      </c>
      <c r="DK84" s="228">
        <v>-4.6900000000000004</v>
      </c>
      <c r="DL84" s="228">
        <v>-4.6900000000000004</v>
      </c>
      <c r="DM84" s="228">
        <v>33.229999999999997</v>
      </c>
      <c r="DN84" s="228">
        <v>36.74</v>
      </c>
      <c r="DO84" s="228">
        <v>-3.51</v>
      </c>
      <c r="DP84" s="228">
        <v>-3.51</v>
      </c>
      <c r="DQ84" s="228">
        <v>0.75</v>
      </c>
      <c r="DR84" s="228">
        <v>0.86</v>
      </c>
      <c r="DS84" s="228">
        <v>-0.11</v>
      </c>
      <c r="DT84" s="229">
        <v>-0.12790000000000001</v>
      </c>
      <c r="DU84" s="228">
        <v>400</v>
      </c>
      <c r="DV84" s="228">
        <v>400</v>
      </c>
      <c r="DW84" s="228">
        <v>0.74</v>
      </c>
      <c r="DX84" s="228">
        <v>0.41</v>
      </c>
      <c r="DY84" s="228">
        <v>0.33</v>
      </c>
      <c r="DZ84" s="229">
        <v>0.80489999999999995</v>
      </c>
      <c r="EA84" s="229">
        <v>0.8851</v>
      </c>
      <c r="EB84" s="230">
        <v>30168450</v>
      </c>
      <c r="EC84" s="229">
        <v>7.3000000000000001E-3</v>
      </c>
      <c r="ED84" s="229">
        <v>0.8851</v>
      </c>
      <c r="EE84" s="228">
        <v>2.57</v>
      </c>
      <c r="EF84" s="229">
        <v>6.4000000000000003E-3</v>
      </c>
      <c r="EG84" s="230">
        <v>2034333</v>
      </c>
      <c r="EH84" s="230">
        <v>3414349</v>
      </c>
      <c r="EI84" s="229">
        <v>-0.4042</v>
      </c>
      <c r="EJ84" s="229">
        <v>0.45069999999999999</v>
      </c>
      <c r="EK84" s="228">
        <v>561.95000000000005</v>
      </c>
      <c r="EL84" s="228">
        <v>388.09</v>
      </c>
      <c r="EM84" s="228">
        <v>457.4</v>
      </c>
      <c r="EN84" s="228">
        <v>102.01</v>
      </c>
      <c r="EO84" s="231">
        <v>1407.44</v>
      </c>
      <c r="EP84" s="231">
        <v>4742.78</v>
      </c>
      <c r="EQ84" s="231">
        <v>-3335.33</v>
      </c>
      <c r="ER84" s="229">
        <v>-0.70320000000000005</v>
      </c>
      <c r="ES84" s="228">
        <v>362.26</v>
      </c>
      <c r="ET84" s="228">
        <v>250.94</v>
      </c>
      <c r="EU84" s="231">
        <v>1274.71</v>
      </c>
      <c r="EV84" s="231">
        <v>143933168</v>
      </c>
      <c r="EW84" s="231">
        <v>1887.91</v>
      </c>
      <c r="EX84" s="231">
        <v>2765.65</v>
      </c>
      <c r="EY84" s="228">
        <v>-877.74</v>
      </c>
      <c r="EZ84" s="229">
        <v>-0.31740000000000002</v>
      </c>
      <c r="FA84" s="229">
        <v>0.32600000000000001</v>
      </c>
      <c r="FB84" s="227" t="s">
        <v>567</v>
      </c>
      <c r="FC84">
        <f t="shared" si="1"/>
        <v>1109</v>
      </c>
    </row>
    <row r="85" spans="1:159" ht="17.25" thickBot="1" x14ac:dyDescent="0.3">
      <c r="A85" s="226">
        <v>46168</v>
      </c>
      <c r="B85" s="227" t="s">
        <v>168</v>
      </c>
      <c r="C85" s="227" t="s">
        <v>230</v>
      </c>
      <c r="D85" s="228">
        <v>300</v>
      </c>
      <c r="E85" s="228">
        <v>0</v>
      </c>
      <c r="F85" s="231">
        <v>2195.1</v>
      </c>
      <c r="G85" s="231">
        <v>2193</v>
      </c>
      <c r="H85" s="228">
        <v>2.1</v>
      </c>
      <c r="I85" s="229">
        <v>1E-3</v>
      </c>
      <c r="J85" s="231">
        <v>2209.4</v>
      </c>
      <c r="K85" s="231">
        <v>2196.5</v>
      </c>
      <c r="L85" s="228">
        <v>12.9</v>
      </c>
      <c r="M85" s="229">
        <v>5.8999999999999999E-3</v>
      </c>
      <c r="N85" s="231">
        <v>2202.8000000000002</v>
      </c>
      <c r="O85" s="231">
        <v>2202.4</v>
      </c>
      <c r="P85" s="228">
        <v>0.4</v>
      </c>
      <c r="Q85" s="229">
        <v>2.0000000000000001E-4</v>
      </c>
      <c r="R85" s="231">
        <v>2195.1</v>
      </c>
      <c r="S85" s="231">
        <v>2193</v>
      </c>
      <c r="T85" s="228">
        <v>2.1</v>
      </c>
      <c r="U85" s="229">
        <v>1E-3</v>
      </c>
      <c r="V85" s="231">
        <v>2209.1</v>
      </c>
      <c r="W85" s="231">
        <v>2205.8000000000002</v>
      </c>
      <c r="X85" s="228">
        <v>3.3</v>
      </c>
      <c r="Y85" s="229">
        <v>1.5E-3</v>
      </c>
      <c r="Z85" s="228">
        <v>-14.3</v>
      </c>
      <c r="AA85" s="228">
        <v>5.9</v>
      </c>
      <c r="AB85" s="228">
        <v>-20.2</v>
      </c>
      <c r="AC85" s="229">
        <v>-6.4999999999999997E-3</v>
      </c>
      <c r="AD85" s="228">
        <v>-6.6</v>
      </c>
      <c r="AE85" s="228">
        <v>5.9</v>
      </c>
      <c r="AF85" s="228">
        <v>-12.5</v>
      </c>
      <c r="AG85" s="229">
        <v>-3.0000000000000001E-3</v>
      </c>
      <c r="AH85" s="228">
        <v>-14.3</v>
      </c>
      <c r="AI85" s="228">
        <v>-3.5</v>
      </c>
      <c r="AJ85" s="228">
        <v>-10.8</v>
      </c>
      <c r="AK85" s="229">
        <v>-6.4999999999999997E-3</v>
      </c>
      <c r="AL85" s="228">
        <v>-0.3</v>
      </c>
      <c r="AM85" s="228">
        <v>9.3000000000000007</v>
      </c>
      <c r="AN85" s="228">
        <v>-9.6</v>
      </c>
      <c r="AO85" s="229">
        <v>-1E-4</v>
      </c>
      <c r="AP85" s="231">
        <v>2204.65</v>
      </c>
      <c r="AQ85" s="231">
        <v>2197.25</v>
      </c>
      <c r="AR85" s="228">
        <v>0</v>
      </c>
      <c r="AS85" s="228">
        <v>929</v>
      </c>
      <c r="AT85" s="230">
        <v>1533</v>
      </c>
      <c r="AU85" s="228">
        <v>-604</v>
      </c>
      <c r="AV85" s="229">
        <v>-0.39400000000000002</v>
      </c>
      <c r="AW85" s="228">
        <v>350</v>
      </c>
      <c r="AX85" s="228">
        <v>674</v>
      </c>
      <c r="AY85" s="228">
        <v>-324</v>
      </c>
      <c r="AZ85" s="229">
        <v>-0.48039999999999999</v>
      </c>
      <c r="BA85" s="228">
        <v>568</v>
      </c>
      <c r="BB85" s="228">
        <v>846</v>
      </c>
      <c r="BC85" s="228">
        <v>-278</v>
      </c>
      <c r="BD85" s="229">
        <v>-0.32850000000000001</v>
      </c>
      <c r="BE85" s="228">
        <v>11</v>
      </c>
      <c r="BF85" s="228">
        <v>13</v>
      </c>
      <c r="BG85" s="228">
        <v>-3</v>
      </c>
      <c r="BH85" s="229">
        <v>-0.18909999999999999</v>
      </c>
      <c r="BI85" s="230">
        <v>1415</v>
      </c>
      <c r="BJ85" s="230">
        <v>1901</v>
      </c>
      <c r="BK85" s="228">
        <v>-486</v>
      </c>
      <c r="BL85" s="229">
        <v>-0.25559999999999999</v>
      </c>
      <c r="BM85" s="228">
        <v>849</v>
      </c>
      <c r="BN85" s="230">
        <v>1005</v>
      </c>
      <c r="BO85" s="228">
        <v>-157</v>
      </c>
      <c r="BP85" s="229">
        <v>-0.15590000000000001</v>
      </c>
      <c r="BQ85" s="230">
        <v>3192</v>
      </c>
      <c r="BR85" s="230">
        <v>4439</v>
      </c>
      <c r="BS85" s="230">
        <v>-1247</v>
      </c>
      <c r="BT85" s="229">
        <v>-0.28079999999999999</v>
      </c>
      <c r="BU85" s="230">
        <v>2367055</v>
      </c>
      <c r="BV85" s="230">
        <v>802498</v>
      </c>
      <c r="BW85" s="230">
        <v>1564557</v>
      </c>
      <c r="BX85" s="229">
        <v>1.9496</v>
      </c>
      <c r="BY85" s="230">
        <v>3431</v>
      </c>
      <c r="BZ85" s="230">
        <v>3747</v>
      </c>
      <c r="CA85" s="228">
        <v>-316</v>
      </c>
      <c r="CB85" s="229">
        <v>-8.43E-2</v>
      </c>
      <c r="CC85" s="228">
        <v>333</v>
      </c>
      <c r="CD85" s="228">
        <v>525</v>
      </c>
      <c r="CE85" s="228">
        <v>-193</v>
      </c>
      <c r="CF85" s="229">
        <v>-0.36649999999999999</v>
      </c>
      <c r="CG85" s="230">
        <v>3372</v>
      </c>
      <c r="CH85" s="230">
        <v>3169</v>
      </c>
      <c r="CI85" s="228">
        <v>203</v>
      </c>
      <c r="CJ85" s="229">
        <v>6.4199999999999993E-2</v>
      </c>
      <c r="CK85" s="228">
        <v>59</v>
      </c>
      <c r="CL85" s="228">
        <v>53</v>
      </c>
      <c r="CM85" s="228">
        <v>6</v>
      </c>
      <c r="CN85" s="229">
        <v>0.1137</v>
      </c>
      <c r="CO85" s="228">
        <v>835</v>
      </c>
      <c r="CP85" s="230">
        <v>2433</v>
      </c>
      <c r="CQ85" s="230">
        <v>-1598</v>
      </c>
      <c r="CR85" s="229">
        <v>-0.65690000000000004</v>
      </c>
      <c r="CS85" s="228">
        <v>456</v>
      </c>
      <c r="CT85" s="230">
        <v>1179</v>
      </c>
      <c r="CU85" s="228">
        <v>-723</v>
      </c>
      <c r="CV85" s="229">
        <v>-0.61339999999999995</v>
      </c>
      <c r="CW85" s="230">
        <v>4722</v>
      </c>
      <c r="CX85" s="230">
        <v>7359</v>
      </c>
      <c r="CY85" s="230">
        <v>-2637</v>
      </c>
      <c r="CZ85" s="229">
        <v>-0.3584</v>
      </c>
      <c r="DA85" s="228">
        <v>20.53</v>
      </c>
      <c r="DB85" s="228">
        <v>21.06</v>
      </c>
      <c r="DC85" s="228">
        <v>-0.53</v>
      </c>
      <c r="DD85" s="228">
        <v>-0.53</v>
      </c>
      <c r="DE85" s="228">
        <v>24.47</v>
      </c>
      <c r="DF85" s="228">
        <v>24.52</v>
      </c>
      <c r="DG85" s="228">
        <v>-3.94</v>
      </c>
      <c r="DH85" s="228">
        <v>-0.05</v>
      </c>
      <c r="DI85" s="228">
        <v>20.88</v>
      </c>
      <c r="DJ85" s="228">
        <v>21.38</v>
      </c>
      <c r="DK85" s="228">
        <v>-0.5</v>
      </c>
      <c r="DL85" s="228">
        <v>-0.5</v>
      </c>
      <c r="DM85" s="228">
        <v>19.77</v>
      </c>
      <c r="DN85" s="228">
        <v>20.37</v>
      </c>
      <c r="DO85" s="228">
        <v>-0.6</v>
      </c>
      <c r="DP85" s="228">
        <v>-0.6</v>
      </c>
      <c r="DQ85" s="228">
        <v>0.55000000000000004</v>
      </c>
      <c r="DR85" s="228">
        <v>0.48</v>
      </c>
      <c r="DS85" s="228">
        <v>7.0000000000000007E-2</v>
      </c>
      <c r="DT85" s="229">
        <v>0.14580000000000001</v>
      </c>
      <c r="DU85" s="231">
        <v>2400</v>
      </c>
      <c r="DV85" s="231">
        <v>2300</v>
      </c>
      <c r="DW85" s="228">
        <v>0.6</v>
      </c>
      <c r="DX85" s="228">
        <v>0.53</v>
      </c>
      <c r="DY85" s="228">
        <v>7.0000000000000007E-2</v>
      </c>
      <c r="DZ85" s="229">
        <v>0.1321</v>
      </c>
      <c r="EA85" s="229">
        <v>0.91159999999999997</v>
      </c>
      <c r="EB85" s="230">
        <v>14678400</v>
      </c>
      <c r="EC85" s="229">
        <v>-3.5000000000000001E-3</v>
      </c>
      <c r="ED85" s="229">
        <v>0.91159999999999997</v>
      </c>
      <c r="EE85" s="228">
        <v>-7.4</v>
      </c>
      <c r="EF85" s="229">
        <v>-3.3999999999999998E-3</v>
      </c>
      <c r="EG85" s="230">
        <v>1533784</v>
      </c>
      <c r="EH85" s="230">
        <v>464400</v>
      </c>
      <c r="EI85" s="229">
        <v>2.3027000000000002</v>
      </c>
      <c r="EJ85" s="229">
        <v>0.64800000000000002</v>
      </c>
      <c r="EK85" s="231">
        <v>1479.78</v>
      </c>
      <c r="EL85" s="228">
        <v>854</v>
      </c>
      <c r="EM85" s="228">
        <v>931.13</v>
      </c>
      <c r="EN85" s="228">
        <v>244.46</v>
      </c>
      <c r="EO85" s="231">
        <v>3264.91</v>
      </c>
      <c r="EP85" s="231">
        <v>4553</v>
      </c>
      <c r="EQ85" s="231">
        <v>-1288.0899999999999</v>
      </c>
      <c r="ER85" s="229">
        <v>-0.28289999999999998</v>
      </c>
      <c r="ES85" s="228">
        <v>879.23</v>
      </c>
      <c r="ET85" s="228">
        <v>453.26</v>
      </c>
      <c r="EU85" s="231">
        <v>3431.85</v>
      </c>
      <c r="EV85" s="231">
        <v>89517840</v>
      </c>
      <c r="EW85" s="231">
        <v>4764.33</v>
      </c>
      <c r="EX85" s="231">
        <v>7543.01</v>
      </c>
      <c r="EY85" s="231">
        <v>-2778.68</v>
      </c>
      <c r="EZ85" s="229">
        <v>-0.36840000000000001</v>
      </c>
      <c r="FA85" s="229">
        <v>0.24030000000000001</v>
      </c>
      <c r="FB85" s="227" t="s">
        <v>691</v>
      </c>
      <c r="FC85">
        <f t="shared" si="1"/>
        <v>3098</v>
      </c>
    </row>
    <row r="86" spans="1:159" ht="17.25" thickBot="1" x14ac:dyDescent="0.3">
      <c r="A86" s="226">
        <v>46168</v>
      </c>
      <c r="B86" s="227" t="s">
        <v>227</v>
      </c>
      <c r="C86" s="227" t="s">
        <v>665</v>
      </c>
      <c r="D86" s="228">
        <v>1225</v>
      </c>
      <c r="E86" s="228">
        <v>0</v>
      </c>
      <c r="F86" s="228">
        <v>650.70000000000005</v>
      </c>
      <c r="G86" s="228">
        <v>639.79999999999995</v>
      </c>
      <c r="H86" s="228">
        <v>10.9</v>
      </c>
      <c r="I86" s="229">
        <v>1.7000000000000001E-2</v>
      </c>
      <c r="J86" s="228">
        <v>647.4</v>
      </c>
      <c r="K86" s="228">
        <v>634.5</v>
      </c>
      <c r="L86" s="228">
        <v>12.9</v>
      </c>
      <c r="M86" s="229">
        <v>2.0299999999999999E-2</v>
      </c>
      <c r="N86" s="228">
        <v>646.54999999999995</v>
      </c>
      <c r="O86" s="228">
        <v>636</v>
      </c>
      <c r="P86" s="228">
        <v>10.55</v>
      </c>
      <c r="Q86" s="229">
        <v>1.66E-2</v>
      </c>
      <c r="R86" s="228">
        <v>650.70000000000005</v>
      </c>
      <c r="S86" s="228">
        <v>639.79999999999995</v>
      </c>
      <c r="T86" s="228">
        <v>10.9</v>
      </c>
      <c r="U86" s="229">
        <v>1.7000000000000001E-2</v>
      </c>
      <c r="V86" s="228">
        <v>654.95000000000005</v>
      </c>
      <c r="W86" s="228">
        <v>644.15</v>
      </c>
      <c r="X86" s="228">
        <v>10.8</v>
      </c>
      <c r="Y86" s="229">
        <v>1.6799999999999999E-2</v>
      </c>
      <c r="Z86" s="228">
        <v>3.3</v>
      </c>
      <c r="AA86" s="228">
        <v>1.5</v>
      </c>
      <c r="AB86" s="228">
        <v>1.8</v>
      </c>
      <c r="AC86" s="229">
        <v>5.1000000000000004E-3</v>
      </c>
      <c r="AD86" s="228">
        <v>-0.85</v>
      </c>
      <c r="AE86" s="228">
        <v>1.5</v>
      </c>
      <c r="AF86" s="228">
        <v>-2.35</v>
      </c>
      <c r="AG86" s="229">
        <v>-1.2999999999999999E-3</v>
      </c>
      <c r="AH86" s="228">
        <v>3.3</v>
      </c>
      <c r="AI86" s="228">
        <v>5.3</v>
      </c>
      <c r="AJ86" s="228">
        <v>-2</v>
      </c>
      <c r="AK86" s="229">
        <v>5.1000000000000004E-3</v>
      </c>
      <c r="AL86" s="228">
        <v>7.55</v>
      </c>
      <c r="AM86" s="228">
        <v>9.65</v>
      </c>
      <c r="AN86" s="228">
        <v>-2.1</v>
      </c>
      <c r="AO86" s="229">
        <v>1.17E-2</v>
      </c>
      <c r="AP86" s="228">
        <v>643.45000000000005</v>
      </c>
      <c r="AQ86" s="228">
        <v>647.67999999999995</v>
      </c>
      <c r="AR86" s="228">
        <v>0</v>
      </c>
      <c r="AS86" s="230">
        <v>1519</v>
      </c>
      <c r="AT86" s="230">
        <v>1302</v>
      </c>
      <c r="AU86" s="228">
        <v>217</v>
      </c>
      <c r="AV86" s="229">
        <v>0.16689999999999999</v>
      </c>
      <c r="AW86" s="228">
        <v>712</v>
      </c>
      <c r="AX86" s="228">
        <v>609</v>
      </c>
      <c r="AY86" s="228">
        <v>103</v>
      </c>
      <c r="AZ86" s="229">
        <v>0.16889999999999999</v>
      </c>
      <c r="BA86" s="228">
        <v>797</v>
      </c>
      <c r="BB86" s="228">
        <v>687</v>
      </c>
      <c r="BC86" s="228">
        <v>110</v>
      </c>
      <c r="BD86" s="229">
        <v>0.1603</v>
      </c>
      <c r="BE86" s="228">
        <v>10</v>
      </c>
      <c r="BF86" s="228">
        <v>6</v>
      </c>
      <c r="BG86" s="228">
        <v>4</v>
      </c>
      <c r="BH86" s="229">
        <v>0.70130000000000003</v>
      </c>
      <c r="BI86" s="230">
        <v>1690</v>
      </c>
      <c r="BJ86" s="230">
        <v>2651</v>
      </c>
      <c r="BK86" s="228">
        <v>-961</v>
      </c>
      <c r="BL86" s="229">
        <v>-0.36259999999999998</v>
      </c>
      <c r="BM86" s="228">
        <v>834</v>
      </c>
      <c r="BN86" s="228">
        <v>911</v>
      </c>
      <c r="BO86" s="228">
        <v>-77</v>
      </c>
      <c r="BP86" s="229">
        <v>-8.4599999999999995E-2</v>
      </c>
      <c r="BQ86" s="230">
        <v>4043</v>
      </c>
      <c r="BR86" s="230">
        <v>4864</v>
      </c>
      <c r="BS86" s="228">
        <v>-821</v>
      </c>
      <c r="BT86" s="229">
        <v>-0.16880000000000001</v>
      </c>
      <c r="BU86" s="230">
        <v>8296824</v>
      </c>
      <c r="BV86" s="230">
        <v>3320524</v>
      </c>
      <c r="BW86" s="230">
        <v>4976300</v>
      </c>
      <c r="BX86" s="229">
        <v>1.4985999999999999</v>
      </c>
      <c r="BY86" s="230">
        <v>2145</v>
      </c>
      <c r="BZ86" s="230">
        <v>2418</v>
      </c>
      <c r="CA86" s="228">
        <v>-273</v>
      </c>
      <c r="CB86" s="229">
        <v>-0.11269999999999999</v>
      </c>
      <c r="CC86" s="228">
        <v>197</v>
      </c>
      <c r="CD86" s="228">
        <v>759</v>
      </c>
      <c r="CE86" s="228">
        <v>-563</v>
      </c>
      <c r="CF86" s="229">
        <v>-0.74109999999999998</v>
      </c>
      <c r="CG86" s="230">
        <v>2114</v>
      </c>
      <c r="CH86" s="230">
        <v>1632</v>
      </c>
      <c r="CI86" s="228">
        <v>482</v>
      </c>
      <c r="CJ86" s="229">
        <v>0.29559999999999997</v>
      </c>
      <c r="CK86" s="228">
        <v>31</v>
      </c>
      <c r="CL86" s="228">
        <v>27</v>
      </c>
      <c r="CM86" s="228">
        <v>4</v>
      </c>
      <c r="CN86" s="229">
        <v>0.16070000000000001</v>
      </c>
      <c r="CO86" s="228">
        <v>688</v>
      </c>
      <c r="CP86" s="230">
        <v>1426</v>
      </c>
      <c r="CQ86" s="228">
        <v>-738</v>
      </c>
      <c r="CR86" s="229">
        <v>-0.51739999999999997</v>
      </c>
      <c r="CS86" s="228">
        <v>480</v>
      </c>
      <c r="CT86" s="230">
        <v>1039</v>
      </c>
      <c r="CU86" s="228">
        <v>-559</v>
      </c>
      <c r="CV86" s="229">
        <v>-0.53769999999999996</v>
      </c>
      <c r="CW86" s="230">
        <v>3314</v>
      </c>
      <c r="CX86" s="230">
        <v>4883</v>
      </c>
      <c r="CY86" s="230">
        <v>-1569</v>
      </c>
      <c r="CZ86" s="229">
        <v>-0.32129999999999997</v>
      </c>
      <c r="DA86" s="228">
        <v>29.21</v>
      </c>
      <c r="DB86" s="228">
        <v>29.72</v>
      </c>
      <c r="DC86" s="228">
        <v>-0.51</v>
      </c>
      <c r="DD86" s="228">
        <v>-0.51</v>
      </c>
      <c r="DE86" s="228">
        <v>49.58</v>
      </c>
      <c r="DF86" s="228">
        <v>49.65</v>
      </c>
      <c r="DG86" s="228">
        <v>-20.37</v>
      </c>
      <c r="DH86" s="228">
        <v>-7.0000000000000007E-2</v>
      </c>
      <c r="DI86" s="228">
        <v>28.86</v>
      </c>
      <c r="DJ86" s="228">
        <v>29.91</v>
      </c>
      <c r="DK86" s="228">
        <v>-1.05</v>
      </c>
      <c r="DL86" s="228">
        <v>-1.05</v>
      </c>
      <c r="DM86" s="228">
        <v>29.93</v>
      </c>
      <c r="DN86" s="228">
        <v>29.4</v>
      </c>
      <c r="DO86" s="228">
        <v>0.53</v>
      </c>
      <c r="DP86" s="228">
        <v>0.53</v>
      </c>
      <c r="DQ86" s="228">
        <v>0.7</v>
      </c>
      <c r="DR86" s="228">
        <v>0.73</v>
      </c>
      <c r="DS86" s="228">
        <v>-0.03</v>
      </c>
      <c r="DT86" s="229">
        <v>-4.1099999999999998E-2</v>
      </c>
      <c r="DU86" s="228">
        <v>700</v>
      </c>
      <c r="DV86" s="228">
        <v>600</v>
      </c>
      <c r="DW86" s="228">
        <v>0.49</v>
      </c>
      <c r="DX86" s="228">
        <v>0.34</v>
      </c>
      <c r="DY86" s="228">
        <v>0.15</v>
      </c>
      <c r="DZ86" s="229">
        <v>0.44119999999999998</v>
      </c>
      <c r="EA86" s="229">
        <v>0.91610000000000003</v>
      </c>
      <c r="EB86" s="230">
        <v>25491025</v>
      </c>
      <c r="EC86" s="229">
        <v>6.4000000000000003E-3</v>
      </c>
      <c r="ED86" s="229">
        <v>0.91610000000000003</v>
      </c>
      <c r="EE86" s="228">
        <v>4.2300000000000004</v>
      </c>
      <c r="EF86" s="229">
        <v>6.6E-3</v>
      </c>
      <c r="EG86" s="230">
        <v>4544003</v>
      </c>
      <c r="EH86" s="230">
        <v>1674305</v>
      </c>
      <c r="EI86" s="229">
        <v>1.714</v>
      </c>
      <c r="EJ86" s="229">
        <v>0.54769999999999996</v>
      </c>
      <c r="EK86" s="231">
        <v>1743.04</v>
      </c>
      <c r="EL86" s="228">
        <v>807.18</v>
      </c>
      <c r="EM86" s="231">
        <v>1507.75</v>
      </c>
      <c r="EN86" s="228">
        <v>103.1</v>
      </c>
      <c r="EO86" s="231">
        <v>4057.97</v>
      </c>
      <c r="EP86" s="231">
        <v>4843.3</v>
      </c>
      <c r="EQ86" s="228">
        <v>-785.33</v>
      </c>
      <c r="ER86" s="229">
        <v>-0.16209999999999999</v>
      </c>
      <c r="ES86" s="228">
        <v>714.79</v>
      </c>
      <c r="ET86" s="228">
        <v>456.72</v>
      </c>
      <c r="EU86" s="231">
        <v>2145.62</v>
      </c>
      <c r="EV86" s="231">
        <v>241870587</v>
      </c>
      <c r="EW86" s="231">
        <v>3317.12</v>
      </c>
      <c r="EX86" s="231">
        <v>4807.03</v>
      </c>
      <c r="EY86" s="231">
        <v>-1489.91</v>
      </c>
      <c r="EZ86" s="229">
        <v>-0.30990000000000001</v>
      </c>
      <c r="FA86" s="229">
        <v>0.21060000000000001</v>
      </c>
      <c r="FB86" s="227" t="s">
        <v>691</v>
      </c>
      <c r="FC86">
        <f t="shared" si="1"/>
        <v>1948</v>
      </c>
    </row>
    <row r="87" spans="1:159" ht="17.25" thickBot="1" x14ac:dyDescent="0.3">
      <c r="A87" s="226">
        <v>46168</v>
      </c>
      <c r="B87" s="227" t="s">
        <v>162</v>
      </c>
      <c r="C87" s="227" t="s">
        <v>692</v>
      </c>
      <c r="D87" s="228">
        <v>275</v>
      </c>
      <c r="E87" s="228">
        <v>0</v>
      </c>
      <c r="F87" s="231">
        <v>1897.4</v>
      </c>
      <c r="G87" s="231">
        <v>1891.2</v>
      </c>
      <c r="H87" s="228">
        <v>6.2</v>
      </c>
      <c r="I87" s="229">
        <v>3.3E-3</v>
      </c>
      <c r="J87" s="231">
        <v>1884</v>
      </c>
      <c r="K87" s="231">
        <v>1880.9</v>
      </c>
      <c r="L87" s="228">
        <v>3.1</v>
      </c>
      <c r="M87" s="229">
        <v>1.6000000000000001E-3</v>
      </c>
      <c r="N87" s="231">
        <v>1883.1</v>
      </c>
      <c r="O87" s="231">
        <v>1882.5</v>
      </c>
      <c r="P87" s="228">
        <v>0.6</v>
      </c>
      <c r="Q87" s="229">
        <v>2.9999999999999997E-4</v>
      </c>
      <c r="R87" s="231">
        <v>1897.4</v>
      </c>
      <c r="S87" s="231">
        <v>1891.2</v>
      </c>
      <c r="T87" s="228">
        <v>6.2</v>
      </c>
      <c r="U87" s="229">
        <v>3.3E-3</v>
      </c>
      <c r="V87" s="231">
        <v>1892.8</v>
      </c>
      <c r="W87" s="231">
        <v>1885</v>
      </c>
      <c r="X87" s="228">
        <v>7.8</v>
      </c>
      <c r="Y87" s="229">
        <v>4.1000000000000003E-3</v>
      </c>
      <c r="Z87" s="228">
        <v>13.4</v>
      </c>
      <c r="AA87" s="228">
        <v>1.6</v>
      </c>
      <c r="AB87" s="228">
        <v>11.8</v>
      </c>
      <c r="AC87" s="229">
        <v>7.1000000000000004E-3</v>
      </c>
      <c r="AD87" s="228">
        <v>-0.9</v>
      </c>
      <c r="AE87" s="228">
        <v>1.6</v>
      </c>
      <c r="AF87" s="228">
        <v>-2.5</v>
      </c>
      <c r="AG87" s="229">
        <v>-5.0000000000000001E-4</v>
      </c>
      <c r="AH87" s="228">
        <v>13.4</v>
      </c>
      <c r="AI87" s="228">
        <v>10.3</v>
      </c>
      <c r="AJ87" s="228">
        <v>3.1</v>
      </c>
      <c r="AK87" s="229">
        <v>7.1000000000000004E-3</v>
      </c>
      <c r="AL87" s="228">
        <v>8.8000000000000007</v>
      </c>
      <c r="AM87" s="228">
        <v>4.0999999999999996</v>
      </c>
      <c r="AN87" s="228">
        <v>4.7</v>
      </c>
      <c r="AO87" s="229">
        <v>4.7000000000000002E-3</v>
      </c>
      <c r="AP87" s="231">
        <v>1876.39</v>
      </c>
      <c r="AQ87" s="231">
        <v>1889.35</v>
      </c>
      <c r="AR87" s="228">
        <v>0</v>
      </c>
      <c r="AS87" s="228">
        <v>658</v>
      </c>
      <c r="AT87" s="230">
        <v>1585</v>
      </c>
      <c r="AU87" s="228">
        <v>-928</v>
      </c>
      <c r="AV87" s="229">
        <v>-0.58509999999999995</v>
      </c>
      <c r="AW87" s="228">
        <v>254</v>
      </c>
      <c r="AX87" s="228">
        <v>748</v>
      </c>
      <c r="AY87" s="228">
        <v>-494</v>
      </c>
      <c r="AZ87" s="229">
        <v>-0.66</v>
      </c>
      <c r="BA87" s="228">
        <v>400</v>
      </c>
      <c r="BB87" s="228">
        <v>829</v>
      </c>
      <c r="BC87" s="228">
        <v>-429</v>
      </c>
      <c r="BD87" s="229">
        <v>-0.51729999999999998</v>
      </c>
      <c r="BE87" s="228">
        <v>3</v>
      </c>
      <c r="BF87" s="228">
        <v>8</v>
      </c>
      <c r="BG87" s="228">
        <v>-5</v>
      </c>
      <c r="BH87" s="229">
        <v>-0.60250000000000004</v>
      </c>
      <c r="BI87" s="228">
        <v>183</v>
      </c>
      <c r="BJ87" s="228">
        <v>735</v>
      </c>
      <c r="BK87" s="228">
        <v>-552</v>
      </c>
      <c r="BL87" s="229">
        <v>-0.75070000000000003</v>
      </c>
      <c r="BM87" s="228">
        <v>66</v>
      </c>
      <c r="BN87" s="228">
        <v>225</v>
      </c>
      <c r="BO87" s="228">
        <v>-159</v>
      </c>
      <c r="BP87" s="229">
        <v>-0.70750000000000002</v>
      </c>
      <c r="BQ87" s="228">
        <v>907</v>
      </c>
      <c r="BR87" s="230">
        <v>2545</v>
      </c>
      <c r="BS87" s="230">
        <v>-1638</v>
      </c>
      <c r="BT87" s="229">
        <v>-0.64370000000000005</v>
      </c>
      <c r="BU87" s="230">
        <v>1178217</v>
      </c>
      <c r="BV87" s="230">
        <v>1407989</v>
      </c>
      <c r="BW87" s="230">
        <v>-229772</v>
      </c>
      <c r="BX87" s="229">
        <v>-0.16320000000000001</v>
      </c>
      <c r="BY87" s="230">
        <v>2058</v>
      </c>
      <c r="BZ87" s="230">
        <v>2281</v>
      </c>
      <c r="CA87" s="228">
        <v>-223</v>
      </c>
      <c r="CB87" s="229">
        <v>-9.7699999999999995E-2</v>
      </c>
      <c r="CC87" s="228">
        <v>88</v>
      </c>
      <c r="CD87" s="228">
        <v>291</v>
      </c>
      <c r="CE87" s="228">
        <v>-203</v>
      </c>
      <c r="CF87" s="229">
        <v>-0.69769999999999999</v>
      </c>
      <c r="CG87" s="230">
        <v>2042</v>
      </c>
      <c r="CH87" s="230">
        <v>1975</v>
      </c>
      <c r="CI87" s="228">
        <v>67</v>
      </c>
      <c r="CJ87" s="229">
        <v>3.3700000000000001E-2</v>
      </c>
      <c r="CK87" s="228">
        <v>17</v>
      </c>
      <c r="CL87" s="228">
        <v>15</v>
      </c>
      <c r="CM87" s="228">
        <v>2</v>
      </c>
      <c r="CN87" s="229">
        <v>0.11849999999999999</v>
      </c>
      <c r="CO87" s="228">
        <v>59</v>
      </c>
      <c r="CP87" s="228">
        <v>233</v>
      </c>
      <c r="CQ87" s="228">
        <v>-174</v>
      </c>
      <c r="CR87" s="229">
        <v>-0.746</v>
      </c>
      <c r="CS87" s="228">
        <v>43</v>
      </c>
      <c r="CT87" s="228">
        <v>177</v>
      </c>
      <c r="CU87" s="228">
        <v>-134</v>
      </c>
      <c r="CV87" s="229">
        <v>-0.75580000000000003</v>
      </c>
      <c r="CW87" s="230">
        <v>2161</v>
      </c>
      <c r="CX87" s="230">
        <v>2691</v>
      </c>
      <c r="CY87" s="228">
        <v>-530</v>
      </c>
      <c r="CZ87" s="229">
        <v>-0.1971</v>
      </c>
      <c r="DA87" s="228">
        <v>32.869999999999997</v>
      </c>
      <c r="DB87" s="228">
        <v>33.46</v>
      </c>
      <c r="DC87" s="228">
        <v>-0.59</v>
      </c>
      <c r="DD87" s="228">
        <v>-0.59</v>
      </c>
      <c r="DE87" s="228">
        <v>34.19</v>
      </c>
      <c r="DF87" s="228">
        <v>34.28</v>
      </c>
      <c r="DG87" s="228">
        <v>-1.32</v>
      </c>
      <c r="DH87" s="228">
        <v>-0.09</v>
      </c>
      <c r="DI87" s="228">
        <v>32.47</v>
      </c>
      <c r="DJ87" s="228">
        <v>33.29</v>
      </c>
      <c r="DK87" s="228">
        <v>-0.82</v>
      </c>
      <c r="DL87" s="228">
        <v>-0.82</v>
      </c>
      <c r="DM87" s="228">
        <v>33.78</v>
      </c>
      <c r="DN87" s="228">
        <v>33.770000000000003</v>
      </c>
      <c r="DO87" s="228">
        <v>0.01</v>
      </c>
      <c r="DP87" s="228">
        <v>0.01</v>
      </c>
      <c r="DQ87" s="228">
        <v>0.73</v>
      </c>
      <c r="DR87" s="228">
        <v>0.76</v>
      </c>
      <c r="DS87" s="228">
        <v>-0.03</v>
      </c>
      <c r="DT87" s="229">
        <v>-3.95E-2</v>
      </c>
      <c r="DU87" s="231">
        <v>1940</v>
      </c>
      <c r="DV87" s="231">
        <v>1700</v>
      </c>
      <c r="DW87" s="228">
        <v>0.36</v>
      </c>
      <c r="DX87" s="228">
        <v>0.31</v>
      </c>
      <c r="DY87" s="228">
        <v>0.05</v>
      </c>
      <c r="DZ87" s="229">
        <v>0.1613</v>
      </c>
      <c r="EA87" s="229">
        <v>0.95899999999999996</v>
      </c>
      <c r="EB87" s="230">
        <v>10488225</v>
      </c>
      <c r="EC87" s="229">
        <v>7.6E-3</v>
      </c>
      <c r="ED87" s="229">
        <v>0.95899999999999996</v>
      </c>
      <c r="EE87" s="228">
        <v>12.96</v>
      </c>
      <c r="EF87" s="229">
        <v>6.8999999999999999E-3</v>
      </c>
      <c r="EG87" s="230">
        <v>643413</v>
      </c>
      <c r="EH87" s="230">
        <v>774377</v>
      </c>
      <c r="EI87" s="229">
        <v>-0.1691</v>
      </c>
      <c r="EJ87" s="229">
        <v>0.54610000000000003</v>
      </c>
      <c r="EK87" s="228">
        <v>186.79</v>
      </c>
      <c r="EL87" s="228">
        <v>64.010000000000005</v>
      </c>
      <c r="EM87" s="228">
        <v>653.28</v>
      </c>
      <c r="EN87" s="228">
        <v>242.53</v>
      </c>
      <c r="EO87" s="228">
        <v>904.08</v>
      </c>
      <c r="EP87" s="231">
        <v>2547.27</v>
      </c>
      <c r="EQ87" s="231">
        <v>-1643.19</v>
      </c>
      <c r="ER87" s="229">
        <v>-0.64510000000000001</v>
      </c>
      <c r="ES87" s="228">
        <v>59.8</v>
      </c>
      <c r="ET87" s="228">
        <v>39.450000000000003</v>
      </c>
      <c r="EU87" s="231">
        <v>2058.35</v>
      </c>
      <c r="EV87" s="231">
        <v>21329205</v>
      </c>
      <c r="EW87" s="231">
        <v>2157.6</v>
      </c>
      <c r="EX87" s="231">
        <v>2672.53</v>
      </c>
      <c r="EY87" s="228">
        <v>-514.92999999999995</v>
      </c>
      <c r="EZ87" s="229">
        <v>-0.19270000000000001</v>
      </c>
      <c r="FA87" s="229">
        <v>0.53390000000000004</v>
      </c>
      <c r="FB87" s="227" t="s">
        <v>691</v>
      </c>
      <c r="FC87">
        <f t="shared" si="1"/>
        <v>1970</v>
      </c>
    </row>
    <row r="88" spans="1:159" ht="17.25" thickBot="1" x14ac:dyDescent="0.3">
      <c r="A88" s="226">
        <v>46168</v>
      </c>
      <c r="B88" s="227" t="s">
        <v>172</v>
      </c>
      <c r="C88" s="227" t="s">
        <v>232</v>
      </c>
      <c r="D88" s="228">
        <v>700</v>
      </c>
      <c r="E88" s="228">
        <v>0</v>
      </c>
      <c r="F88" s="231">
        <v>1290.2</v>
      </c>
      <c r="G88" s="231">
        <v>1300.3</v>
      </c>
      <c r="H88" s="228">
        <v>-10.1</v>
      </c>
      <c r="I88" s="229">
        <v>-7.7999999999999996E-3</v>
      </c>
      <c r="J88" s="231">
        <v>1279.0999999999999</v>
      </c>
      <c r="K88" s="231">
        <v>1291.8</v>
      </c>
      <c r="L88" s="228">
        <v>-12.7</v>
      </c>
      <c r="M88" s="229">
        <v>-9.7999999999999997E-3</v>
      </c>
      <c r="N88" s="231">
        <v>1279.4000000000001</v>
      </c>
      <c r="O88" s="231">
        <v>1290.9000000000001</v>
      </c>
      <c r="P88" s="228">
        <v>-11.5</v>
      </c>
      <c r="Q88" s="229">
        <v>-8.8999999999999999E-3</v>
      </c>
      <c r="R88" s="231">
        <v>1290.2</v>
      </c>
      <c r="S88" s="231">
        <v>1300.3</v>
      </c>
      <c r="T88" s="228">
        <v>-10.1</v>
      </c>
      <c r="U88" s="229">
        <v>-7.7999999999999996E-3</v>
      </c>
      <c r="V88" s="231">
        <v>1295.9000000000001</v>
      </c>
      <c r="W88" s="231">
        <v>1308.5999999999999</v>
      </c>
      <c r="X88" s="228">
        <v>-12.7</v>
      </c>
      <c r="Y88" s="229">
        <v>-9.7000000000000003E-3</v>
      </c>
      <c r="Z88" s="228">
        <v>11.1</v>
      </c>
      <c r="AA88" s="228">
        <v>-0.9</v>
      </c>
      <c r="AB88" s="228">
        <v>12</v>
      </c>
      <c r="AC88" s="229">
        <v>8.6999999999999994E-3</v>
      </c>
      <c r="AD88" s="228">
        <v>0.3</v>
      </c>
      <c r="AE88" s="228">
        <v>-0.9</v>
      </c>
      <c r="AF88" s="228">
        <v>1.2</v>
      </c>
      <c r="AG88" s="229">
        <v>2.0000000000000001E-4</v>
      </c>
      <c r="AH88" s="228">
        <v>11.1</v>
      </c>
      <c r="AI88" s="228">
        <v>8.5</v>
      </c>
      <c r="AJ88" s="228">
        <v>2.6</v>
      </c>
      <c r="AK88" s="229">
        <v>8.6999999999999994E-3</v>
      </c>
      <c r="AL88" s="228">
        <v>16.8</v>
      </c>
      <c r="AM88" s="228">
        <v>16.8</v>
      </c>
      <c r="AN88" s="228">
        <v>0</v>
      </c>
      <c r="AO88" s="229">
        <v>1.3100000000000001E-2</v>
      </c>
      <c r="AP88" s="231">
        <v>1289.1500000000001</v>
      </c>
      <c r="AQ88" s="231">
        <v>1299.4100000000001</v>
      </c>
      <c r="AR88" s="228">
        <v>0</v>
      </c>
      <c r="AS88" s="230">
        <v>5986</v>
      </c>
      <c r="AT88" s="230">
        <v>8076</v>
      </c>
      <c r="AU88" s="230">
        <v>-2090</v>
      </c>
      <c r="AV88" s="229">
        <v>-0.25879999999999997</v>
      </c>
      <c r="AW88" s="230">
        <v>2667</v>
      </c>
      <c r="AX88" s="230">
        <v>3983</v>
      </c>
      <c r="AY88" s="230">
        <v>-1316</v>
      </c>
      <c r="AZ88" s="229">
        <v>-0.33040000000000003</v>
      </c>
      <c r="BA88" s="230">
        <v>3261</v>
      </c>
      <c r="BB88" s="230">
        <v>4054</v>
      </c>
      <c r="BC88" s="228">
        <v>-793</v>
      </c>
      <c r="BD88" s="229">
        <v>-0.1956</v>
      </c>
      <c r="BE88" s="228">
        <v>59</v>
      </c>
      <c r="BF88" s="228">
        <v>40</v>
      </c>
      <c r="BG88" s="228">
        <v>19</v>
      </c>
      <c r="BH88" s="229">
        <v>0.4718</v>
      </c>
      <c r="BI88" s="230">
        <v>5448</v>
      </c>
      <c r="BJ88" s="230">
        <v>10357</v>
      </c>
      <c r="BK88" s="230">
        <v>-4909</v>
      </c>
      <c r="BL88" s="229">
        <v>-0.47399999999999998</v>
      </c>
      <c r="BM88" s="230">
        <v>3728</v>
      </c>
      <c r="BN88" s="230">
        <v>6084</v>
      </c>
      <c r="BO88" s="230">
        <v>-2355</v>
      </c>
      <c r="BP88" s="229">
        <v>-0.38719999999999999</v>
      </c>
      <c r="BQ88" s="230">
        <v>15163</v>
      </c>
      <c r="BR88" s="230">
        <v>24517</v>
      </c>
      <c r="BS88" s="230">
        <v>-9354</v>
      </c>
      <c r="BT88" s="229">
        <v>-0.38150000000000001</v>
      </c>
      <c r="BU88" s="230">
        <v>18565338</v>
      </c>
      <c r="BV88" s="230">
        <v>14277779</v>
      </c>
      <c r="BW88" s="230">
        <v>4287559</v>
      </c>
      <c r="BX88" s="229">
        <v>0.30030000000000001</v>
      </c>
      <c r="BY88" s="230">
        <v>20372</v>
      </c>
      <c r="BZ88" s="230">
        <v>21386</v>
      </c>
      <c r="CA88" s="230">
        <v>-1014</v>
      </c>
      <c r="CB88" s="229">
        <v>-4.7399999999999998E-2</v>
      </c>
      <c r="CC88" s="230">
        <v>2059</v>
      </c>
      <c r="CD88" s="230">
        <v>2917</v>
      </c>
      <c r="CE88" s="228">
        <v>-858</v>
      </c>
      <c r="CF88" s="229">
        <v>-0.29409999999999997</v>
      </c>
      <c r="CG88" s="230">
        <v>19675</v>
      </c>
      <c r="CH88" s="230">
        <v>17799</v>
      </c>
      <c r="CI88" s="230">
        <v>1877</v>
      </c>
      <c r="CJ88" s="229">
        <v>0.10539999999999999</v>
      </c>
      <c r="CK88" s="228">
        <v>696</v>
      </c>
      <c r="CL88" s="228">
        <v>671</v>
      </c>
      <c r="CM88" s="228">
        <v>25</v>
      </c>
      <c r="CN88" s="229">
        <v>3.7999999999999999E-2</v>
      </c>
      <c r="CO88" s="230">
        <v>1628</v>
      </c>
      <c r="CP88" s="230">
        <v>4371</v>
      </c>
      <c r="CQ88" s="230">
        <v>-2743</v>
      </c>
      <c r="CR88" s="229">
        <v>-0.62749999999999995</v>
      </c>
      <c r="CS88" s="230">
        <v>1740</v>
      </c>
      <c r="CT88" s="230">
        <v>3330</v>
      </c>
      <c r="CU88" s="230">
        <v>-1590</v>
      </c>
      <c r="CV88" s="229">
        <v>-0.47749999999999998</v>
      </c>
      <c r="CW88" s="230">
        <v>23740</v>
      </c>
      <c r="CX88" s="230">
        <v>29088</v>
      </c>
      <c r="CY88" s="230">
        <v>-5348</v>
      </c>
      <c r="CZ88" s="229">
        <v>-0.18390000000000001</v>
      </c>
      <c r="DA88" s="228">
        <v>17.82</v>
      </c>
      <c r="DB88" s="228">
        <v>18.77</v>
      </c>
      <c r="DC88" s="228">
        <v>-0.95</v>
      </c>
      <c r="DD88" s="228">
        <v>-0.95</v>
      </c>
      <c r="DE88" s="228">
        <v>23.97</v>
      </c>
      <c r="DF88" s="228">
        <v>23.99</v>
      </c>
      <c r="DG88" s="228">
        <v>-6.15</v>
      </c>
      <c r="DH88" s="228">
        <v>-0.02</v>
      </c>
      <c r="DI88" s="228">
        <v>17.93</v>
      </c>
      <c r="DJ88" s="228">
        <v>18.62</v>
      </c>
      <c r="DK88" s="228">
        <v>-0.69</v>
      </c>
      <c r="DL88" s="228">
        <v>-0.69</v>
      </c>
      <c r="DM88" s="228">
        <v>17.670000000000002</v>
      </c>
      <c r="DN88" s="228">
        <v>19.010000000000002</v>
      </c>
      <c r="DO88" s="228">
        <v>-1.34</v>
      </c>
      <c r="DP88" s="228">
        <v>-1.34</v>
      </c>
      <c r="DQ88" s="228">
        <v>1.07</v>
      </c>
      <c r="DR88" s="228">
        <v>0.76</v>
      </c>
      <c r="DS88" s="228">
        <v>0.31</v>
      </c>
      <c r="DT88" s="229">
        <v>0.40789999999999998</v>
      </c>
      <c r="DU88" s="231">
        <v>1300</v>
      </c>
      <c r="DV88" s="231">
        <v>1300</v>
      </c>
      <c r="DW88" s="228">
        <v>0.68</v>
      </c>
      <c r="DX88" s="228">
        <v>0.59</v>
      </c>
      <c r="DY88" s="228">
        <v>0.09</v>
      </c>
      <c r="DZ88" s="229">
        <v>0.1525</v>
      </c>
      <c r="EA88" s="229">
        <v>0.90820000000000001</v>
      </c>
      <c r="EB88" s="230">
        <v>143151400</v>
      </c>
      <c r="EC88" s="229">
        <v>8.3999999999999995E-3</v>
      </c>
      <c r="ED88" s="229">
        <v>0.90820000000000001</v>
      </c>
      <c r="EE88" s="228">
        <v>10.26</v>
      </c>
      <c r="EF88" s="229">
        <v>8.0000000000000002E-3</v>
      </c>
      <c r="EG88" s="230">
        <v>8095905</v>
      </c>
      <c r="EH88" s="230">
        <v>9952022</v>
      </c>
      <c r="EI88" s="229">
        <v>-0.1865</v>
      </c>
      <c r="EJ88" s="229">
        <v>0.43609999999999999</v>
      </c>
      <c r="EK88" s="231">
        <v>5643.06</v>
      </c>
      <c r="EL88" s="231">
        <v>3763.48</v>
      </c>
      <c r="EM88" s="231">
        <v>6008.26</v>
      </c>
      <c r="EN88" s="228">
        <v>816.05</v>
      </c>
      <c r="EO88" s="231">
        <v>15414.8</v>
      </c>
      <c r="EP88" s="231">
        <v>24551.54</v>
      </c>
      <c r="EQ88" s="231">
        <v>-9136.74</v>
      </c>
      <c r="ER88" s="229">
        <v>-0.37209999999999999</v>
      </c>
      <c r="ES88" s="231">
        <v>1665.62</v>
      </c>
      <c r="ET88" s="231">
        <v>1729.14</v>
      </c>
      <c r="EU88" s="231">
        <v>20374.66</v>
      </c>
      <c r="EV88" s="231">
        <v>668616020</v>
      </c>
      <c r="EW88" s="231">
        <v>23769.42</v>
      </c>
      <c r="EX88" s="231">
        <v>29298.53</v>
      </c>
      <c r="EY88" s="231">
        <v>-5529.11</v>
      </c>
      <c r="EZ88" s="229">
        <v>-0.18870000000000001</v>
      </c>
      <c r="FA88" s="229">
        <v>0.2752</v>
      </c>
      <c r="FB88" s="227" t="s">
        <v>567</v>
      </c>
      <c r="FC88">
        <f t="shared" si="1"/>
        <v>18313</v>
      </c>
    </row>
    <row r="89" spans="1:159" ht="17.25" thickBot="1" x14ac:dyDescent="0.3">
      <c r="A89" s="226">
        <v>46168</v>
      </c>
      <c r="B89" s="227" t="s">
        <v>175</v>
      </c>
      <c r="C89" s="227" t="s">
        <v>472</v>
      </c>
      <c r="D89" s="228">
        <v>325</v>
      </c>
      <c r="E89" s="228">
        <v>0</v>
      </c>
      <c r="F89" s="231">
        <v>1866.6</v>
      </c>
      <c r="G89" s="231">
        <v>1862.9</v>
      </c>
      <c r="H89" s="228">
        <v>3.7</v>
      </c>
      <c r="I89" s="229">
        <v>2E-3</v>
      </c>
      <c r="J89" s="231">
        <v>1860.3</v>
      </c>
      <c r="K89" s="231">
        <v>1854.3</v>
      </c>
      <c r="L89" s="228">
        <v>6</v>
      </c>
      <c r="M89" s="229">
        <v>3.2000000000000002E-3</v>
      </c>
      <c r="N89" s="231">
        <v>1864.9</v>
      </c>
      <c r="O89" s="231">
        <v>1858.1</v>
      </c>
      <c r="P89" s="228">
        <v>6.8</v>
      </c>
      <c r="Q89" s="229">
        <v>3.7000000000000002E-3</v>
      </c>
      <c r="R89" s="231">
        <v>1866.6</v>
      </c>
      <c r="S89" s="231">
        <v>1862.9</v>
      </c>
      <c r="T89" s="228">
        <v>3.7</v>
      </c>
      <c r="U89" s="229">
        <v>2E-3</v>
      </c>
      <c r="V89" s="231">
        <v>1874</v>
      </c>
      <c r="W89" s="231">
        <v>1875</v>
      </c>
      <c r="X89" s="228">
        <v>-1</v>
      </c>
      <c r="Y89" s="229">
        <v>-5.0000000000000001E-4</v>
      </c>
      <c r="Z89" s="228">
        <v>6.3</v>
      </c>
      <c r="AA89" s="228">
        <v>3.8</v>
      </c>
      <c r="AB89" s="228">
        <v>2.5</v>
      </c>
      <c r="AC89" s="229">
        <v>3.3999999999999998E-3</v>
      </c>
      <c r="AD89" s="228">
        <v>4.5999999999999996</v>
      </c>
      <c r="AE89" s="228">
        <v>3.8</v>
      </c>
      <c r="AF89" s="228">
        <v>0.8</v>
      </c>
      <c r="AG89" s="229">
        <v>2.5000000000000001E-3</v>
      </c>
      <c r="AH89" s="228">
        <v>6.3</v>
      </c>
      <c r="AI89" s="228">
        <v>8.6</v>
      </c>
      <c r="AJ89" s="228">
        <v>-2.2999999999999998</v>
      </c>
      <c r="AK89" s="229">
        <v>3.3999999999999998E-3</v>
      </c>
      <c r="AL89" s="228">
        <v>13.7</v>
      </c>
      <c r="AM89" s="228">
        <v>20.7</v>
      </c>
      <c r="AN89" s="228">
        <v>-7</v>
      </c>
      <c r="AO89" s="229">
        <v>7.4000000000000003E-3</v>
      </c>
      <c r="AP89" s="231">
        <v>1869.87</v>
      </c>
      <c r="AQ89" s="231">
        <v>1871.66</v>
      </c>
      <c r="AR89" s="228">
        <v>0</v>
      </c>
      <c r="AS89" s="228">
        <v>217</v>
      </c>
      <c r="AT89" s="228">
        <v>441</v>
      </c>
      <c r="AU89" s="228">
        <v>-224</v>
      </c>
      <c r="AV89" s="229">
        <v>-0.50700000000000001</v>
      </c>
      <c r="AW89" s="228">
        <v>108</v>
      </c>
      <c r="AX89" s="228">
        <v>216</v>
      </c>
      <c r="AY89" s="228">
        <v>-108</v>
      </c>
      <c r="AZ89" s="229">
        <v>-0.50129999999999997</v>
      </c>
      <c r="BA89" s="228">
        <v>108</v>
      </c>
      <c r="BB89" s="228">
        <v>221</v>
      </c>
      <c r="BC89" s="228">
        <v>-113</v>
      </c>
      <c r="BD89" s="229">
        <v>-0.51170000000000004</v>
      </c>
      <c r="BE89" s="228">
        <v>2</v>
      </c>
      <c r="BF89" s="228">
        <v>4</v>
      </c>
      <c r="BG89" s="228">
        <v>-2</v>
      </c>
      <c r="BH89" s="229">
        <v>-0.5625</v>
      </c>
      <c r="BI89" s="228">
        <v>430</v>
      </c>
      <c r="BJ89" s="228">
        <v>232</v>
      </c>
      <c r="BK89" s="228">
        <v>199</v>
      </c>
      <c r="BL89" s="229">
        <v>0.85660000000000003</v>
      </c>
      <c r="BM89" s="228">
        <v>172</v>
      </c>
      <c r="BN89" s="228">
        <v>47</v>
      </c>
      <c r="BO89" s="228">
        <v>125</v>
      </c>
      <c r="BP89" s="229">
        <v>2.6387999999999998</v>
      </c>
      <c r="BQ89" s="228">
        <v>820</v>
      </c>
      <c r="BR89" s="228">
        <v>720</v>
      </c>
      <c r="BS89" s="228">
        <v>99</v>
      </c>
      <c r="BT89" s="229">
        <v>0.1381</v>
      </c>
      <c r="BU89" s="230">
        <v>285063</v>
      </c>
      <c r="BV89" s="230">
        <v>395816</v>
      </c>
      <c r="BW89" s="230">
        <v>-110753</v>
      </c>
      <c r="BX89" s="229">
        <v>-0.27979999999999999</v>
      </c>
      <c r="BY89" s="228">
        <v>869</v>
      </c>
      <c r="BZ89" s="228">
        <v>892</v>
      </c>
      <c r="CA89" s="228">
        <v>-24</v>
      </c>
      <c r="CB89" s="229">
        <v>-2.64E-2</v>
      </c>
      <c r="CC89" s="228">
        <v>25</v>
      </c>
      <c r="CD89" s="228">
        <v>64</v>
      </c>
      <c r="CE89" s="228">
        <v>-39</v>
      </c>
      <c r="CF89" s="229">
        <v>-0.60429999999999995</v>
      </c>
      <c r="CG89" s="228">
        <v>819</v>
      </c>
      <c r="CH89" s="228">
        <v>779</v>
      </c>
      <c r="CI89" s="228">
        <v>39</v>
      </c>
      <c r="CJ89" s="229">
        <v>5.0200000000000002E-2</v>
      </c>
      <c r="CK89" s="228">
        <v>50</v>
      </c>
      <c r="CL89" s="228">
        <v>49</v>
      </c>
      <c r="CM89" s="228">
        <v>2</v>
      </c>
      <c r="CN89" s="229">
        <v>3.1199999999999999E-2</v>
      </c>
      <c r="CO89" s="228">
        <v>50</v>
      </c>
      <c r="CP89" s="228">
        <v>225</v>
      </c>
      <c r="CQ89" s="228">
        <v>-175</v>
      </c>
      <c r="CR89" s="229">
        <v>-0.77910000000000001</v>
      </c>
      <c r="CS89" s="228">
        <v>32</v>
      </c>
      <c r="CT89" s="228">
        <v>97</v>
      </c>
      <c r="CU89" s="228">
        <v>-65</v>
      </c>
      <c r="CV89" s="229">
        <v>-0.6694</v>
      </c>
      <c r="CW89" s="228">
        <v>950</v>
      </c>
      <c r="CX89" s="230">
        <v>1214</v>
      </c>
      <c r="CY89" s="228">
        <v>-264</v>
      </c>
      <c r="CZ89" s="229">
        <v>-0.21729999999999999</v>
      </c>
      <c r="DA89" s="228">
        <v>22.01</v>
      </c>
      <c r="DB89" s="228">
        <v>22.28</v>
      </c>
      <c r="DC89" s="228">
        <v>-0.27</v>
      </c>
      <c r="DD89" s="228">
        <v>-0.27</v>
      </c>
      <c r="DE89" s="228">
        <v>27.02</v>
      </c>
      <c r="DF89" s="228">
        <v>27.08</v>
      </c>
      <c r="DG89" s="228">
        <v>-5.01</v>
      </c>
      <c r="DH89" s="228">
        <v>-0.06</v>
      </c>
      <c r="DI89" s="228">
        <v>22.03</v>
      </c>
      <c r="DJ89" s="228">
        <v>22.05</v>
      </c>
      <c r="DK89" s="228">
        <v>-0.02</v>
      </c>
      <c r="DL89" s="228">
        <v>-0.02</v>
      </c>
      <c r="DM89" s="228">
        <v>21.96</v>
      </c>
      <c r="DN89" s="228">
        <v>24.17</v>
      </c>
      <c r="DO89" s="228">
        <v>-2.21</v>
      </c>
      <c r="DP89" s="228">
        <v>-2.21</v>
      </c>
      <c r="DQ89" s="228">
        <v>0.64</v>
      </c>
      <c r="DR89" s="228">
        <v>0.43</v>
      </c>
      <c r="DS89" s="228">
        <v>0.21</v>
      </c>
      <c r="DT89" s="229">
        <v>0.4884</v>
      </c>
      <c r="DU89" s="231">
        <v>1900</v>
      </c>
      <c r="DV89" s="231">
        <v>1740</v>
      </c>
      <c r="DW89" s="228">
        <v>0.4</v>
      </c>
      <c r="DX89" s="228">
        <v>0.2</v>
      </c>
      <c r="DY89" s="228">
        <v>0.2</v>
      </c>
      <c r="DZ89" s="229">
        <v>1</v>
      </c>
      <c r="EA89" s="229">
        <v>0.97160000000000002</v>
      </c>
      <c r="EB89" s="230">
        <v>4436250</v>
      </c>
      <c r="EC89" s="229">
        <v>8.9999999999999998E-4</v>
      </c>
      <c r="ED89" s="229">
        <v>0.97160000000000002</v>
      </c>
      <c r="EE89" s="228">
        <v>1.79</v>
      </c>
      <c r="EF89" s="229">
        <v>1E-3</v>
      </c>
      <c r="EG89" s="230">
        <v>113593</v>
      </c>
      <c r="EH89" s="230">
        <v>279892</v>
      </c>
      <c r="EI89" s="229">
        <v>-0.59419999999999995</v>
      </c>
      <c r="EJ89" s="229">
        <v>0.39850000000000002</v>
      </c>
      <c r="EK89" s="228">
        <v>439.39</v>
      </c>
      <c r="EL89" s="228">
        <v>167.09</v>
      </c>
      <c r="EM89" s="228">
        <v>217.98</v>
      </c>
      <c r="EN89" s="228">
        <v>64.92</v>
      </c>
      <c r="EO89" s="228">
        <v>824.46</v>
      </c>
      <c r="EP89" s="228">
        <v>721.33</v>
      </c>
      <c r="EQ89" s="228">
        <v>103.12</v>
      </c>
      <c r="ER89" s="229">
        <v>0.14299999999999999</v>
      </c>
      <c r="ES89" s="228">
        <v>50.98</v>
      </c>
      <c r="ET89" s="228">
        <v>30.74</v>
      </c>
      <c r="EU89" s="228">
        <v>868.91</v>
      </c>
      <c r="EV89" s="231">
        <v>27086521</v>
      </c>
      <c r="EW89" s="228">
        <v>950.64</v>
      </c>
      <c r="EX89" s="231">
        <v>1210.17</v>
      </c>
      <c r="EY89" s="228">
        <v>-259.52999999999997</v>
      </c>
      <c r="EZ89" s="229">
        <v>-0.2145</v>
      </c>
      <c r="FA89" s="229">
        <v>0.188</v>
      </c>
      <c r="FB89" s="227" t="s">
        <v>691</v>
      </c>
      <c r="FC89">
        <f t="shared" si="1"/>
        <v>844</v>
      </c>
    </row>
    <row r="90" spans="1:159" ht="17.25" thickBot="1" x14ac:dyDescent="0.3">
      <c r="A90" s="226">
        <v>46168</v>
      </c>
      <c r="B90" s="227" t="s">
        <v>175</v>
      </c>
      <c r="C90" s="227" t="s">
        <v>233</v>
      </c>
      <c r="D90" s="228">
        <v>925</v>
      </c>
      <c r="E90" s="228">
        <v>0</v>
      </c>
      <c r="F90" s="228">
        <v>524.1</v>
      </c>
      <c r="G90" s="228">
        <v>528.54999999999995</v>
      </c>
      <c r="H90" s="228">
        <v>-4.45</v>
      </c>
      <c r="I90" s="229">
        <v>-8.3999999999999995E-3</v>
      </c>
      <c r="J90" s="228">
        <v>522.70000000000005</v>
      </c>
      <c r="K90" s="228">
        <v>526.70000000000005</v>
      </c>
      <c r="L90" s="228">
        <v>-4</v>
      </c>
      <c r="M90" s="229">
        <v>-7.6E-3</v>
      </c>
      <c r="N90" s="228">
        <v>522.4</v>
      </c>
      <c r="O90" s="228">
        <v>527</v>
      </c>
      <c r="P90" s="228">
        <v>-4.5999999999999996</v>
      </c>
      <c r="Q90" s="229">
        <v>-8.6999999999999994E-3</v>
      </c>
      <c r="R90" s="228">
        <v>524.1</v>
      </c>
      <c r="S90" s="228">
        <v>528.54999999999995</v>
      </c>
      <c r="T90" s="228">
        <v>-4.45</v>
      </c>
      <c r="U90" s="229">
        <v>-8.3999999999999995E-3</v>
      </c>
      <c r="V90" s="228">
        <v>527.29999999999995</v>
      </c>
      <c r="W90" s="228">
        <v>531.9</v>
      </c>
      <c r="X90" s="228">
        <v>-4.5999999999999996</v>
      </c>
      <c r="Y90" s="229">
        <v>-8.6E-3</v>
      </c>
      <c r="Z90" s="228">
        <v>1.4</v>
      </c>
      <c r="AA90" s="228">
        <v>0.3</v>
      </c>
      <c r="AB90" s="228">
        <v>1.1000000000000001</v>
      </c>
      <c r="AC90" s="229">
        <v>2.7000000000000001E-3</v>
      </c>
      <c r="AD90" s="228">
        <v>-0.3</v>
      </c>
      <c r="AE90" s="228">
        <v>0.3</v>
      </c>
      <c r="AF90" s="228">
        <v>-0.6</v>
      </c>
      <c r="AG90" s="229">
        <v>-5.9999999999999995E-4</v>
      </c>
      <c r="AH90" s="228">
        <v>1.4</v>
      </c>
      <c r="AI90" s="228">
        <v>1.85</v>
      </c>
      <c r="AJ90" s="228">
        <v>-0.45</v>
      </c>
      <c r="AK90" s="229">
        <v>2.7000000000000001E-3</v>
      </c>
      <c r="AL90" s="228">
        <v>4.5999999999999996</v>
      </c>
      <c r="AM90" s="228">
        <v>5.2</v>
      </c>
      <c r="AN90" s="228">
        <v>-0.6</v>
      </c>
      <c r="AO90" s="229">
        <v>8.8000000000000005E-3</v>
      </c>
      <c r="AP90" s="228">
        <v>521.96</v>
      </c>
      <c r="AQ90" s="228">
        <v>523.38</v>
      </c>
      <c r="AR90" s="228">
        <v>0</v>
      </c>
      <c r="AS90" s="228">
        <v>296</v>
      </c>
      <c r="AT90" s="228">
        <v>519</v>
      </c>
      <c r="AU90" s="228">
        <v>-222</v>
      </c>
      <c r="AV90" s="229">
        <v>-0.42870000000000003</v>
      </c>
      <c r="AW90" s="228">
        <v>114</v>
      </c>
      <c r="AX90" s="228">
        <v>238</v>
      </c>
      <c r="AY90" s="228">
        <v>-124</v>
      </c>
      <c r="AZ90" s="229">
        <v>-0.51949999999999996</v>
      </c>
      <c r="BA90" s="228">
        <v>181</v>
      </c>
      <c r="BB90" s="228">
        <v>278</v>
      </c>
      <c r="BC90" s="228">
        <v>-97</v>
      </c>
      <c r="BD90" s="229">
        <v>-0.34989999999999999</v>
      </c>
      <c r="BE90" s="228">
        <v>1</v>
      </c>
      <c r="BF90" s="228">
        <v>3</v>
      </c>
      <c r="BG90" s="228">
        <v>-2</v>
      </c>
      <c r="BH90" s="229">
        <v>-0.55169999999999997</v>
      </c>
      <c r="BI90" s="228">
        <v>63</v>
      </c>
      <c r="BJ90" s="228">
        <v>215</v>
      </c>
      <c r="BK90" s="228">
        <v>-153</v>
      </c>
      <c r="BL90" s="229">
        <v>-0.70979999999999999</v>
      </c>
      <c r="BM90" s="228">
        <v>53</v>
      </c>
      <c r="BN90" s="228">
        <v>107</v>
      </c>
      <c r="BO90" s="228">
        <v>-54</v>
      </c>
      <c r="BP90" s="229">
        <v>-0.50109999999999999</v>
      </c>
      <c r="BQ90" s="228">
        <v>412</v>
      </c>
      <c r="BR90" s="228">
        <v>841</v>
      </c>
      <c r="BS90" s="228">
        <v>-429</v>
      </c>
      <c r="BT90" s="229">
        <v>-0.50990000000000002</v>
      </c>
      <c r="BU90" s="230">
        <v>742536</v>
      </c>
      <c r="BV90" s="230">
        <v>1062523</v>
      </c>
      <c r="BW90" s="230">
        <v>-319987</v>
      </c>
      <c r="BX90" s="229">
        <v>-0.30120000000000002</v>
      </c>
      <c r="BY90" s="228">
        <v>842</v>
      </c>
      <c r="BZ90" s="228">
        <v>942</v>
      </c>
      <c r="CA90" s="228">
        <v>-100</v>
      </c>
      <c r="CB90" s="229">
        <v>-0.10639999999999999</v>
      </c>
      <c r="CC90" s="228">
        <v>126</v>
      </c>
      <c r="CD90" s="228">
        <v>173</v>
      </c>
      <c r="CE90" s="228">
        <v>-47</v>
      </c>
      <c r="CF90" s="229">
        <v>-0.27139999999999997</v>
      </c>
      <c r="CG90" s="228">
        <v>821</v>
      </c>
      <c r="CH90" s="228">
        <v>748</v>
      </c>
      <c r="CI90" s="228">
        <v>73</v>
      </c>
      <c r="CJ90" s="229">
        <v>9.69E-2</v>
      </c>
      <c r="CK90" s="228">
        <v>21</v>
      </c>
      <c r="CL90" s="228">
        <v>21</v>
      </c>
      <c r="CM90" s="228">
        <v>1</v>
      </c>
      <c r="CN90" s="229">
        <v>2.5899999999999999E-2</v>
      </c>
      <c r="CO90" s="228">
        <v>60</v>
      </c>
      <c r="CP90" s="228">
        <v>367</v>
      </c>
      <c r="CQ90" s="228">
        <v>-307</v>
      </c>
      <c r="CR90" s="229">
        <v>-0.83740000000000003</v>
      </c>
      <c r="CS90" s="228">
        <v>61</v>
      </c>
      <c r="CT90" s="228">
        <v>328</v>
      </c>
      <c r="CU90" s="228">
        <v>-267</v>
      </c>
      <c r="CV90" s="229">
        <v>-0.81430000000000002</v>
      </c>
      <c r="CW90" s="228">
        <v>962</v>
      </c>
      <c r="CX90" s="230">
        <v>1637</v>
      </c>
      <c r="CY90" s="228">
        <v>-675</v>
      </c>
      <c r="CZ90" s="229">
        <v>-0.41210000000000002</v>
      </c>
      <c r="DA90" s="228">
        <v>26.28</v>
      </c>
      <c r="DB90" s="228">
        <v>26.3</v>
      </c>
      <c r="DC90" s="228">
        <v>-0.02</v>
      </c>
      <c r="DD90" s="228">
        <v>-0.02</v>
      </c>
      <c r="DE90" s="228">
        <v>30.26</v>
      </c>
      <c r="DF90" s="228">
        <v>30.32</v>
      </c>
      <c r="DG90" s="228">
        <v>-3.98</v>
      </c>
      <c r="DH90" s="228">
        <v>-0.06</v>
      </c>
      <c r="DI90" s="228">
        <v>26.29</v>
      </c>
      <c r="DJ90" s="228">
        <v>26.21</v>
      </c>
      <c r="DK90" s="228">
        <v>0.08</v>
      </c>
      <c r="DL90" s="228">
        <v>0.08</v>
      </c>
      <c r="DM90" s="228">
        <v>26.26</v>
      </c>
      <c r="DN90" s="228">
        <v>26.41</v>
      </c>
      <c r="DO90" s="228">
        <v>-0.15</v>
      </c>
      <c r="DP90" s="228">
        <v>-0.15</v>
      </c>
      <c r="DQ90" s="228">
        <v>1.02</v>
      </c>
      <c r="DR90" s="228">
        <v>0.89</v>
      </c>
      <c r="DS90" s="228">
        <v>0.13</v>
      </c>
      <c r="DT90" s="229">
        <v>0.14610000000000001</v>
      </c>
      <c r="DU90" s="228">
        <v>510</v>
      </c>
      <c r="DV90" s="228">
        <v>560</v>
      </c>
      <c r="DW90" s="228">
        <v>0.85</v>
      </c>
      <c r="DX90" s="228">
        <v>0.5</v>
      </c>
      <c r="DY90" s="228">
        <v>0.35</v>
      </c>
      <c r="DZ90" s="229">
        <v>0.7</v>
      </c>
      <c r="EA90" s="229">
        <v>0.86960000000000004</v>
      </c>
      <c r="EB90" s="230">
        <v>14668650</v>
      </c>
      <c r="EC90" s="229">
        <v>3.3E-3</v>
      </c>
      <c r="ED90" s="229">
        <v>0.86960000000000004</v>
      </c>
      <c r="EE90" s="228">
        <v>1.42</v>
      </c>
      <c r="EF90" s="229">
        <v>2.7000000000000001E-3</v>
      </c>
      <c r="EG90" s="230">
        <v>334487</v>
      </c>
      <c r="EH90" s="230">
        <v>620529</v>
      </c>
      <c r="EI90" s="229">
        <v>-0.46100000000000002</v>
      </c>
      <c r="EJ90" s="229">
        <v>0.45050000000000001</v>
      </c>
      <c r="EK90" s="228">
        <v>65.08</v>
      </c>
      <c r="EL90" s="228">
        <v>53.62</v>
      </c>
      <c r="EM90" s="228">
        <v>295.64999999999998</v>
      </c>
      <c r="EN90" s="228">
        <v>86.95</v>
      </c>
      <c r="EO90" s="228">
        <v>414.35</v>
      </c>
      <c r="EP90" s="228">
        <v>851.48</v>
      </c>
      <c r="EQ90" s="228">
        <v>-437.13</v>
      </c>
      <c r="ER90" s="229">
        <v>-0.51339999999999997</v>
      </c>
      <c r="ES90" s="228">
        <v>61.36</v>
      </c>
      <c r="ET90" s="228">
        <v>58.82</v>
      </c>
      <c r="EU90" s="228">
        <v>841.97</v>
      </c>
      <c r="EV90" s="231">
        <v>58892926</v>
      </c>
      <c r="EW90" s="228">
        <v>962.14</v>
      </c>
      <c r="EX90" s="231">
        <v>1657.21</v>
      </c>
      <c r="EY90" s="228">
        <v>-695.07</v>
      </c>
      <c r="EZ90" s="229">
        <v>-0.4194</v>
      </c>
      <c r="FA90" s="229">
        <v>0.31180000000000002</v>
      </c>
      <c r="FB90" s="227" t="s">
        <v>567</v>
      </c>
      <c r="FC90">
        <f t="shared" si="1"/>
        <v>716</v>
      </c>
    </row>
    <row r="91" spans="1:159" ht="17.25" thickBot="1" x14ac:dyDescent="0.3">
      <c r="A91" s="226">
        <v>46168</v>
      </c>
      <c r="B91" s="227" t="s">
        <v>188</v>
      </c>
      <c r="C91" s="227" t="s">
        <v>234</v>
      </c>
      <c r="D91" s="228">
        <v>71475</v>
      </c>
      <c r="E91" s="228">
        <v>0</v>
      </c>
      <c r="F91" s="228">
        <v>14.22</v>
      </c>
      <c r="G91" s="228">
        <v>14.17</v>
      </c>
      <c r="H91" s="228">
        <v>0.05</v>
      </c>
      <c r="I91" s="229">
        <v>3.5000000000000001E-3</v>
      </c>
      <c r="J91" s="228">
        <v>14.14</v>
      </c>
      <c r="K91" s="228">
        <v>14.04</v>
      </c>
      <c r="L91" s="228">
        <v>0.1</v>
      </c>
      <c r="M91" s="229">
        <v>7.1000000000000004E-3</v>
      </c>
      <c r="N91" s="228">
        <v>14.11</v>
      </c>
      <c r="O91" s="228">
        <v>14.07</v>
      </c>
      <c r="P91" s="228">
        <v>0.04</v>
      </c>
      <c r="Q91" s="229">
        <v>2.8E-3</v>
      </c>
      <c r="R91" s="228">
        <v>14.22</v>
      </c>
      <c r="S91" s="228">
        <v>14.17</v>
      </c>
      <c r="T91" s="228">
        <v>0.05</v>
      </c>
      <c r="U91" s="229">
        <v>3.5000000000000001E-3</v>
      </c>
      <c r="V91" s="228">
        <v>14.29</v>
      </c>
      <c r="W91" s="228">
        <v>14.25</v>
      </c>
      <c r="X91" s="228">
        <v>0.04</v>
      </c>
      <c r="Y91" s="229">
        <v>2.8E-3</v>
      </c>
      <c r="Z91" s="228">
        <v>0.08</v>
      </c>
      <c r="AA91" s="228">
        <v>0.03</v>
      </c>
      <c r="AB91" s="228">
        <v>0.05</v>
      </c>
      <c r="AC91" s="229">
        <v>5.7000000000000002E-3</v>
      </c>
      <c r="AD91" s="228">
        <v>-0.03</v>
      </c>
      <c r="AE91" s="228">
        <v>0.03</v>
      </c>
      <c r="AF91" s="228">
        <v>-0.06</v>
      </c>
      <c r="AG91" s="229">
        <v>-2.0999999999999999E-3</v>
      </c>
      <c r="AH91" s="228">
        <v>0.08</v>
      </c>
      <c r="AI91" s="228">
        <v>0.13</v>
      </c>
      <c r="AJ91" s="228">
        <v>-0.05</v>
      </c>
      <c r="AK91" s="229">
        <v>5.7000000000000002E-3</v>
      </c>
      <c r="AL91" s="228">
        <v>0.15</v>
      </c>
      <c r="AM91" s="228">
        <v>0.21</v>
      </c>
      <c r="AN91" s="228">
        <v>-0.06</v>
      </c>
      <c r="AO91" s="229">
        <v>1.06E-2</v>
      </c>
      <c r="AP91" s="228">
        <v>14.1</v>
      </c>
      <c r="AQ91" s="228">
        <v>14.2</v>
      </c>
      <c r="AR91" s="228">
        <v>0</v>
      </c>
      <c r="AS91" s="230">
        <v>3873</v>
      </c>
      <c r="AT91" s="230">
        <v>4233</v>
      </c>
      <c r="AU91" s="228">
        <v>-360</v>
      </c>
      <c r="AV91" s="229">
        <v>-8.5099999999999995E-2</v>
      </c>
      <c r="AW91" s="230">
        <v>1685</v>
      </c>
      <c r="AX91" s="230">
        <v>1929</v>
      </c>
      <c r="AY91" s="228">
        <v>-243</v>
      </c>
      <c r="AZ91" s="229">
        <v>-0.12620000000000001</v>
      </c>
      <c r="BA91" s="230">
        <v>2140</v>
      </c>
      <c r="BB91" s="230">
        <v>2273</v>
      </c>
      <c r="BC91" s="228">
        <v>-134</v>
      </c>
      <c r="BD91" s="229">
        <v>-5.8799999999999998E-2</v>
      </c>
      <c r="BE91" s="228">
        <v>48</v>
      </c>
      <c r="BF91" s="228">
        <v>31</v>
      </c>
      <c r="BG91" s="228">
        <v>17</v>
      </c>
      <c r="BH91" s="229">
        <v>0.54400000000000004</v>
      </c>
      <c r="BI91" s="230">
        <v>2087</v>
      </c>
      <c r="BJ91" s="230">
        <v>2584</v>
      </c>
      <c r="BK91" s="228">
        <v>-497</v>
      </c>
      <c r="BL91" s="229">
        <v>-0.1923</v>
      </c>
      <c r="BM91" s="228">
        <v>754</v>
      </c>
      <c r="BN91" s="228">
        <v>940</v>
      </c>
      <c r="BO91" s="228">
        <v>-186</v>
      </c>
      <c r="BP91" s="229">
        <v>-0.19789999999999999</v>
      </c>
      <c r="BQ91" s="230">
        <v>6714</v>
      </c>
      <c r="BR91" s="230">
        <v>7757</v>
      </c>
      <c r="BS91" s="230">
        <v>-1043</v>
      </c>
      <c r="BT91" s="229">
        <v>-0.13450000000000001</v>
      </c>
      <c r="BU91" s="230">
        <v>794452348</v>
      </c>
      <c r="BV91" s="230">
        <v>834282207</v>
      </c>
      <c r="BW91" s="230">
        <v>-39829859</v>
      </c>
      <c r="BX91" s="229">
        <v>-4.7699999999999999E-2</v>
      </c>
      <c r="BY91" s="230">
        <v>7906</v>
      </c>
      <c r="BZ91" s="230">
        <v>8195</v>
      </c>
      <c r="CA91" s="228">
        <v>-288</v>
      </c>
      <c r="CB91" s="229">
        <v>-3.5200000000000002E-2</v>
      </c>
      <c r="CC91" s="228">
        <v>341</v>
      </c>
      <c r="CD91" s="230">
        <v>1651</v>
      </c>
      <c r="CE91" s="230">
        <v>-1311</v>
      </c>
      <c r="CF91" s="229">
        <v>-0.79369999999999996</v>
      </c>
      <c r="CG91" s="230">
        <v>7735</v>
      </c>
      <c r="CH91" s="230">
        <v>6387</v>
      </c>
      <c r="CI91" s="230">
        <v>1348</v>
      </c>
      <c r="CJ91" s="229">
        <v>0.21110000000000001</v>
      </c>
      <c r="CK91" s="228">
        <v>171</v>
      </c>
      <c r="CL91" s="228">
        <v>156</v>
      </c>
      <c r="CM91" s="228">
        <v>15</v>
      </c>
      <c r="CN91" s="229">
        <v>9.3600000000000003E-2</v>
      </c>
      <c r="CO91" s="230">
        <v>1743</v>
      </c>
      <c r="CP91" s="230">
        <v>2717</v>
      </c>
      <c r="CQ91" s="228">
        <v>-974</v>
      </c>
      <c r="CR91" s="229">
        <v>-0.3584</v>
      </c>
      <c r="CS91" s="228">
        <v>771</v>
      </c>
      <c r="CT91" s="230">
        <v>1694</v>
      </c>
      <c r="CU91" s="228">
        <v>-923</v>
      </c>
      <c r="CV91" s="229">
        <v>-0.54500000000000004</v>
      </c>
      <c r="CW91" s="230">
        <v>10421</v>
      </c>
      <c r="CX91" s="230">
        <v>12606</v>
      </c>
      <c r="CY91" s="230">
        <v>-2186</v>
      </c>
      <c r="CZ91" s="229">
        <v>-0.1734</v>
      </c>
      <c r="DA91" s="228">
        <v>45.31</v>
      </c>
      <c r="DB91" s="228">
        <v>46.41</v>
      </c>
      <c r="DC91" s="228">
        <v>-1.1000000000000001</v>
      </c>
      <c r="DD91" s="228">
        <v>-1.1000000000000001</v>
      </c>
      <c r="DE91" s="228">
        <v>63.62</v>
      </c>
      <c r="DF91" s="228">
        <v>63.78</v>
      </c>
      <c r="DG91" s="228">
        <v>-18.309999999999999</v>
      </c>
      <c r="DH91" s="228">
        <v>-0.16</v>
      </c>
      <c r="DI91" s="228">
        <v>45.33</v>
      </c>
      <c r="DJ91" s="228">
        <v>46.34</v>
      </c>
      <c r="DK91" s="228">
        <v>-1.01</v>
      </c>
      <c r="DL91" s="228">
        <v>-1.01</v>
      </c>
      <c r="DM91" s="228">
        <v>45.27</v>
      </c>
      <c r="DN91" s="228">
        <v>46.58</v>
      </c>
      <c r="DO91" s="228">
        <v>-1.31</v>
      </c>
      <c r="DP91" s="228">
        <v>-1.31</v>
      </c>
      <c r="DQ91" s="228">
        <v>0.44</v>
      </c>
      <c r="DR91" s="228">
        <v>0.62</v>
      </c>
      <c r="DS91" s="228">
        <v>-0.18</v>
      </c>
      <c r="DT91" s="229">
        <v>-0.2903</v>
      </c>
      <c r="DU91" s="228">
        <v>14</v>
      </c>
      <c r="DV91" s="228">
        <v>12</v>
      </c>
      <c r="DW91" s="228">
        <v>0.36</v>
      </c>
      <c r="DX91" s="228">
        <v>0.36</v>
      </c>
      <c r="DY91" s="228">
        <v>0</v>
      </c>
      <c r="DZ91" s="229">
        <v>0</v>
      </c>
      <c r="EA91" s="229">
        <v>0.9587</v>
      </c>
      <c r="EB91" s="230">
        <v>4601631975</v>
      </c>
      <c r="EC91" s="229">
        <v>7.7999999999999996E-3</v>
      </c>
      <c r="ED91" s="229">
        <v>0.9587</v>
      </c>
      <c r="EE91" s="228">
        <v>0.1</v>
      </c>
      <c r="EF91" s="229">
        <v>7.1000000000000004E-3</v>
      </c>
      <c r="EG91" s="230">
        <v>210190079</v>
      </c>
      <c r="EH91" s="230">
        <v>254115518</v>
      </c>
      <c r="EI91" s="229">
        <v>-0.1729</v>
      </c>
      <c r="EJ91" s="229">
        <v>0.2646</v>
      </c>
      <c r="EK91" s="231">
        <v>2236.12</v>
      </c>
      <c r="EL91" s="228">
        <v>728.13</v>
      </c>
      <c r="EM91" s="231">
        <v>3855.5</v>
      </c>
      <c r="EN91" s="228">
        <v>343.1</v>
      </c>
      <c r="EO91" s="231">
        <v>6819.75</v>
      </c>
      <c r="EP91" s="231">
        <v>7772.91</v>
      </c>
      <c r="EQ91" s="228">
        <v>-953.16</v>
      </c>
      <c r="ER91" s="229">
        <v>-0.1226</v>
      </c>
      <c r="ES91" s="231">
        <v>1767.23</v>
      </c>
      <c r="ET91" s="228">
        <v>676.86</v>
      </c>
      <c r="EU91" s="231">
        <v>7907.22</v>
      </c>
      <c r="EV91" s="231">
        <v>12096038468</v>
      </c>
      <c r="EW91" s="231">
        <v>10351.31</v>
      </c>
      <c r="EX91" s="231">
        <v>12185.03</v>
      </c>
      <c r="EY91" s="231">
        <v>-1833.72</v>
      </c>
      <c r="EZ91" s="229">
        <v>-0.15049999999999999</v>
      </c>
      <c r="FA91" s="229">
        <v>0.60580000000000001</v>
      </c>
      <c r="FB91" s="227" t="s">
        <v>691</v>
      </c>
      <c r="FC91">
        <f t="shared" si="1"/>
        <v>7565</v>
      </c>
    </row>
    <row r="92" spans="1:159" ht="17.25" thickBot="1" x14ac:dyDescent="0.3">
      <c r="A92" s="226">
        <v>46168</v>
      </c>
      <c r="B92" s="227" t="s">
        <v>172</v>
      </c>
      <c r="C92" s="227" t="s">
        <v>235</v>
      </c>
      <c r="D92" s="228">
        <v>9275</v>
      </c>
      <c r="E92" s="228">
        <v>0</v>
      </c>
      <c r="F92" s="228">
        <v>70.650000000000006</v>
      </c>
      <c r="G92" s="228">
        <v>70.06</v>
      </c>
      <c r="H92" s="228">
        <v>0.59</v>
      </c>
      <c r="I92" s="229">
        <v>8.3999999999999995E-3</v>
      </c>
      <c r="J92" s="228">
        <v>70.22</v>
      </c>
      <c r="K92" s="228">
        <v>69.459999999999994</v>
      </c>
      <c r="L92" s="228">
        <v>0.76</v>
      </c>
      <c r="M92" s="229">
        <v>1.09E-2</v>
      </c>
      <c r="N92" s="228">
        <v>70.099999999999994</v>
      </c>
      <c r="O92" s="228">
        <v>69.67</v>
      </c>
      <c r="P92" s="228">
        <v>0.43</v>
      </c>
      <c r="Q92" s="229">
        <v>6.1999999999999998E-3</v>
      </c>
      <c r="R92" s="228">
        <v>70.650000000000006</v>
      </c>
      <c r="S92" s="228">
        <v>70.06</v>
      </c>
      <c r="T92" s="228">
        <v>0.59</v>
      </c>
      <c r="U92" s="229">
        <v>8.3999999999999995E-3</v>
      </c>
      <c r="V92" s="228">
        <v>71.02</v>
      </c>
      <c r="W92" s="228">
        <v>70.2</v>
      </c>
      <c r="X92" s="228">
        <v>0.82</v>
      </c>
      <c r="Y92" s="229">
        <v>1.17E-2</v>
      </c>
      <c r="Z92" s="228">
        <v>0.43</v>
      </c>
      <c r="AA92" s="228">
        <v>0.21</v>
      </c>
      <c r="AB92" s="228">
        <v>0.22</v>
      </c>
      <c r="AC92" s="229">
        <v>6.1000000000000004E-3</v>
      </c>
      <c r="AD92" s="228">
        <v>-0.12</v>
      </c>
      <c r="AE92" s="228">
        <v>0.21</v>
      </c>
      <c r="AF92" s="228">
        <v>-0.33</v>
      </c>
      <c r="AG92" s="229">
        <v>-1.6999999999999999E-3</v>
      </c>
      <c r="AH92" s="228">
        <v>0.43</v>
      </c>
      <c r="AI92" s="228">
        <v>0.6</v>
      </c>
      <c r="AJ92" s="228">
        <v>-0.17</v>
      </c>
      <c r="AK92" s="229">
        <v>6.1000000000000004E-3</v>
      </c>
      <c r="AL92" s="228">
        <v>0.8</v>
      </c>
      <c r="AM92" s="228">
        <v>0.74</v>
      </c>
      <c r="AN92" s="228">
        <v>0.06</v>
      </c>
      <c r="AO92" s="229">
        <v>1.14E-2</v>
      </c>
      <c r="AP92" s="228">
        <v>69.849999999999994</v>
      </c>
      <c r="AQ92" s="228">
        <v>70.349999999999994</v>
      </c>
      <c r="AR92" s="228">
        <v>0</v>
      </c>
      <c r="AS92" s="230">
        <v>1183</v>
      </c>
      <c r="AT92" s="230">
        <v>1393</v>
      </c>
      <c r="AU92" s="228">
        <v>-211</v>
      </c>
      <c r="AV92" s="229">
        <v>-0.15129999999999999</v>
      </c>
      <c r="AW92" s="228">
        <v>536</v>
      </c>
      <c r="AX92" s="228">
        <v>661</v>
      </c>
      <c r="AY92" s="228">
        <v>-125</v>
      </c>
      <c r="AZ92" s="229">
        <v>-0.18959999999999999</v>
      </c>
      <c r="BA92" s="228">
        <v>607</v>
      </c>
      <c r="BB92" s="228">
        <v>696</v>
      </c>
      <c r="BC92" s="228">
        <v>-89</v>
      </c>
      <c r="BD92" s="229">
        <v>-0.1283</v>
      </c>
      <c r="BE92" s="228">
        <v>40</v>
      </c>
      <c r="BF92" s="228">
        <v>36</v>
      </c>
      <c r="BG92" s="228">
        <v>4</v>
      </c>
      <c r="BH92" s="229">
        <v>0.1055</v>
      </c>
      <c r="BI92" s="228">
        <v>554</v>
      </c>
      <c r="BJ92" s="228">
        <v>653</v>
      </c>
      <c r="BK92" s="228">
        <v>-99</v>
      </c>
      <c r="BL92" s="229">
        <v>-0.15179999999999999</v>
      </c>
      <c r="BM92" s="228">
        <v>354</v>
      </c>
      <c r="BN92" s="228">
        <v>559</v>
      </c>
      <c r="BO92" s="228">
        <v>-205</v>
      </c>
      <c r="BP92" s="229">
        <v>-0.36680000000000001</v>
      </c>
      <c r="BQ92" s="230">
        <v>2090</v>
      </c>
      <c r="BR92" s="230">
        <v>2605</v>
      </c>
      <c r="BS92" s="228">
        <v>-515</v>
      </c>
      <c r="BT92" s="229">
        <v>-0.19769999999999999</v>
      </c>
      <c r="BU92" s="230">
        <v>20228413</v>
      </c>
      <c r="BV92" s="230">
        <v>28623065</v>
      </c>
      <c r="BW92" s="230">
        <v>-8394652</v>
      </c>
      <c r="BX92" s="229">
        <v>-0.29330000000000001</v>
      </c>
      <c r="BY92" s="230">
        <v>2920</v>
      </c>
      <c r="BZ92" s="230">
        <v>3040</v>
      </c>
      <c r="CA92" s="228">
        <v>-120</v>
      </c>
      <c r="CB92" s="229">
        <v>-3.95E-2</v>
      </c>
      <c r="CC92" s="228">
        <v>124</v>
      </c>
      <c r="CD92" s="228">
        <v>436</v>
      </c>
      <c r="CE92" s="228">
        <v>-313</v>
      </c>
      <c r="CF92" s="229">
        <v>-0.71689999999999998</v>
      </c>
      <c r="CG92" s="230">
        <v>2806</v>
      </c>
      <c r="CH92" s="230">
        <v>2511</v>
      </c>
      <c r="CI92" s="228">
        <v>294</v>
      </c>
      <c r="CJ92" s="229">
        <v>0.1171</v>
      </c>
      <c r="CK92" s="228">
        <v>115</v>
      </c>
      <c r="CL92" s="228">
        <v>92</v>
      </c>
      <c r="CM92" s="228">
        <v>22</v>
      </c>
      <c r="CN92" s="229">
        <v>0.2404</v>
      </c>
      <c r="CO92" s="228">
        <v>373</v>
      </c>
      <c r="CP92" s="228">
        <v>784</v>
      </c>
      <c r="CQ92" s="228">
        <v>-411</v>
      </c>
      <c r="CR92" s="229">
        <v>-0.52439999999999998</v>
      </c>
      <c r="CS92" s="228">
        <v>377</v>
      </c>
      <c r="CT92" s="228">
        <v>697</v>
      </c>
      <c r="CU92" s="228">
        <v>-321</v>
      </c>
      <c r="CV92" s="229">
        <v>-0.46010000000000001</v>
      </c>
      <c r="CW92" s="230">
        <v>3670</v>
      </c>
      <c r="CX92" s="230">
        <v>4522</v>
      </c>
      <c r="CY92" s="228">
        <v>-852</v>
      </c>
      <c r="CZ92" s="229">
        <v>-0.1885</v>
      </c>
      <c r="DA92" s="228">
        <v>26.59</v>
      </c>
      <c r="DB92" s="228">
        <v>28.1</v>
      </c>
      <c r="DC92" s="228">
        <v>-1.51</v>
      </c>
      <c r="DD92" s="228">
        <v>-1.51</v>
      </c>
      <c r="DE92" s="228">
        <v>40.21</v>
      </c>
      <c r="DF92" s="228">
        <v>40.299999999999997</v>
      </c>
      <c r="DG92" s="228">
        <v>-13.62</v>
      </c>
      <c r="DH92" s="228">
        <v>-0.09</v>
      </c>
      <c r="DI92" s="228">
        <v>25.76</v>
      </c>
      <c r="DJ92" s="228">
        <v>27.28</v>
      </c>
      <c r="DK92" s="228">
        <v>-1.52</v>
      </c>
      <c r="DL92" s="228">
        <v>-1.52</v>
      </c>
      <c r="DM92" s="228">
        <v>27.74</v>
      </c>
      <c r="DN92" s="228">
        <v>28.88</v>
      </c>
      <c r="DO92" s="228">
        <v>-1.1399999999999999</v>
      </c>
      <c r="DP92" s="228">
        <v>-1.1399999999999999</v>
      </c>
      <c r="DQ92" s="228">
        <v>1.01</v>
      </c>
      <c r="DR92" s="228">
        <v>0.89</v>
      </c>
      <c r="DS92" s="228">
        <v>0.12</v>
      </c>
      <c r="DT92" s="229">
        <v>0.1348</v>
      </c>
      <c r="DU92" s="228">
        <v>75</v>
      </c>
      <c r="DV92" s="228">
        <v>65</v>
      </c>
      <c r="DW92" s="228">
        <v>0.64</v>
      </c>
      <c r="DX92" s="228">
        <v>0.86</v>
      </c>
      <c r="DY92" s="228">
        <v>-0.22</v>
      </c>
      <c r="DZ92" s="229">
        <v>-0.25580000000000003</v>
      </c>
      <c r="EA92" s="229">
        <v>0.95940000000000003</v>
      </c>
      <c r="EB92" s="230">
        <v>368542125</v>
      </c>
      <c r="EC92" s="229">
        <v>7.7999999999999996E-3</v>
      </c>
      <c r="ED92" s="229">
        <v>0.95940000000000003</v>
      </c>
      <c r="EE92" s="228">
        <v>0.5</v>
      </c>
      <c r="EF92" s="229">
        <v>7.1999999999999998E-3</v>
      </c>
      <c r="EG92" s="230">
        <v>9548387</v>
      </c>
      <c r="EH92" s="230">
        <v>16791850</v>
      </c>
      <c r="EI92" s="229">
        <v>-0.43140000000000001</v>
      </c>
      <c r="EJ92" s="229">
        <v>0.47199999999999998</v>
      </c>
      <c r="EK92" s="228">
        <v>573.85</v>
      </c>
      <c r="EL92" s="228">
        <v>358.43</v>
      </c>
      <c r="EM92" s="231">
        <v>1173.9000000000001</v>
      </c>
      <c r="EN92" s="228">
        <v>165.92</v>
      </c>
      <c r="EO92" s="231">
        <v>2106.17</v>
      </c>
      <c r="EP92" s="231">
        <v>2593.4899999999998</v>
      </c>
      <c r="EQ92" s="228">
        <v>-487.31</v>
      </c>
      <c r="ER92" s="229">
        <v>-0.18790000000000001</v>
      </c>
      <c r="ES92" s="228">
        <v>380.87</v>
      </c>
      <c r="ET92" s="228">
        <v>369.5</v>
      </c>
      <c r="EU92" s="231">
        <v>2920.72</v>
      </c>
      <c r="EV92" s="231">
        <v>1101871266</v>
      </c>
      <c r="EW92" s="231">
        <v>3671.08</v>
      </c>
      <c r="EX92" s="231">
        <v>4481.42</v>
      </c>
      <c r="EY92" s="228">
        <v>-810.34</v>
      </c>
      <c r="EZ92" s="229">
        <v>-0.18079999999999999</v>
      </c>
      <c r="FA92" s="229">
        <v>0.47139999999999999</v>
      </c>
      <c r="FB92" s="227" t="s">
        <v>691</v>
      </c>
      <c r="FC92">
        <f t="shared" si="1"/>
        <v>2796</v>
      </c>
    </row>
    <row r="93" spans="1:159" ht="17.25" thickBot="1" x14ac:dyDescent="0.3">
      <c r="A93" s="226">
        <v>46168</v>
      </c>
      <c r="B93" s="227" t="s">
        <v>161</v>
      </c>
      <c r="C93" s="227" t="s">
        <v>514</v>
      </c>
      <c r="D93" s="228">
        <v>3750</v>
      </c>
      <c r="E93" s="228">
        <v>0</v>
      </c>
      <c r="F93" s="228">
        <v>128.47</v>
      </c>
      <c r="G93" s="228">
        <v>128.65</v>
      </c>
      <c r="H93" s="228">
        <v>-0.18</v>
      </c>
      <c r="I93" s="229">
        <v>-1.4E-3</v>
      </c>
      <c r="J93" s="228">
        <v>127.47</v>
      </c>
      <c r="K93" s="228">
        <v>127.58</v>
      </c>
      <c r="L93" s="228">
        <v>-0.11</v>
      </c>
      <c r="M93" s="229">
        <v>-8.9999999999999998E-4</v>
      </c>
      <c r="N93" s="228">
        <v>127.35</v>
      </c>
      <c r="O93" s="228">
        <v>127.83</v>
      </c>
      <c r="P93" s="228">
        <v>-0.48</v>
      </c>
      <c r="Q93" s="229">
        <v>-3.8E-3</v>
      </c>
      <c r="R93" s="228">
        <v>128.47</v>
      </c>
      <c r="S93" s="228">
        <v>128.65</v>
      </c>
      <c r="T93" s="228">
        <v>-0.18</v>
      </c>
      <c r="U93" s="229">
        <v>-1.4E-3</v>
      </c>
      <c r="V93" s="228">
        <v>129.34</v>
      </c>
      <c r="W93" s="228">
        <v>129.49</v>
      </c>
      <c r="X93" s="228">
        <v>-0.15</v>
      </c>
      <c r="Y93" s="229">
        <v>-1.1999999999999999E-3</v>
      </c>
      <c r="Z93" s="228">
        <v>1</v>
      </c>
      <c r="AA93" s="228">
        <v>0.25</v>
      </c>
      <c r="AB93" s="228">
        <v>0.75</v>
      </c>
      <c r="AC93" s="229">
        <v>7.7999999999999996E-3</v>
      </c>
      <c r="AD93" s="228">
        <v>-0.12</v>
      </c>
      <c r="AE93" s="228">
        <v>0.25</v>
      </c>
      <c r="AF93" s="228">
        <v>-0.37</v>
      </c>
      <c r="AG93" s="229">
        <v>-8.9999999999999998E-4</v>
      </c>
      <c r="AH93" s="228">
        <v>1</v>
      </c>
      <c r="AI93" s="228">
        <v>1.07</v>
      </c>
      <c r="AJ93" s="228">
        <v>-7.0000000000000007E-2</v>
      </c>
      <c r="AK93" s="229">
        <v>7.7999999999999996E-3</v>
      </c>
      <c r="AL93" s="228">
        <v>1.87</v>
      </c>
      <c r="AM93" s="228">
        <v>1.91</v>
      </c>
      <c r="AN93" s="228">
        <v>-0.04</v>
      </c>
      <c r="AO93" s="229">
        <v>1.47E-2</v>
      </c>
      <c r="AP93" s="228">
        <v>127.38</v>
      </c>
      <c r="AQ93" s="228">
        <v>128.30000000000001</v>
      </c>
      <c r="AR93" s="228">
        <v>0</v>
      </c>
      <c r="AS93" s="228">
        <v>471</v>
      </c>
      <c r="AT93" s="228">
        <v>777</v>
      </c>
      <c r="AU93" s="228">
        <v>-306</v>
      </c>
      <c r="AV93" s="229">
        <v>-0.39340000000000003</v>
      </c>
      <c r="AW93" s="228">
        <v>227</v>
      </c>
      <c r="AX93" s="228">
        <v>387</v>
      </c>
      <c r="AY93" s="228">
        <v>-160</v>
      </c>
      <c r="AZ93" s="229">
        <v>-0.41299999999999998</v>
      </c>
      <c r="BA93" s="228">
        <v>240</v>
      </c>
      <c r="BB93" s="228">
        <v>383</v>
      </c>
      <c r="BC93" s="228">
        <v>-144</v>
      </c>
      <c r="BD93" s="229">
        <v>-0.37480000000000002</v>
      </c>
      <c r="BE93" s="228">
        <v>4</v>
      </c>
      <c r="BF93" s="228">
        <v>6</v>
      </c>
      <c r="BG93" s="228">
        <v>-2</v>
      </c>
      <c r="BH93" s="229">
        <v>-0.3175</v>
      </c>
      <c r="BI93" s="228">
        <v>398</v>
      </c>
      <c r="BJ93" s="228">
        <v>454</v>
      </c>
      <c r="BK93" s="228">
        <v>-56</v>
      </c>
      <c r="BL93" s="229">
        <v>-0.12379999999999999</v>
      </c>
      <c r="BM93" s="228">
        <v>120</v>
      </c>
      <c r="BN93" s="228">
        <v>175</v>
      </c>
      <c r="BO93" s="228">
        <v>-55</v>
      </c>
      <c r="BP93" s="229">
        <v>-0.313</v>
      </c>
      <c r="BQ93" s="228">
        <v>990</v>
      </c>
      <c r="BR93" s="230">
        <v>1407</v>
      </c>
      <c r="BS93" s="228">
        <v>-417</v>
      </c>
      <c r="BT93" s="229">
        <v>-0.29630000000000001</v>
      </c>
      <c r="BU93" s="230">
        <v>3771021</v>
      </c>
      <c r="BV93" s="230">
        <v>3159650</v>
      </c>
      <c r="BW93" s="230">
        <v>611371</v>
      </c>
      <c r="BX93" s="229">
        <v>0.19350000000000001</v>
      </c>
      <c r="BY93" s="228">
        <v>879</v>
      </c>
      <c r="BZ93" s="228">
        <v>907</v>
      </c>
      <c r="CA93" s="228">
        <v>-28</v>
      </c>
      <c r="CB93" s="229">
        <v>-3.09E-2</v>
      </c>
      <c r="CC93" s="228">
        <v>54</v>
      </c>
      <c r="CD93" s="228">
        <v>190</v>
      </c>
      <c r="CE93" s="228">
        <v>-136</v>
      </c>
      <c r="CF93" s="229">
        <v>-0.71709999999999996</v>
      </c>
      <c r="CG93" s="228">
        <v>862</v>
      </c>
      <c r="CH93" s="228">
        <v>704</v>
      </c>
      <c r="CI93" s="228">
        <v>158</v>
      </c>
      <c r="CJ93" s="229">
        <v>0.22470000000000001</v>
      </c>
      <c r="CK93" s="228">
        <v>17</v>
      </c>
      <c r="CL93" s="228">
        <v>13</v>
      </c>
      <c r="CM93" s="228">
        <v>4</v>
      </c>
      <c r="CN93" s="229">
        <v>0.2863</v>
      </c>
      <c r="CO93" s="228">
        <v>216</v>
      </c>
      <c r="CP93" s="228">
        <v>459</v>
      </c>
      <c r="CQ93" s="228">
        <v>-243</v>
      </c>
      <c r="CR93" s="229">
        <v>-0.52969999999999995</v>
      </c>
      <c r="CS93" s="228">
        <v>164</v>
      </c>
      <c r="CT93" s="228">
        <v>278</v>
      </c>
      <c r="CU93" s="228">
        <v>-114</v>
      </c>
      <c r="CV93" s="229">
        <v>-0.4108</v>
      </c>
      <c r="CW93" s="230">
        <v>1258</v>
      </c>
      <c r="CX93" s="230">
        <v>1644</v>
      </c>
      <c r="CY93" s="228">
        <v>-385</v>
      </c>
      <c r="CZ93" s="229">
        <v>-0.23449999999999999</v>
      </c>
      <c r="DA93" s="228">
        <v>30.32</v>
      </c>
      <c r="DB93" s="228">
        <v>31.15</v>
      </c>
      <c r="DC93" s="228">
        <v>-0.83</v>
      </c>
      <c r="DD93" s="228">
        <v>-0.83</v>
      </c>
      <c r="DE93" s="228">
        <v>50.54</v>
      </c>
      <c r="DF93" s="228">
        <v>50.67</v>
      </c>
      <c r="DG93" s="228">
        <v>-20.22</v>
      </c>
      <c r="DH93" s="228">
        <v>-0.13</v>
      </c>
      <c r="DI93" s="228">
        <v>30.37</v>
      </c>
      <c r="DJ93" s="228">
        <v>31.86</v>
      </c>
      <c r="DK93" s="228">
        <v>-1.49</v>
      </c>
      <c r="DL93" s="228">
        <v>-1.49</v>
      </c>
      <c r="DM93" s="228">
        <v>30.16</v>
      </c>
      <c r="DN93" s="228">
        <v>29.54</v>
      </c>
      <c r="DO93" s="228">
        <v>0.62</v>
      </c>
      <c r="DP93" s="228">
        <v>0.62</v>
      </c>
      <c r="DQ93" s="228">
        <v>0.76</v>
      </c>
      <c r="DR93" s="228">
        <v>0.6</v>
      </c>
      <c r="DS93" s="228">
        <v>0.16</v>
      </c>
      <c r="DT93" s="229">
        <v>0.26669999999999999</v>
      </c>
      <c r="DU93" s="228">
        <v>130</v>
      </c>
      <c r="DV93" s="228">
        <v>140</v>
      </c>
      <c r="DW93" s="228">
        <v>0.3</v>
      </c>
      <c r="DX93" s="228">
        <v>0.39</v>
      </c>
      <c r="DY93" s="228">
        <v>-0.09</v>
      </c>
      <c r="DZ93" s="229">
        <v>-0.23080000000000001</v>
      </c>
      <c r="EA93" s="229">
        <v>0.94240000000000002</v>
      </c>
      <c r="EB93" s="230">
        <v>55790400</v>
      </c>
      <c r="EC93" s="229">
        <v>8.8000000000000005E-3</v>
      </c>
      <c r="ED93" s="229">
        <v>0.94240000000000002</v>
      </c>
      <c r="EE93" s="228">
        <v>0.92</v>
      </c>
      <c r="EF93" s="229">
        <v>7.1999999999999998E-3</v>
      </c>
      <c r="EG93" s="230">
        <v>1546657</v>
      </c>
      <c r="EH93" s="230">
        <v>1435577</v>
      </c>
      <c r="EI93" s="229">
        <v>7.7399999999999997E-2</v>
      </c>
      <c r="EJ93" s="229">
        <v>0.41010000000000002</v>
      </c>
      <c r="EK93" s="228">
        <v>420.03</v>
      </c>
      <c r="EL93" s="228">
        <v>123.59</v>
      </c>
      <c r="EM93" s="228">
        <v>469.56</v>
      </c>
      <c r="EN93" s="228">
        <v>75.900000000000006</v>
      </c>
      <c r="EO93" s="231">
        <v>1013.18</v>
      </c>
      <c r="EP93" s="231">
        <v>1440.72</v>
      </c>
      <c r="EQ93" s="228">
        <v>-427.53</v>
      </c>
      <c r="ER93" s="229">
        <v>-0.29680000000000001</v>
      </c>
      <c r="ES93" s="228">
        <v>228.75</v>
      </c>
      <c r="ET93" s="228">
        <v>167.21</v>
      </c>
      <c r="EU93" s="228">
        <v>878.71</v>
      </c>
      <c r="EV93" s="231">
        <v>133395043</v>
      </c>
      <c r="EW93" s="231">
        <v>1274.67</v>
      </c>
      <c r="EX93" s="231">
        <v>1677.51</v>
      </c>
      <c r="EY93" s="228">
        <v>-402.84</v>
      </c>
      <c r="EZ93" s="229">
        <v>-0.24010000000000001</v>
      </c>
      <c r="FA93" s="229">
        <v>0.73419999999999996</v>
      </c>
      <c r="FB93" s="227" t="s">
        <v>567</v>
      </c>
      <c r="FC93">
        <f t="shared" si="1"/>
        <v>825</v>
      </c>
    </row>
    <row r="94" spans="1:159" ht="17.25" thickBot="1" x14ac:dyDescent="0.3">
      <c r="A94" s="226">
        <v>46168</v>
      </c>
      <c r="B94" s="227" t="s">
        <v>206</v>
      </c>
      <c r="C94" s="227" t="s">
        <v>501</v>
      </c>
      <c r="D94" s="228">
        <v>1000</v>
      </c>
      <c r="E94" s="228">
        <v>0</v>
      </c>
      <c r="F94" s="228">
        <v>659.3</v>
      </c>
      <c r="G94" s="228">
        <v>665.15</v>
      </c>
      <c r="H94" s="228">
        <v>-5.85</v>
      </c>
      <c r="I94" s="229">
        <v>-8.8000000000000005E-3</v>
      </c>
      <c r="J94" s="228">
        <v>657.15</v>
      </c>
      <c r="K94" s="228">
        <v>663.55</v>
      </c>
      <c r="L94" s="228">
        <v>-6.4</v>
      </c>
      <c r="M94" s="229">
        <v>-9.5999999999999992E-3</v>
      </c>
      <c r="N94" s="228">
        <v>657.15</v>
      </c>
      <c r="O94" s="228">
        <v>663.9</v>
      </c>
      <c r="P94" s="228">
        <v>-6.75</v>
      </c>
      <c r="Q94" s="229">
        <v>-1.0200000000000001E-2</v>
      </c>
      <c r="R94" s="228">
        <v>659.3</v>
      </c>
      <c r="S94" s="228">
        <v>665.15</v>
      </c>
      <c r="T94" s="228">
        <v>-5.85</v>
      </c>
      <c r="U94" s="229">
        <v>-8.8000000000000005E-3</v>
      </c>
      <c r="V94" s="228">
        <v>664.85</v>
      </c>
      <c r="W94" s="228">
        <v>669.7</v>
      </c>
      <c r="X94" s="228">
        <v>-4.8499999999999996</v>
      </c>
      <c r="Y94" s="229">
        <v>-7.1999999999999998E-3</v>
      </c>
      <c r="Z94" s="228">
        <v>2.15</v>
      </c>
      <c r="AA94" s="228">
        <v>0.35</v>
      </c>
      <c r="AB94" s="228">
        <v>1.8</v>
      </c>
      <c r="AC94" s="229">
        <v>3.3E-3</v>
      </c>
      <c r="AD94" s="228">
        <v>0</v>
      </c>
      <c r="AE94" s="228">
        <v>0.35</v>
      </c>
      <c r="AF94" s="228">
        <v>-0.35</v>
      </c>
      <c r="AG94" s="229">
        <v>0</v>
      </c>
      <c r="AH94" s="228">
        <v>2.15</v>
      </c>
      <c r="AI94" s="228">
        <v>1.6</v>
      </c>
      <c r="AJ94" s="228">
        <v>0.55000000000000004</v>
      </c>
      <c r="AK94" s="229">
        <v>3.3E-3</v>
      </c>
      <c r="AL94" s="228">
        <v>7.7</v>
      </c>
      <c r="AM94" s="228">
        <v>6.15</v>
      </c>
      <c r="AN94" s="228">
        <v>1.55</v>
      </c>
      <c r="AO94" s="229">
        <v>1.17E-2</v>
      </c>
      <c r="AP94" s="228">
        <v>659.54</v>
      </c>
      <c r="AQ94" s="228">
        <v>660.59</v>
      </c>
      <c r="AR94" s="228">
        <v>0</v>
      </c>
      <c r="AS94" s="228">
        <v>463</v>
      </c>
      <c r="AT94" s="228">
        <v>866</v>
      </c>
      <c r="AU94" s="228">
        <v>-403</v>
      </c>
      <c r="AV94" s="229">
        <v>-0.4657</v>
      </c>
      <c r="AW94" s="228">
        <v>191</v>
      </c>
      <c r="AX94" s="228">
        <v>425</v>
      </c>
      <c r="AY94" s="228">
        <v>-234</v>
      </c>
      <c r="AZ94" s="229">
        <v>-0.55030000000000001</v>
      </c>
      <c r="BA94" s="228">
        <v>270</v>
      </c>
      <c r="BB94" s="228">
        <v>439</v>
      </c>
      <c r="BC94" s="228">
        <v>-169</v>
      </c>
      <c r="BD94" s="229">
        <v>-0.38519999999999999</v>
      </c>
      <c r="BE94" s="228">
        <v>2</v>
      </c>
      <c r="BF94" s="228">
        <v>3</v>
      </c>
      <c r="BG94" s="228">
        <v>-1</v>
      </c>
      <c r="BH94" s="229">
        <v>-0.23810000000000001</v>
      </c>
      <c r="BI94" s="228">
        <v>297</v>
      </c>
      <c r="BJ94" s="228">
        <v>385</v>
      </c>
      <c r="BK94" s="228">
        <v>-87</v>
      </c>
      <c r="BL94" s="229">
        <v>-0.22720000000000001</v>
      </c>
      <c r="BM94" s="228">
        <v>172</v>
      </c>
      <c r="BN94" s="228">
        <v>263</v>
      </c>
      <c r="BO94" s="228">
        <v>-91</v>
      </c>
      <c r="BP94" s="229">
        <v>-0.3448</v>
      </c>
      <c r="BQ94" s="228">
        <v>932</v>
      </c>
      <c r="BR94" s="230">
        <v>1514</v>
      </c>
      <c r="BS94" s="228">
        <v>-581</v>
      </c>
      <c r="BT94" s="229">
        <v>-0.3841</v>
      </c>
      <c r="BU94" s="230">
        <v>1933189</v>
      </c>
      <c r="BV94" s="230">
        <v>1939229</v>
      </c>
      <c r="BW94" s="230">
        <v>-6040</v>
      </c>
      <c r="BX94" s="229">
        <v>-3.0999999999999999E-3</v>
      </c>
      <c r="BY94" s="230">
        <v>1637</v>
      </c>
      <c r="BZ94" s="230">
        <v>1654</v>
      </c>
      <c r="CA94" s="228">
        <v>-17</v>
      </c>
      <c r="CB94" s="229">
        <v>-1.0200000000000001E-2</v>
      </c>
      <c r="CC94" s="228">
        <v>50</v>
      </c>
      <c r="CD94" s="228">
        <v>185</v>
      </c>
      <c r="CE94" s="228">
        <v>-134</v>
      </c>
      <c r="CF94" s="229">
        <v>-0.72860000000000003</v>
      </c>
      <c r="CG94" s="230">
        <v>1390</v>
      </c>
      <c r="CH94" s="230">
        <v>1223</v>
      </c>
      <c r="CI94" s="228">
        <v>166</v>
      </c>
      <c r="CJ94" s="229">
        <v>0.13589999999999999</v>
      </c>
      <c r="CK94" s="228">
        <v>247</v>
      </c>
      <c r="CL94" s="228">
        <v>246</v>
      </c>
      <c r="CM94" s="228">
        <v>2</v>
      </c>
      <c r="CN94" s="229">
        <v>6.1999999999999998E-3</v>
      </c>
      <c r="CO94" s="228">
        <v>152</v>
      </c>
      <c r="CP94" s="228">
        <v>396</v>
      </c>
      <c r="CQ94" s="228">
        <v>-244</v>
      </c>
      <c r="CR94" s="229">
        <v>-0.61670000000000003</v>
      </c>
      <c r="CS94" s="228">
        <v>164</v>
      </c>
      <c r="CT94" s="228">
        <v>336</v>
      </c>
      <c r="CU94" s="228">
        <v>-172</v>
      </c>
      <c r="CV94" s="229">
        <v>-0.51190000000000002</v>
      </c>
      <c r="CW94" s="230">
        <v>1953</v>
      </c>
      <c r="CX94" s="230">
        <v>2386</v>
      </c>
      <c r="CY94" s="228">
        <v>-433</v>
      </c>
      <c r="CZ94" s="229">
        <v>-0.18160000000000001</v>
      </c>
      <c r="DA94" s="228">
        <v>24.77</v>
      </c>
      <c r="DB94" s="228">
        <v>25.62</v>
      </c>
      <c r="DC94" s="228">
        <v>-0.85</v>
      </c>
      <c r="DD94" s="228">
        <v>-0.85</v>
      </c>
      <c r="DE94" s="228">
        <v>34.590000000000003</v>
      </c>
      <c r="DF94" s="228">
        <v>34.659999999999997</v>
      </c>
      <c r="DG94" s="228">
        <v>-9.82</v>
      </c>
      <c r="DH94" s="228">
        <v>-7.0000000000000007E-2</v>
      </c>
      <c r="DI94" s="228">
        <v>24.09</v>
      </c>
      <c r="DJ94" s="228">
        <v>25.31</v>
      </c>
      <c r="DK94" s="228">
        <v>-1.22</v>
      </c>
      <c r="DL94" s="228">
        <v>-1.22</v>
      </c>
      <c r="DM94" s="228">
        <v>25.8</v>
      </c>
      <c r="DN94" s="228">
        <v>26.13</v>
      </c>
      <c r="DO94" s="228">
        <v>-0.33</v>
      </c>
      <c r="DP94" s="228">
        <v>-0.33</v>
      </c>
      <c r="DQ94" s="228">
        <v>1.08</v>
      </c>
      <c r="DR94" s="228">
        <v>0.85</v>
      </c>
      <c r="DS94" s="228">
        <v>0.23</v>
      </c>
      <c r="DT94" s="229">
        <v>0.27060000000000001</v>
      </c>
      <c r="DU94" s="228">
        <v>660</v>
      </c>
      <c r="DV94" s="228">
        <v>660</v>
      </c>
      <c r="DW94" s="228">
        <v>0.57999999999999996</v>
      </c>
      <c r="DX94" s="228">
        <v>0.68</v>
      </c>
      <c r="DY94" s="228">
        <v>-0.1</v>
      </c>
      <c r="DZ94" s="229">
        <v>-0.14710000000000001</v>
      </c>
      <c r="EA94" s="229">
        <v>0.97030000000000005</v>
      </c>
      <c r="EB94" s="230">
        <v>22282000</v>
      </c>
      <c r="EC94" s="229">
        <v>3.3E-3</v>
      </c>
      <c r="ED94" s="229">
        <v>0.97030000000000005</v>
      </c>
      <c r="EE94" s="228">
        <v>1.05</v>
      </c>
      <c r="EF94" s="229">
        <v>1.6000000000000001E-3</v>
      </c>
      <c r="EG94" s="230">
        <v>1010667</v>
      </c>
      <c r="EH94" s="230">
        <v>1078822</v>
      </c>
      <c r="EI94" s="229">
        <v>-6.3200000000000006E-2</v>
      </c>
      <c r="EJ94" s="229">
        <v>0.52280000000000004</v>
      </c>
      <c r="EK94" s="228">
        <v>308.35000000000002</v>
      </c>
      <c r="EL94" s="228">
        <v>176.52</v>
      </c>
      <c r="EM94" s="228">
        <v>463.38</v>
      </c>
      <c r="EN94" s="228">
        <v>109.92</v>
      </c>
      <c r="EO94" s="228">
        <v>948.24</v>
      </c>
      <c r="EP94" s="231">
        <v>1537.75</v>
      </c>
      <c r="EQ94" s="228">
        <v>-589.52</v>
      </c>
      <c r="ER94" s="229">
        <v>-0.38340000000000002</v>
      </c>
      <c r="ES94" s="228">
        <v>156.66999999999999</v>
      </c>
      <c r="ET94" s="228">
        <v>167.11</v>
      </c>
      <c r="EU94" s="231">
        <v>1638.93</v>
      </c>
      <c r="EV94" s="231">
        <v>123332004</v>
      </c>
      <c r="EW94" s="231">
        <v>1962.7</v>
      </c>
      <c r="EX94" s="231">
        <v>2410.85</v>
      </c>
      <c r="EY94" s="228">
        <v>-448.15</v>
      </c>
      <c r="EZ94" s="229">
        <v>-0.18590000000000001</v>
      </c>
      <c r="FA94" s="229">
        <v>0.2402</v>
      </c>
      <c r="FB94" s="227" t="s">
        <v>567</v>
      </c>
      <c r="FC94">
        <f t="shared" si="1"/>
        <v>1587</v>
      </c>
    </row>
    <row r="95" spans="1:159" ht="17.25" thickBot="1" x14ac:dyDescent="0.3">
      <c r="A95" s="226">
        <v>46168</v>
      </c>
      <c r="B95" s="227" t="s">
        <v>172</v>
      </c>
      <c r="C95" s="227" t="s">
        <v>577</v>
      </c>
      <c r="D95" s="228">
        <v>1000</v>
      </c>
      <c r="E95" s="228">
        <v>0</v>
      </c>
      <c r="F95" s="228">
        <v>838.05</v>
      </c>
      <c r="G95" s="228">
        <v>843.65</v>
      </c>
      <c r="H95" s="228">
        <v>-5.6</v>
      </c>
      <c r="I95" s="229">
        <v>-6.6E-3</v>
      </c>
      <c r="J95" s="228">
        <v>833.55</v>
      </c>
      <c r="K95" s="228">
        <v>840.15</v>
      </c>
      <c r="L95" s="228">
        <v>-6.6</v>
      </c>
      <c r="M95" s="229">
        <v>-7.9000000000000008E-3</v>
      </c>
      <c r="N95" s="228">
        <v>835.3</v>
      </c>
      <c r="O95" s="228">
        <v>840.3</v>
      </c>
      <c r="P95" s="228">
        <v>-5</v>
      </c>
      <c r="Q95" s="229">
        <v>-6.0000000000000001E-3</v>
      </c>
      <c r="R95" s="228">
        <v>838.05</v>
      </c>
      <c r="S95" s="228">
        <v>843.65</v>
      </c>
      <c r="T95" s="228">
        <v>-5.6</v>
      </c>
      <c r="U95" s="229">
        <v>-6.6E-3</v>
      </c>
      <c r="V95" s="228">
        <v>842.35</v>
      </c>
      <c r="W95" s="228">
        <v>848.55</v>
      </c>
      <c r="X95" s="228">
        <v>-6.2</v>
      </c>
      <c r="Y95" s="229">
        <v>-7.3000000000000001E-3</v>
      </c>
      <c r="Z95" s="228">
        <v>4.5</v>
      </c>
      <c r="AA95" s="228">
        <v>0.15</v>
      </c>
      <c r="AB95" s="228">
        <v>4.3499999999999996</v>
      </c>
      <c r="AC95" s="229">
        <v>5.4000000000000003E-3</v>
      </c>
      <c r="AD95" s="228">
        <v>1.75</v>
      </c>
      <c r="AE95" s="228">
        <v>0.15</v>
      </c>
      <c r="AF95" s="228">
        <v>1.6</v>
      </c>
      <c r="AG95" s="229">
        <v>2.0999999999999999E-3</v>
      </c>
      <c r="AH95" s="228">
        <v>4.5</v>
      </c>
      <c r="AI95" s="228">
        <v>3.5</v>
      </c>
      <c r="AJ95" s="228">
        <v>1</v>
      </c>
      <c r="AK95" s="229">
        <v>5.4000000000000003E-3</v>
      </c>
      <c r="AL95" s="228">
        <v>8.8000000000000007</v>
      </c>
      <c r="AM95" s="228">
        <v>8.4</v>
      </c>
      <c r="AN95" s="228">
        <v>0.4</v>
      </c>
      <c r="AO95" s="229">
        <v>1.06E-2</v>
      </c>
      <c r="AP95" s="228">
        <v>837.67</v>
      </c>
      <c r="AQ95" s="228">
        <v>840.99</v>
      </c>
      <c r="AR95" s="228">
        <v>0</v>
      </c>
      <c r="AS95" s="228">
        <v>572</v>
      </c>
      <c r="AT95" s="228">
        <v>807</v>
      </c>
      <c r="AU95" s="228">
        <v>-235</v>
      </c>
      <c r="AV95" s="229">
        <v>-0.29070000000000001</v>
      </c>
      <c r="AW95" s="228">
        <v>209</v>
      </c>
      <c r="AX95" s="228">
        <v>355</v>
      </c>
      <c r="AY95" s="228">
        <v>-146</v>
      </c>
      <c r="AZ95" s="229">
        <v>-0.41060000000000002</v>
      </c>
      <c r="BA95" s="228">
        <v>360</v>
      </c>
      <c r="BB95" s="228">
        <v>448</v>
      </c>
      <c r="BC95" s="228">
        <v>-89</v>
      </c>
      <c r="BD95" s="229">
        <v>-0.1983</v>
      </c>
      <c r="BE95" s="228">
        <v>4</v>
      </c>
      <c r="BF95" s="228">
        <v>4</v>
      </c>
      <c r="BG95" s="228">
        <v>0</v>
      </c>
      <c r="BH95" s="229">
        <v>0</v>
      </c>
      <c r="BI95" s="228">
        <v>320</v>
      </c>
      <c r="BJ95" s="228">
        <v>798</v>
      </c>
      <c r="BK95" s="228">
        <v>-478</v>
      </c>
      <c r="BL95" s="229">
        <v>-0.59899999999999998</v>
      </c>
      <c r="BM95" s="228">
        <v>169</v>
      </c>
      <c r="BN95" s="228">
        <v>320</v>
      </c>
      <c r="BO95" s="228">
        <v>-151</v>
      </c>
      <c r="BP95" s="229">
        <v>-0.47299999999999998</v>
      </c>
      <c r="BQ95" s="230">
        <v>1061</v>
      </c>
      <c r="BR95" s="230">
        <v>1925</v>
      </c>
      <c r="BS95" s="228">
        <v>-864</v>
      </c>
      <c r="BT95" s="229">
        <v>-0.44890000000000002</v>
      </c>
      <c r="BU95" s="230">
        <v>2498660</v>
      </c>
      <c r="BV95" s="230">
        <v>2773345</v>
      </c>
      <c r="BW95" s="230">
        <v>-274685</v>
      </c>
      <c r="BX95" s="229">
        <v>-9.9000000000000005E-2</v>
      </c>
      <c r="BY95" s="228">
        <v>939</v>
      </c>
      <c r="BZ95" s="230">
        <v>1042</v>
      </c>
      <c r="CA95" s="228">
        <v>-104</v>
      </c>
      <c r="CB95" s="229">
        <v>-9.9599999999999994E-2</v>
      </c>
      <c r="CC95" s="228">
        <v>114</v>
      </c>
      <c r="CD95" s="228">
        <v>234</v>
      </c>
      <c r="CE95" s="228">
        <v>-121</v>
      </c>
      <c r="CF95" s="229">
        <v>-0.51480000000000004</v>
      </c>
      <c r="CG95" s="228">
        <v>931</v>
      </c>
      <c r="CH95" s="228">
        <v>802</v>
      </c>
      <c r="CI95" s="228">
        <v>129</v>
      </c>
      <c r="CJ95" s="229">
        <v>0.16070000000000001</v>
      </c>
      <c r="CK95" s="228">
        <v>8</v>
      </c>
      <c r="CL95" s="228">
        <v>6</v>
      </c>
      <c r="CM95" s="228">
        <v>2</v>
      </c>
      <c r="CN95" s="229">
        <v>0.27779999999999999</v>
      </c>
      <c r="CO95" s="228">
        <v>178</v>
      </c>
      <c r="CP95" s="228">
        <v>530</v>
      </c>
      <c r="CQ95" s="228">
        <v>-352</v>
      </c>
      <c r="CR95" s="229">
        <v>-0.66349999999999998</v>
      </c>
      <c r="CS95" s="228">
        <v>152</v>
      </c>
      <c r="CT95" s="228">
        <v>359</v>
      </c>
      <c r="CU95" s="228">
        <v>-207</v>
      </c>
      <c r="CV95" s="229">
        <v>-0.57769999999999999</v>
      </c>
      <c r="CW95" s="230">
        <v>1269</v>
      </c>
      <c r="CX95" s="230">
        <v>1931</v>
      </c>
      <c r="CY95" s="228">
        <v>-663</v>
      </c>
      <c r="CZ95" s="229">
        <v>-0.34320000000000001</v>
      </c>
      <c r="DA95" s="228">
        <v>28.49</v>
      </c>
      <c r="DB95" s="228">
        <v>28.62</v>
      </c>
      <c r="DC95" s="228">
        <v>-0.13</v>
      </c>
      <c r="DD95" s="228">
        <v>-0.13</v>
      </c>
      <c r="DE95" s="228">
        <v>40.6</v>
      </c>
      <c r="DF95" s="228">
        <v>40.68</v>
      </c>
      <c r="DG95" s="228">
        <v>-12.11</v>
      </c>
      <c r="DH95" s="228">
        <v>-0.08</v>
      </c>
      <c r="DI95" s="228">
        <v>28.92</v>
      </c>
      <c r="DJ95" s="228">
        <v>28.74</v>
      </c>
      <c r="DK95" s="228">
        <v>0.18</v>
      </c>
      <c r="DL95" s="228">
        <v>0.18</v>
      </c>
      <c r="DM95" s="228">
        <v>27.6</v>
      </c>
      <c r="DN95" s="228">
        <v>28.37</v>
      </c>
      <c r="DO95" s="228">
        <v>-0.77</v>
      </c>
      <c r="DP95" s="228">
        <v>-0.77</v>
      </c>
      <c r="DQ95" s="228">
        <v>0.85</v>
      </c>
      <c r="DR95" s="228">
        <v>0.68</v>
      </c>
      <c r="DS95" s="228">
        <v>0.17</v>
      </c>
      <c r="DT95" s="229">
        <v>0.25</v>
      </c>
      <c r="DU95" s="228">
        <v>850</v>
      </c>
      <c r="DV95" s="228">
        <v>850</v>
      </c>
      <c r="DW95" s="228">
        <v>0.53</v>
      </c>
      <c r="DX95" s="228">
        <v>0.4</v>
      </c>
      <c r="DY95" s="228">
        <v>0.13</v>
      </c>
      <c r="DZ95" s="229">
        <v>0.32500000000000001</v>
      </c>
      <c r="EA95" s="229">
        <v>0.89190000000000003</v>
      </c>
      <c r="EB95" s="230">
        <v>9642000</v>
      </c>
      <c r="EC95" s="229">
        <v>3.3E-3</v>
      </c>
      <c r="ED95" s="229">
        <v>0.89190000000000003</v>
      </c>
      <c r="EE95" s="228">
        <v>3.32</v>
      </c>
      <c r="EF95" s="229">
        <v>4.0000000000000001E-3</v>
      </c>
      <c r="EG95" s="230">
        <v>1265637</v>
      </c>
      <c r="EH95" s="230">
        <v>1340655</v>
      </c>
      <c r="EI95" s="229">
        <v>-5.6000000000000001E-2</v>
      </c>
      <c r="EJ95" s="229">
        <v>0.50649999999999995</v>
      </c>
      <c r="EK95" s="228">
        <v>336.04</v>
      </c>
      <c r="EL95" s="228">
        <v>172.96</v>
      </c>
      <c r="EM95" s="228">
        <v>573.41</v>
      </c>
      <c r="EN95" s="228">
        <v>69.12</v>
      </c>
      <c r="EO95" s="231">
        <v>1082.4100000000001</v>
      </c>
      <c r="EP95" s="231">
        <v>1962.2</v>
      </c>
      <c r="EQ95" s="228">
        <v>-879.79</v>
      </c>
      <c r="ER95" s="229">
        <v>-0.44840000000000002</v>
      </c>
      <c r="ES95" s="228">
        <v>184.91</v>
      </c>
      <c r="ET95" s="228">
        <v>151.76</v>
      </c>
      <c r="EU95" s="228">
        <v>938.66</v>
      </c>
      <c r="EV95" s="231">
        <v>52862157</v>
      </c>
      <c r="EW95" s="231">
        <v>1275.33</v>
      </c>
      <c r="EX95" s="231">
        <v>1976.23</v>
      </c>
      <c r="EY95" s="228">
        <v>-700.9</v>
      </c>
      <c r="EZ95" s="229">
        <v>-0.35470000000000002</v>
      </c>
      <c r="FA95" s="229">
        <v>0.2863</v>
      </c>
      <c r="FB95" s="227" t="s">
        <v>567</v>
      </c>
      <c r="FC95">
        <f t="shared" si="1"/>
        <v>825</v>
      </c>
    </row>
    <row r="96" spans="1:159" ht="17.25" thickBot="1" x14ac:dyDescent="0.3">
      <c r="A96" s="226">
        <v>46168</v>
      </c>
      <c r="B96" s="227" t="s">
        <v>181</v>
      </c>
      <c r="C96" s="227" t="s">
        <v>684</v>
      </c>
      <c r="D96" s="228">
        <v>1</v>
      </c>
      <c r="E96" s="228">
        <v>0</v>
      </c>
      <c r="F96" s="228">
        <v>0</v>
      </c>
      <c r="G96" s="228">
        <v>0</v>
      </c>
      <c r="H96" s="228">
        <v>0</v>
      </c>
      <c r="I96" s="229">
        <v>0</v>
      </c>
      <c r="J96" s="228">
        <v>16.13</v>
      </c>
      <c r="K96" s="228">
        <v>16.7</v>
      </c>
      <c r="L96" s="228">
        <v>-0.56999999999999995</v>
      </c>
      <c r="M96" s="229">
        <v>-3.4000000000000002E-2</v>
      </c>
      <c r="N96" s="228">
        <v>0</v>
      </c>
      <c r="O96" s="228">
        <v>0</v>
      </c>
      <c r="P96" s="228">
        <v>0</v>
      </c>
      <c r="Q96" s="229">
        <v>0</v>
      </c>
      <c r="R96" s="228">
        <v>0</v>
      </c>
      <c r="S96" s="228">
        <v>0</v>
      </c>
      <c r="T96" s="228">
        <v>0</v>
      </c>
      <c r="U96" s="229">
        <v>0</v>
      </c>
      <c r="V96" s="228">
        <v>0</v>
      </c>
      <c r="W96" s="228">
        <v>0</v>
      </c>
      <c r="X96" s="228">
        <v>0</v>
      </c>
      <c r="Y96" s="229">
        <v>0</v>
      </c>
      <c r="Z96" s="228">
        <v>0</v>
      </c>
      <c r="AA96" s="228">
        <v>0</v>
      </c>
      <c r="AB96" s="228">
        <v>0</v>
      </c>
      <c r="AC96" s="229">
        <v>0</v>
      </c>
      <c r="AD96" s="228">
        <v>0</v>
      </c>
      <c r="AE96" s="228">
        <v>0</v>
      </c>
      <c r="AF96" s="228">
        <v>0</v>
      </c>
      <c r="AG96" s="229">
        <v>0</v>
      </c>
      <c r="AH96" s="228">
        <v>0</v>
      </c>
      <c r="AI96" s="228">
        <v>0</v>
      </c>
      <c r="AJ96" s="228">
        <v>0</v>
      </c>
      <c r="AK96" s="229">
        <v>0</v>
      </c>
      <c r="AL96" s="228">
        <v>0</v>
      </c>
      <c r="AM96" s="228">
        <v>0</v>
      </c>
      <c r="AN96" s="228">
        <v>0</v>
      </c>
      <c r="AO96" s="229">
        <v>0</v>
      </c>
      <c r="AP96" s="228">
        <v>0</v>
      </c>
      <c r="AQ96" s="228">
        <v>0</v>
      </c>
      <c r="AR96" s="228">
        <v>0</v>
      </c>
      <c r="AS96" s="228">
        <v>0</v>
      </c>
      <c r="AT96" s="228">
        <v>0</v>
      </c>
      <c r="AU96" s="228">
        <v>0</v>
      </c>
      <c r="AV96" s="229">
        <v>0</v>
      </c>
      <c r="AW96" s="228">
        <v>0</v>
      </c>
      <c r="AX96" s="228">
        <v>0</v>
      </c>
      <c r="AY96" s="228">
        <v>0</v>
      </c>
      <c r="AZ96" s="229">
        <v>0</v>
      </c>
      <c r="BA96" s="228">
        <v>0</v>
      </c>
      <c r="BB96" s="228">
        <v>0</v>
      </c>
      <c r="BC96" s="228">
        <v>0</v>
      </c>
      <c r="BD96" s="229">
        <v>0</v>
      </c>
      <c r="BE96" s="228">
        <v>0</v>
      </c>
      <c r="BF96" s="228">
        <v>0</v>
      </c>
      <c r="BG96" s="228">
        <v>0</v>
      </c>
      <c r="BH96" s="229">
        <v>0</v>
      </c>
      <c r="BI96" s="228">
        <v>0</v>
      </c>
      <c r="BJ96" s="228">
        <v>0</v>
      </c>
      <c r="BK96" s="228">
        <v>0</v>
      </c>
      <c r="BL96" s="229">
        <v>0</v>
      </c>
      <c r="BM96" s="228">
        <v>0</v>
      </c>
      <c r="BN96" s="228">
        <v>0</v>
      </c>
      <c r="BO96" s="228">
        <v>0</v>
      </c>
      <c r="BP96" s="229">
        <v>0</v>
      </c>
      <c r="BQ96" s="228">
        <v>0</v>
      </c>
      <c r="BR96" s="228">
        <v>0</v>
      </c>
      <c r="BS96" s="228">
        <v>0</v>
      </c>
      <c r="BT96" s="229">
        <v>0</v>
      </c>
      <c r="BU96" s="228">
        <v>0</v>
      </c>
      <c r="BV96" s="228">
        <v>0</v>
      </c>
      <c r="BW96" s="228">
        <v>0</v>
      </c>
      <c r="BX96" s="229">
        <v>0</v>
      </c>
      <c r="BY96" s="228">
        <v>0</v>
      </c>
      <c r="BZ96" s="228">
        <v>0</v>
      </c>
      <c r="CA96" s="228">
        <v>0</v>
      </c>
      <c r="CB96" s="229">
        <v>0</v>
      </c>
      <c r="CC96" s="228">
        <v>0</v>
      </c>
      <c r="CD96" s="228">
        <v>0</v>
      </c>
      <c r="CE96" s="228">
        <v>0</v>
      </c>
      <c r="CF96" s="229">
        <v>0</v>
      </c>
      <c r="CG96" s="228">
        <v>0</v>
      </c>
      <c r="CH96" s="228">
        <v>0</v>
      </c>
      <c r="CI96" s="228">
        <v>0</v>
      </c>
      <c r="CJ96" s="229">
        <v>0</v>
      </c>
      <c r="CK96" s="228">
        <v>0</v>
      </c>
      <c r="CL96" s="228">
        <v>0</v>
      </c>
      <c r="CM96" s="228">
        <v>0</v>
      </c>
      <c r="CN96" s="229">
        <v>0</v>
      </c>
      <c r="CO96" s="228">
        <v>0</v>
      </c>
      <c r="CP96" s="228">
        <v>0</v>
      </c>
      <c r="CQ96" s="228">
        <v>0</v>
      </c>
      <c r="CR96" s="229">
        <v>0</v>
      </c>
      <c r="CS96" s="228">
        <v>0</v>
      </c>
      <c r="CT96" s="228">
        <v>0</v>
      </c>
      <c r="CU96" s="228">
        <v>0</v>
      </c>
      <c r="CV96" s="229">
        <v>0</v>
      </c>
      <c r="CW96" s="228">
        <v>0</v>
      </c>
      <c r="CX96" s="228">
        <v>0</v>
      </c>
      <c r="CY96" s="228">
        <v>0</v>
      </c>
      <c r="CZ96" s="229">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8">
        <v>0</v>
      </c>
      <c r="DT96" s="229">
        <v>0</v>
      </c>
      <c r="DU96" s="228">
        <v>0</v>
      </c>
      <c r="DV96" s="228">
        <v>0</v>
      </c>
      <c r="DW96" s="228">
        <v>0</v>
      </c>
      <c r="DX96" s="228">
        <v>0</v>
      </c>
      <c r="DY96" s="228">
        <v>0</v>
      </c>
      <c r="DZ96" s="229">
        <v>0</v>
      </c>
      <c r="EA96" s="229">
        <v>0</v>
      </c>
      <c r="EB96" s="228">
        <v>0</v>
      </c>
      <c r="EC96" s="229">
        <v>0</v>
      </c>
      <c r="ED96" s="229">
        <v>0</v>
      </c>
      <c r="EE96" s="228">
        <v>0</v>
      </c>
      <c r="EF96" s="229">
        <v>0</v>
      </c>
      <c r="EG96" s="228">
        <v>0</v>
      </c>
      <c r="EH96" s="228">
        <v>0</v>
      </c>
      <c r="EI96" s="229">
        <v>0</v>
      </c>
      <c r="EJ96" s="229">
        <v>0</v>
      </c>
      <c r="EK96" s="228">
        <v>0</v>
      </c>
      <c r="EL96" s="228">
        <v>0</v>
      </c>
      <c r="EM96" s="228">
        <v>0</v>
      </c>
      <c r="EN96" s="228">
        <v>0</v>
      </c>
      <c r="EO96" s="228">
        <v>0</v>
      </c>
      <c r="EP96" s="228">
        <v>0</v>
      </c>
      <c r="EQ96" s="228">
        <v>0</v>
      </c>
      <c r="ER96" s="229">
        <v>0</v>
      </c>
      <c r="ES96" s="228">
        <v>0</v>
      </c>
      <c r="ET96" s="228">
        <v>0</v>
      </c>
      <c r="EU96" s="228">
        <v>0</v>
      </c>
      <c r="EV96" s="228">
        <v>0</v>
      </c>
      <c r="EW96" s="228">
        <v>0</v>
      </c>
      <c r="EX96" s="228">
        <v>0</v>
      </c>
      <c r="EY96" s="228">
        <v>0</v>
      </c>
      <c r="EZ96" s="229">
        <v>0</v>
      </c>
      <c r="FA96" s="229">
        <v>0</v>
      </c>
      <c r="FB96" s="227" t="s">
        <v>237</v>
      </c>
      <c r="FC96">
        <f t="shared" si="1"/>
        <v>0</v>
      </c>
    </row>
    <row r="97" spans="1:159" ht="17.25" thickBot="1" x14ac:dyDescent="0.3">
      <c r="A97" s="226">
        <v>46168</v>
      </c>
      <c r="B97" s="227" t="s">
        <v>215</v>
      </c>
      <c r="C97" s="227" t="s">
        <v>238</v>
      </c>
      <c r="D97" s="228">
        <v>150</v>
      </c>
      <c r="E97" s="228">
        <v>0</v>
      </c>
      <c r="F97" s="231">
        <v>4507.3</v>
      </c>
      <c r="G97" s="231">
        <v>4518</v>
      </c>
      <c r="H97" s="228">
        <v>-10.7</v>
      </c>
      <c r="I97" s="229">
        <v>-2.3999999999999998E-3</v>
      </c>
      <c r="J97" s="231">
        <v>4480.8</v>
      </c>
      <c r="K97" s="231">
        <v>4501.8999999999996</v>
      </c>
      <c r="L97" s="228">
        <v>-21.1</v>
      </c>
      <c r="M97" s="229">
        <v>-4.7000000000000002E-3</v>
      </c>
      <c r="N97" s="231">
        <v>4471.5</v>
      </c>
      <c r="O97" s="231">
        <v>4481.6000000000004</v>
      </c>
      <c r="P97" s="228">
        <v>-10.1</v>
      </c>
      <c r="Q97" s="229">
        <v>-2.3E-3</v>
      </c>
      <c r="R97" s="231">
        <v>4507.3</v>
      </c>
      <c r="S97" s="231">
        <v>4518</v>
      </c>
      <c r="T97" s="228">
        <v>-10.7</v>
      </c>
      <c r="U97" s="229">
        <v>-2.3999999999999998E-3</v>
      </c>
      <c r="V97" s="231">
        <v>4533.6000000000004</v>
      </c>
      <c r="W97" s="231">
        <v>4539</v>
      </c>
      <c r="X97" s="228">
        <v>-5.4</v>
      </c>
      <c r="Y97" s="229">
        <v>-1.1999999999999999E-3</v>
      </c>
      <c r="Z97" s="228">
        <v>26.5</v>
      </c>
      <c r="AA97" s="228">
        <v>-20.3</v>
      </c>
      <c r="AB97" s="228">
        <v>46.8</v>
      </c>
      <c r="AC97" s="229">
        <v>5.8999999999999999E-3</v>
      </c>
      <c r="AD97" s="228">
        <v>-9.3000000000000007</v>
      </c>
      <c r="AE97" s="228">
        <v>-20.3</v>
      </c>
      <c r="AF97" s="228">
        <v>11</v>
      </c>
      <c r="AG97" s="229">
        <v>-2.0999999999999999E-3</v>
      </c>
      <c r="AH97" s="228">
        <v>26.5</v>
      </c>
      <c r="AI97" s="228">
        <v>16.100000000000001</v>
      </c>
      <c r="AJ97" s="228">
        <v>10.4</v>
      </c>
      <c r="AK97" s="229">
        <v>5.8999999999999999E-3</v>
      </c>
      <c r="AL97" s="228">
        <v>52.8</v>
      </c>
      <c r="AM97" s="228">
        <v>37.1</v>
      </c>
      <c r="AN97" s="228">
        <v>15.7</v>
      </c>
      <c r="AO97" s="229">
        <v>1.18E-2</v>
      </c>
      <c r="AP97" s="231">
        <v>4471.54</v>
      </c>
      <c r="AQ97" s="231">
        <v>4506.2</v>
      </c>
      <c r="AR97" s="228">
        <v>0</v>
      </c>
      <c r="AS97" s="230">
        <v>1893</v>
      </c>
      <c r="AT97" s="230">
        <v>2948</v>
      </c>
      <c r="AU97" s="230">
        <v>-1054</v>
      </c>
      <c r="AV97" s="229">
        <v>-0.35770000000000002</v>
      </c>
      <c r="AW97" s="228">
        <v>883</v>
      </c>
      <c r="AX97" s="230">
        <v>1475</v>
      </c>
      <c r="AY97" s="228">
        <v>-592</v>
      </c>
      <c r="AZ97" s="229">
        <v>-0.4012</v>
      </c>
      <c r="BA97" s="228">
        <v>996</v>
      </c>
      <c r="BB97" s="230">
        <v>1459</v>
      </c>
      <c r="BC97" s="228">
        <v>-463</v>
      </c>
      <c r="BD97" s="229">
        <v>-0.31759999999999999</v>
      </c>
      <c r="BE97" s="228">
        <v>14</v>
      </c>
      <c r="BF97" s="228">
        <v>14</v>
      </c>
      <c r="BG97" s="228">
        <v>1</v>
      </c>
      <c r="BH97" s="229">
        <v>5.45E-2</v>
      </c>
      <c r="BI97" s="230">
        <v>3253</v>
      </c>
      <c r="BJ97" s="230">
        <v>9279</v>
      </c>
      <c r="BK97" s="230">
        <v>-6027</v>
      </c>
      <c r="BL97" s="229">
        <v>-0.64949999999999997</v>
      </c>
      <c r="BM97" s="230">
        <v>2089</v>
      </c>
      <c r="BN97" s="230">
        <v>12904</v>
      </c>
      <c r="BO97" s="230">
        <v>-10815</v>
      </c>
      <c r="BP97" s="229">
        <v>-0.83809999999999996</v>
      </c>
      <c r="BQ97" s="230">
        <v>7235</v>
      </c>
      <c r="BR97" s="230">
        <v>25131</v>
      </c>
      <c r="BS97" s="230">
        <v>-17896</v>
      </c>
      <c r="BT97" s="229">
        <v>-0.71209999999999996</v>
      </c>
      <c r="BU97" s="230">
        <v>781161</v>
      </c>
      <c r="BV97" s="230">
        <v>2577026</v>
      </c>
      <c r="BW97" s="230">
        <v>-1795865</v>
      </c>
      <c r="BX97" s="229">
        <v>-0.69689999999999996</v>
      </c>
      <c r="BY97" s="230">
        <v>3372</v>
      </c>
      <c r="BZ97" s="230">
        <v>3748</v>
      </c>
      <c r="CA97" s="228">
        <v>-375</v>
      </c>
      <c r="CB97" s="229">
        <v>-0.10009999999999999</v>
      </c>
      <c r="CC97" s="228">
        <v>664</v>
      </c>
      <c r="CD97" s="228">
        <v>687</v>
      </c>
      <c r="CE97" s="228">
        <v>-23</v>
      </c>
      <c r="CF97" s="229">
        <v>-3.3599999999999998E-2</v>
      </c>
      <c r="CG97" s="230">
        <v>3336</v>
      </c>
      <c r="CH97" s="230">
        <v>3032</v>
      </c>
      <c r="CI97" s="228">
        <v>304</v>
      </c>
      <c r="CJ97" s="229">
        <v>0.1002</v>
      </c>
      <c r="CK97" s="228">
        <v>36</v>
      </c>
      <c r="CL97" s="228">
        <v>28</v>
      </c>
      <c r="CM97" s="228">
        <v>8</v>
      </c>
      <c r="CN97" s="229">
        <v>0.2944</v>
      </c>
      <c r="CO97" s="228">
        <v>659</v>
      </c>
      <c r="CP97" s="230">
        <v>2531</v>
      </c>
      <c r="CQ97" s="230">
        <v>-1872</v>
      </c>
      <c r="CR97" s="229">
        <v>-0.73960000000000004</v>
      </c>
      <c r="CS97" s="228">
        <v>640</v>
      </c>
      <c r="CT97" s="230">
        <v>1601</v>
      </c>
      <c r="CU97" s="228">
        <v>-961</v>
      </c>
      <c r="CV97" s="229">
        <v>-0.60029999999999994</v>
      </c>
      <c r="CW97" s="230">
        <v>4671</v>
      </c>
      <c r="CX97" s="230">
        <v>7879</v>
      </c>
      <c r="CY97" s="230">
        <v>-3208</v>
      </c>
      <c r="CZ97" s="229">
        <v>-0.40720000000000001</v>
      </c>
      <c r="DA97" s="228">
        <v>32.17</v>
      </c>
      <c r="DB97" s="228">
        <v>31.89</v>
      </c>
      <c r="DC97" s="228">
        <v>0.28000000000000003</v>
      </c>
      <c r="DD97" s="228">
        <v>0.28000000000000003</v>
      </c>
      <c r="DE97" s="228">
        <v>40.159999999999997</v>
      </c>
      <c r="DF97" s="228">
        <v>40.26</v>
      </c>
      <c r="DG97" s="228">
        <v>-7.99</v>
      </c>
      <c r="DH97" s="228">
        <v>-0.1</v>
      </c>
      <c r="DI97" s="228">
        <v>31.65</v>
      </c>
      <c r="DJ97" s="228">
        <v>31.69</v>
      </c>
      <c r="DK97" s="228">
        <v>-0.04</v>
      </c>
      <c r="DL97" s="228">
        <v>-0.04</v>
      </c>
      <c r="DM97" s="228">
        <v>32.92</v>
      </c>
      <c r="DN97" s="228">
        <v>32.25</v>
      </c>
      <c r="DO97" s="228">
        <v>0.67</v>
      </c>
      <c r="DP97" s="228">
        <v>0.67</v>
      </c>
      <c r="DQ97" s="228">
        <v>0.97</v>
      </c>
      <c r="DR97" s="228">
        <v>0.63</v>
      </c>
      <c r="DS97" s="228">
        <v>0.34</v>
      </c>
      <c r="DT97" s="229">
        <v>0.53969999999999996</v>
      </c>
      <c r="DU97" s="231">
        <v>4600</v>
      </c>
      <c r="DV97" s="231">
        <v>4200</v>
      </c>
      <c r="DW97" s="228">
        <v>0.64</v>
      </c>
      <c r="DX97" s="228">
        <v>1.39</v>
      </c>
      <c r="DY97" s="228">
        <v>-0.75</v>
      </c>
      <c r="DZ97" s="229">
        <v>-0.53959999999999997</v>
      </c>
      <c r="EA97" s="229">
        <v>0.83550000000000002</v>
      </c>
      <c r="EB97" s="230">
        <v>6789600</v>
      </c>
      <c r="EC97" s="229">
        <v>8.0000000000000002E-3</v>
      </c>
      <c r="ED97" s="229">
        <v>0.83550000000000002</v>
      </c>
      <c r="EE97" s="228">
        <v>34.659999999999997</v>
      </c>
      <c r="EF97" s="229">
        <v>7.7999999999999996E-3</v>
      </c>
      <c r="EG97" s="230">
        <v>291587</v>
      </c>
      <c r="EH97" s="230">
        <v>1447551</v>
      </c>
      <c r="EI97" s="229">
        <v>-0.79859999999999998</v>
      </c>
      <c r="EJ97" s="229">
        <v>0.37330000000000002</v>
      </c>
      <c r="EK97" s="231">
        <v>3353.74</v>
      </c>
      <c r="EL97" s="231">
        <v>2059.3000000000002</v>
      </c>
      <c r="EM97" s="231">
        <v>1886.02</v>
      </c>
      <c r="EN97" s="228">
        <v>264.76</v>
      </c>
      <c r="EO97" s="231">
        <v>7299.06</v>
      </c>
      <c r="EP97" s="231">
        <v>24993.279999999999</v>
      </c>
      <c r="EQ97" s="231">
        <v>-17694.23</v>
      </c>
      <c r="ER97" s="229">
        <v>-0.70799999999999996</v>
      </c>
      <c r="ES97" s="228">
        <v>687.17</v>
      </c>
      <c r="ET97" s="228">
        <v>617.49</v>
      </c>
      <c r="EU97" s="231">
        <v>3372.5</v>
      </c>
      <c r="EV97" s="231">
        <v>33878797</v>
      </c>
      <c r="EW97" s="231">
        <v>4677.17</v>
      </c>
      <c r="EX97" s="231">
        <v>7870.01</v>
      </c>
      <c r="EY97" s="231">
        <v>-3192.84</v>
      </c>
      <c r="EZ97" s="229">
        <v>-0.40570000000000001</v>
      </c>
      <c r="FA97" s="229">
        <v>0.30590000000000001</v>
      </c>
      <c r="FB97" s="227" t="s">
        <v>567</v>
      </c>
      <c r="FC97">
        <f t="shared" si="1"/>
        <v>2708</v>
      </c>
    </row>
    <row r="98" spans="1:159" ht="17.25" thickBot="1" x14ac:dyDescent="0.3">
      <c r="A98" s="226">
        <v>46168</v>
      </c>
      <c r="B98" s="227" t="s">
        <v>172</v>
      </c>
      <c r="C98" s="227" t="s">
        <v>239</v>
      </c>
      <c r="D98" s="228">
        <v>700</v>
      </c>
      <c r="E98" s="228">
        <v>0</v>
      </c>
      <c r="F98" s="228">
        <v>937.35</v>
      </c>
      <c r="G98" s="228">
        <v>930.55</v>
      </c>
      <c r="H98" s="228">
        <v>6.8</v>
      </c>
      <c r="I98" s="229">
        <v>7.3000000000000001E-3</v>
      </c>
      <c r="J98" s="228">
        <v>932.3</v>
      </c>
      <c r="K98" s="228">
        <v>926.1</v>
      </c>
      <c r="L98" s="228">
        <v>6.2</v>
      </c>
      <c r="M98" s="229">
        <v>6.7000000000000002E-3</v>
      </c>
      <c r="N98" s="228">
        <v>930.95</v>
      </c>
      <c r="O98" s="228">
        <v>928.35</v>
      </c>
      <c r="P98" s="228">
        <v>2.6</v>
      </c>
      <c r="Q98" s="229">
        <v>2.8E-3</v>
      </c>
      <c r="R98" s="228">
        <v>937.35</v>
      </c>
      <c r="S98" s="228">
        <v>930.55</v>
      </c>
      <c r="T98" s="228">
        <v>6.8</v>
      </c>
      <c r="U98" s="229">
        <v>7.3000000000000001E-3</v>
      </c>
      <c r="V98" s="228">
        <v>942.5</v>
      </c>
      <c r="W98" s="228">
        <v>936.5</v>
      </c>
      <c r="X98" s="228">
        <v>6</v>
      </c>
      <c r="Y98" s="229">
        <v>6.4000000000000003E-3</v>
      </c>
      <c r="Z98" s="228">
        <v>5.05</v>
      </c>
      <c r="AA98" s="228">
        <v>2.25</v>
      </c>
      <c r="AB98" s="228">
        <v>2.8</v>
      </c>
      <c r="AC98" s="229">
        <v>5.4000000000000003E-3</v>
      </c>
      <c r="AD98" s="228">
        <v>-1.35</v>
      </c>
      <c r="AE98" s="228">
        <v>2.25</v>
      </c>
      <c r="AF98" s="228">
        <v>-3.6</v>
      </c>
      <c r="AG98" s="229">
        <v>-1.4E-3</v>
      </c>
      <c r="AH98" s="228">
        <v>5.05</v>
      </c>
      <c r="AI98" s="228">
        <v>4.45</v>
      </c>
      <c r="AJ98" s="228">
        <v>0.6</v>
      </c>
      <c r="AK98" s="229">
        <v>5.4000000000000003E-3</v>
      </c>
      <c r="AL98" s="228">
        <v>10.199999999999999</v>
      </c>
      <c r="AM98" s="228">
        <v>10.4</v>
      </c>
      <c r="AN98" s="228">
        <v>-0.2</v>
      </c>
      <c r="AO98" s="229">
        <v>1.09E-2</v>
      </c>
      <c r="AP98" s="228">
        <v>926.47</v>
      </c>
      <c r="AQ98" s="228">
        <v>931.96</v>
      </c>
      <c r="AR98" s="228">
        <v>0</v>
      </c>
      <c r="AS98" s="228">
        <v>866</v>
      </c>
      <c r="AT98" s="230">
        <v>1786</v>
      </c>
      <c r="AU98" s="228">
        <v>-920</v>
      </c>
      <c r="AV98" s="229">
        <v>-0.5151</v>
      </c>
      <c r="AW98" s="228">
        <v>318</v>
      </c>
      <c r="AX98" s="228">
        <v>854</v>
      </c>
      <c r="AY98" s="228">
        <v>-536</v>
      </c>
      <c r="AZ98" s="229">
        <v>-0.628</v>
      </c>
      <c r="BA98" s="228">
        <v>538</v>
      </c>
      <c r="BB98" s="228">
        <v>926</v>
      </c>
      <c r="BC98" s="228">
        <v>-388</v>
      </c>
      <c r="BD98" s="229">
        <v>-0.41860000000000003</v>
      </c>
      <c r="BE98" s="228">
        <v>10</v>
      </c>
      <c r="BF98" s="228">
        <v>5</v>
      </c>
      <c r="BG98" s="228">
        <v>4</v>
      </c>
      <c r="BH98" s="229">
        <v>0.77110000000000001</v>
      </c>
      <c r="BI98" s="228">
        <v>419</v>
      </c>
      <c r="BJ98" s="230">
        <v>1029</v>
      </c>
      <c r="BK98" s="228">
        <v>-610</v>
      </c>
      <c r="BL98" s="229">
        <v>-0.59279999999999999</v>
      </c>
      <c r="BM98" s="228">
        <v>252</v>
      </c>
      <c r="BN98" s="228">
        <v>584</v>
      </c>
      <c r="BO98" s="228">
        <v>-332</v>
      </c>
      <c r="BP98" s="229">
        <v>-0.56820000000000004</v>
      </c>
      <c r="BQ98" s="230">
        <v>1537</v>
      </c>
      <c r="BR98" s="230">
        <v>3399</v>
      </c>
      <c r="BS98" s="230">
        <v>-1862</v>
      </c>
      <c r="BT98" s="229">
        <v>-0.54779999999999995</v>
      </c>
      <c r="BU98" s="230">
        <v>2370881</v>
      </c>
      <c r="BV98" s="230">
        <v>1241962</v>
      </c>
      <c r="BW98" s="230">
        <v>1128919</v>
      </c>
      <c r="BX98" s="229">
        <v>0.90900000000000003</v>
      </c>
      <c r="BY98" s="230">
        <v>3478</v>
      </c>
      <c r="BZ98" s="230">
        <v>3561</v>
      </c>
      <c r="CA98" s="228">
        <v>-82</v>
      </c>
      <c r="CB98" s="229">
        <v>-2.3099999999999999E-2</v>
      </c>
      <c r="CC98" s="228">
        <v>171</v>
      </c>
      <c r="CD98" s="228">
        <v>369</v>
      </c>
      <c r="CE98" s="228">
        <v>-198</v>
      </c>
      <c r="CF98" s="229">
        <v>-0.53739999999999999</v>
      </c>
      <c r="CG98" s="230">
        <v>3011</v>
      </c>
      <c r="CH98" s="230">
        <v>2727</v>
      </c>
      <c r="CI98" s="228">
        <v>284</v>
      </c>
      <c r="CJ98" s="229">
        <v>0.1043</v>
      </c>
      <c r="CK98" s="228">
        <v>467</v>
      </c>
      <c r="CL98" s="228">
        <v>465</v>
      </c>
      <c r="CM98" s="228">
        <v>2</v>
      </c>
      <c r="CN98" s="229">
        <v>5.1999999999999998E-3</v>
      </c>
      <c r="CO98" s="228">
        <v>202</v>
      </c>
      <c r="CP98" s="228">
        <v>618</v>
      </c>
      <c r="CQ98" s="228">
        <v>-417</v>
      </c>
      <c r="CR98" s="229">
        <v>-0.67349999999999999</v>
      </c>
      <c r="CS98" s="228">
        <v>208</v>
      </c>
      <c r="CT98" s="228">
        <v>500</v>
      </c>
      <c r="CU98" s="228">
        <v>-292</v>
      </c>
      <c r="CV98" s="229">
        <v>-0.58409999999999995</v>
      </c>
      <c r="CW98" s="230">
        <v>3888</v>
      </c>
      <c r="CX98" s="230">
        <v>4679</v>
      </c>
      <c r="CY98" s="228">
        <v>-791</v>
      </c>
      <c r="CZ98" s="229">
        <v>-0.1691</v>
      </c>
      <c r="DA98" s="228">
        <v>26.23</v>
      </c>
      <c r="DB98" s="228">
        <v>27.34</v>
      </c>
      <c r="DC98" s="228">
        <v>-1.1100000000000001</v>
      </c>
      <c r="DD98" s="228">
        <v>-1.1100000000000001</v>
      </c>
      <c r="DE98" s="228">
        <v>42.74</v>
      </c>
      <c r="DF98" s="228">
        <v>42.83</v>
      </c>
      <c r="DG98" s="228">
        <v>-16.510000000000002</v>
      </c>
      <c r="DH98" s="228">
        <v>-0.09</v>
      </c>
      <c r="DI98" s="228">
        <v>25.85</v>
      </c>
      <c r="DJ98" s="228">
        <v>27.36</v>
      </c>
      <c r="DK98" s="228">
        <v>-1.51</v>
      </c>
      <c r="DL98" s="228">
        <v>-1.51</v>
      </c>
      <c r="DM98" s="228">
        <v>27.02</v>
      </c>
      <c r="DN98" s="228">
        <v>27.32</v>
      </c>
      <c r="DO98" s="228">
        <v>-0.3</v>
      </c>
      <c r="DP98" s="228">
        <v>-0.3</v>
      </c>
      <c r="DQ98" s="228">
        <v>1.03</v>
      </c>
      <c r="DR98" s="228">
        <v>0.81</v>
      </c>
      <c r="DS98" s="228">
        <v>0.22</v>
      </c>
      <c r="DT98" s="229">
        <v>0.27160000000000001</v>
      </c>
      <c r="DU98" s="231">
        <v>1000</v>
      </c>
      <c r="DV98" s="228">
        <v>900</v>
      </c>
      <c r="DW98" s="228">
        <v>0.6</v>
      </c>
      <c r="DX98" s="228">
        <v>0.56999999999999995</v>
      </c>
      <c r="DY98" s="228">
        <v>0.03</v>
      </c>
      <c r="DZ98" s="229">
        <v>5.2600000000000001E-2</v>
      </c>
      <c r="EA98" s="229">
        <v>0.95320000000000005</v>
      </c>
      <c r="EB98" s="230">
        <v>34048700</v>
      </c>
      <c r="EC98" s="229">
        <v>6.8999999999999999E-3</v>
      </c>
      <c r="ED98" s="229">
        <v>0.95320000000000005</v>
      </c>
      <c r="EE98" s="228">
        <v>5.49</v>
      </c>
      <c r="EF98" s="229">
        <v>5.8999999999999999E-3</v>
      </c>
      <c r="EG98" s="230">
        <v>731986</v>
      </c>
      <c r="EH98" s="230">
        <v>521163</v>
      </c>
      <c r="EI98" s="229">
        <v>0.40450000000000003</v>
      </c>
      <c r="EJ98" s="229">
        <v>0.30869999999999997</v>
      </c>
      <c r="EK98" s="228">
        <v>430.39</v>
      </c>
      <c r="EL98" s="228">
        <v>248.05</v>
      </c>
      <c r="EM98" s="228">
        <v>859.08</v>
      </c>
      <c r="EN98" s="228">
        <v>228.08</v>
      </c>
      <c r="EO98" s="231">
        <v>1537.52</v>
      </c>
      <c r="EP98" s="231">
        <v>3377.3</v>
      </c>
      <c r="EQ98" s="231">
        <v>-1839.78</v>
      </c>
      <c r="ER98" s="229">
        <v>-0.54469999999999996</v>
      </c>
      <c r="ES98" s="228">
        <v>206.63</v>
      </c>
      <c r="ET98" s="228">
        <v>198.61</v>
      </c>
      <c r="EU98" s="231">
        <v>3480.86</v>
      </c>
      <c r="EV98" s="231">
        <v>93808799</v>
      </c>
      <c r="EW98" s="231">
        <v>3886.1</v>
      </c>
      <c r="EX98" s="231">
        <v>4627.03</v>
      </c>
      <c r="EY98" s="228">
        <v>-740.93</v>
      </c>
      <c r="EZ98" s="229">
        <v>-0.16009999999999999</v>
      </c>
      <c r="FA98" s="229">
        <v>0.44219999999999998</v>
      </c>
      <c r="FB98" s="227" t="s">
        <v>691</v>
      </c>
      <c r="FC98">
        <f t="shared" si="1"/>
        <v>3307</v>
      </c>
    </row>
    <row r="99" spans="1:159" ht="17.25" thickBot="1" x14ac:dyDescent="0.3">
      <c r="A99" s="226">
        <v>46168</v>
      </c>
      <c r="B99" s="227" t="s">
        <v>188</v>
      </c>
      <c r="C99" s="227" t="s">
        <v>473</v>
      </c>
      <c r="D99" s="228">
        <v>1700</v>
      </c>
      <c r="E99" s="228">
        <v>0</v>
      </c>
      <c r="F99" s="228">
        <v>437.05</v>
      </c>
      <c r="G99" s="228">
        <v>442.55</v>
      </c>
      <c r="H99" s="228">
        <v>-5.5</v>
      </c>
      <c r="I99" s="229">
        <v>-1.24E-2</v>
      </c>
      <c r="J99" s="228">
        <v>433.25</v>
      </c>
      <c r="K99" s="228">
        <v>438.85</v>
      </c>
      <c r="L99" s="228">
        <v>-5.6</v>
      </c>
      <c r="M99" s="229">
        <v>-1.2800000000000001E-2</v>
      </c>
      <c r="N99" s="228">
        <v>434.15</v>
      </c>
      <c r="O99" s="228">
        <v>439.35</v>
      </c>
      <c r="P99" s="228">
        <v>-5.2</v>
      </c>
      <c r="Q99" s="229">
        <v>-1.18E-2</v>
      </c>
      <c r="R99" s="228">
        <v>437.05</v>
      </c>
      <c r="S99" s="228">
        <v>442.55</v>
      </c>
      <c r="T99" s="228">
        <v>-5.5</v>
      </c>
      <c r="U99" s="229">
        <v>-1.24E-2</v>
      </c>
      <c r="V99" s="228">
        <v>439.8</v>
      </c>
      <c r="W99" s="228">
        <v>445.65</v>
      </c>
      <c r="X99" s="228">
        <v>-5.85</v>
      </c>
      <c r="Y99" s="229">
        <v>-1.3100000000000001E-2</v>
      </c>
      <c r="Z99" s="228">
        <v>3.8</v>
      </c>
      <c r="AA99" s="228">
        <v>0.5</v>
      </c>
      <c r="AB99" s="228">
        <v>3.3</v>
      </c>
      <c r="AC99" s="229">
        <v>8.8000000000000005E-3</v>
      </c>
      <c r="AD99" s="228">
        <v>0.9</v>
      </c>
      <c r="AE99" s="228">
        <v>0.5</v>
      </c>
      <c r="AF99" s="228">
        <v>0.4</v>
      </c>
      <c r="AG99" s="229">
        <v>2.0999999999999999E-3</v>
      </c>
      <c r="AH99" s="228">
        <v>3.8</v>
      </c>
      <c r="AI99" s="228">
        <v>3.7</v>
      </c>
      <c r="AJ99" s="228">
        <v>0.1</v>
      </c>
      <c r="AK99" s="229">
        <v>8.8000000000000005E-3</v>
      </c>
      <c r="AL99" s="228">
        <v>6.55</v>
      </c>
      <c r="AM99" s="228">
        <v>6.8</v>
      </c>
      <c r="AN99" s="228">
        <v>-0.25</v>
      </c>
      <c r="AO99" s="229">
        <v>1.5100000000000001E-2</v>
      </c>
      <c r="AP99" s="228">
        <v>436.48</v>
      </c>
      <c r="AQ99" s="228">
        <v>439.16</v>
      </c>
      <c r="AR99" s="228">
        <v>0</v>
      </c>
      <c r="AS99" s="230">
        <v>1412</v>
      </c>
      <c r="AT99" s="230">
        <v>1812</v>
      </c>
      <c r="AU99" s="228">
        <v>-400</v>
      </c>
      <c r="AV99" s="229">
        <v>-0.2208</v>
      </c>
      <c r="AW99" s="228">
        <v>533</v>
      </c>
      <c r="AX99" s="228">
        <v>784</v>
      </c>
      <c r="AY99" s="228">
        <v>-251</v>
      </c>
      <c r="AZ99" s="229">
        <v>-0.31990000000000002</v>
      </c>
      <c r="BA99" s="228">
        <v>868</v>
      </c>
      <c r="BB99" s="230">
        <v>1016</v>
      </c>
      <c r="BC99" s="228">
        <v>-148</v>
      </c>
      <c r="BD99" s="229">
        <v>-0.14549999999999999</v>
      </c>
      <c r="BE99" s="228">
        <v>11</v>
      </c>
      <c r="BF99" s="228">
        <v>12</v>
      </c>
      <c r="BG99" s="228">
        <v>-1</v>
      </c>
      <c r="BH99" s="229">
        <v>-0.1159</v>
      </c>
      <c r="BI99" s="230">
        <v>2189</v>
      </c>
      <c r="BJ99" s="230">
        <v>1419</v>
      </c>
      <c r="BK99" s="228">
        <v>770</v>
      </c>
      <c r="BL99" s="229">
        <v>0.54220000000000002</v>
      </c>
      <c r="BM99" s="230">
        <v>1085</v>
      </c>
      <c r="BN99" s="228">
        <v>695</v>
      </c>
      <c r="BO99" s="228">
        <v>390</v>
      </c>
      <c r="BP99" s="229">
        <v>0.56130000000000002</v>
      </c>
      <c r="BQ99" s="230">
        <v>4686</v>
      </c>
      <c r="BR99" s="230">
        <v>3926</v>
      </c>
      <c r="BS99" s="228">
        <v>759</v>
      </c>
      <c r="BT99" s="229">
        <v>0.19339999999999999</v>
      </c>
      <c r="BU99" s="230">
        <v>10616271</v>
      </c>
      <c r="BV99" s="230">
        <v>4600829</v>
      </c>
      <c r="BW99" s="230">
        <v>6015442</v>
      </c>
      <c r="BX99" s="229">
        <v>1.3075000000000001</v>
      </c>
      <c r="BY99" s="230">
        <v>4001</v>
      </c>
      <c r="BZ99" s="230">
        <v>4116</v>
      </c>
      <c r="CA99" s="228">
        <v>-115</v>
      </c>
      <c r="CB99" s="229">
        <v>-2.8000000000000001E-2</v>
      </c>
      <c r="CC99" s="228">
        <v>245</v>
      </c>
      <c r="CD99" s="228">
        <v>581</v>
      </c>
      <c r="CE99" s="228">
        <v>-336</v>
      </c>
      <c r="CF99" s="229">
        <v>-0.57889999999999997</v>
      </c>
      <c r="CG99" s="230">
        <v>3892</v>
      </c>
      <c r="CH99" s="230">
        <v>3433</v>
      </c>
      <c r="CI99" s="228">
        <v>459</v>
      </c>
      <c r="CJ99" s="229">
        <v>0.1336</v>
      </c>
      <c r="CK99" s="228">
        <v>109</v>
      </c>
      <c r="CL99" s="228">
        <v>102</v>
      </c>
      <c r="CM99" s="228">
        <v>7</v>
      </c>
      <c r="CN99" s="229">
        <v>6.9800000000000001E-2</v>
      </c>
      <c r="CO99" s="228">
        <v>659</v>
      </c>
      <c r="CP99" s="230">
        <v>1346</v>
      </c>
      <c r="CQ99" s="228">
        <v>-687</v>
      </c>
      <c r="CR99" s="229">
        <v>-0.51029999999999998</v>
      </c>
      <c r="CS99" s="228">
        <v>696</v>
      </c>
      <c r="CT99" s="230">
        <v>1228</v>
      </c>
      <c r="CU99" s="228">
        <v>-532</v>
      </c>
      <c r="CV99" s="229">
        <v>-0.43319999999999997</v>
      </c>
      <c r="CW99" s="230">
        <v>5356</v>
      </c>
      <c r="CX99" s="230">
        <v>6690</v>
      </c>
      <c r="CY99" s="230">
        <v>-1334</v>
      </c>
      <c r="CZ99" s="229">
        <v>-0.19939999999999999</v>
      </c>
      <c r="DA99" s="228">
        <v>23.54</v>
      </c>
      <c r="DB99" s="228">
        <v>23.26</v>
      </c>
      <c r="DC99" s="228">
        <v>0.28000000000000003</v>
      </c>
      <c r="DD99" s="228">
        <v>0.28000000000000003</v>
      </c>
      <c r="DE99" s="228">
        <v>36.81</v>
      </c>
      <c r="DF99" s="228">
        <v>36.86</v>
      </c>
      <c r="DG99" s="228">
        <v>-13.27</v>
      </c>
      <c r="DH99" s="228">
        <v>-0.05</v>
      </c>
      <c r="DI99" s="228">
        <v>23.37</v>
      </c>
      <c r="DJ99" s="228">
        <v>23.95</v>
      </c>
      <c r="DK99" s="228">
        <v>-0.57999999999999996</v>
      </c>
      <c r="DL99" s="228">
        <v>-0.57999999999999996</v>
      </c>
      <c r="DM99" s="228">
        <v>23.82</v>
      </c>
      <c r="DN99" s="228">
        <v>22.27</v>
      </c>
      <c r="DO99" s="228">
        <v>1.55</v>
      </c>
      <c r="DP99" s="228">
        <v>1.55</v>
      </c>
      <c r="DQ99" s="228">
        <v>1.06</v>
      </c>
      <c r="DR99" s="228">
        <v>0.91</v>
      </c>
      <c r="DS99" s="228">
        <v>0.15</v>
      </c>
      <c r="DT99" s="229">
        <v>0.1648</v>
      </c>
      <c r="DU99" s="228">
        <v>440</v>
      </c>
      <c r="DV99" s="228">
        <v>420</v>
      </c>
      <c r="DW99" s="228">
        <v>0.5</v>
      </c>
      <c r="DX99" s="228">
        <v>0.49</v>
      </c>
      <c r="DY99" s="228">
        <v>0.01</v>
      </c>
      <c r="DZ99" s="229">
        <v>2.0400000000000001E-2</v>
      </c>
      <c r="EA99" s="229">
        <v>0.94240000000000002</v>
      </c>
      <c r="EB99" s="230">
        <v>80897900</v>
      </c>
      <c r="EC99" s="229">
        <v>6.7000000000000002E-3</v>
      </c>
      <c r="ED99" s="229">
        <v>0.94240000000000002</v>
      </c>
      <c r="EE99" s="228">
        <v>2.68</v>
      </c>
      <c r="EF99" s="229">
        <v>6.1000000000000004E-3</v>
      </c>
      <c r="EG99" s="230">
        <v>5451941</v>
      </c>
      <c r="EH99" s="230">
        <v>2826591</v>
      </c>
      <c r="EI99" s="229">
        <v>0.92879999999999996</v>
      </c>
      <c r="EJ99" s="229">
        <v>0.51349999999999996</v>
      </c>
      <c r="EK99" s="231">
        <v>2261.75</v>
      </c>
      <c r="EL99" s="231">
        <v>1069.92</v>
      </c>
      <c r="EM99" s="231">
        <v>1415.85</v>
      </c>
      <c r="EN99" s="228">
        <v>220.72</v>
      </c>
      <c r="EO99" s="231">
        <v>4747.5200000000004</v>
      </c>
      <c r="EP99" s="231">
        <v>3945.21</v>
      </c>
      <c r="EQ99" s="228">
        <v>802.31</v>
      </c>
      <c r="ER99" s="229">
        <v>0.2034</v>
      </c>
      <c r="ES99" s="228">
        <v>676.4</v>
      </c>
      <c r="ET99" s="228">
        <v>674.67</v>
      </c>
      <c r="EU99" s="231">
        <v>4002.03</v>
      </c>
      <c r="EV99" s="231">
        <v>193625858</v>
      </c>
      <c r="EW99" s="231">
        <v>5353.11</v>
      </c>
      <c r="EX99" s="231">
        <v>6671.92</v>
      </c>
      <c r="EY99" s="231">
        <v>-1318.81</v>
      </c>
      <c r="EZ99" s="229">
        <v>-0.19769999999999999</v>
      </c>
      <c r="FA99" s="229">
        <v>0.63290000000000002</v>
      </c>
      <c r="FB99" s="227" t="s">
        <v>567</v>
      </c>
      <c r="FC99">
        <f t="shared" si="1"/>
        <v>3756</v>
      </c>
    </row>
    <row r="100" spans="1:159" ht="17.25" thickBot="1" x14ac:dyDescent="0.3">
      <c r="A100" s="226">
        <v>46168</v>
      </c>
      <c r="B100" s="227" t="s">
        <v>221</v>
      </c>
      <c r="C100" s="227" t="s">
        <v>240</v>
      </c>
      <c r="D100" s="228">
        <v>400</v>
      </c>
      <c r="E100" s="228">
        <v>0</v>
      </c>
      <c r="F100" s="231">
        <v>1166</v>
      </c>
      <c r="G100" s="231">
        <v>1158.5999999999999</v>
      </c>
      <c r="H100" s="228">
        <v>7.4</v>
      </c>
      <c r="I100" s="229">
        <v>6.4000000000000003E-3</v>
      </c>
      <c r="J100" s="231">
        <v>1167.7</v>
      </c>
      <c r="K100" s="231">
        <v>1168.5</v>
      </c>
      <c r="L100" s="228">
        <v>-0.8</v>
      </c>
      <c r="M100" s="229">
        <v>-6.9999999999999999E-4</v>
      </c>
      <c r="N100" s="231">
        <v>1165.9000000000001</v>
      </c>
      <c r="O100" s="231">
        <v>1169.7</v>
      </c>
      <c r="P100" s="228">
        <v>-3.8</v>
      </c>
      <c r="Q100" s="229">
        <v>-3.2000000000000002E-3</v>
      </c>
      <c r="R100" s="231">
        <v>1166</v>
      </c>
      <c r="S100" s="231">
        <v>1158.5999999999999</v>
      </c>
      <c r="T100" s="228">
        <v>7.4</v>
      </c>
      <c r="U100" s="229">
        <v>6.4000000000000003E-3</v>
      </c>
      <c r="V100" s="231">
        <v>1165.0999999999999</v>
      </c>
      <c r="W100" s="231">
        <v>1153.5</v>
      </c>
      <c r="X100" s="228">
        <v>11.6</v>
      </c>
      <c r="Y100" s="229">
        <v>1.01E-2</v>
      </c>
      <c r="Z100" s="228">
        <v>-1.7</v>
      </c>
      <c r="AA100" s="228">
        <v>1.2</v>
      </c>
      <c r="AB100" s="228">
        <v>-2.9</v>
      </c>
      <c r="AC100" s="229">
        <v>-1.5E-3</v>
      </c>
      <c r="AD100" s="228">
        <v>-1.8</v>
      </c>
      <c r="AE100" s="228">
        <v>1.2</v>
      </c>
      <c r="AF100" s="228">
        <v>-3</v>
      </c>
      <c r="AG100" s="229">
        <v>-1.5E-3</v>
      </c>
      <c r="AH100" s="228">
        <v>-1.7</v>
      </c>
      <c r="AI100" s="228">
        <v>-9.9</v>
      </c>
      <c r="AJ100" s="228">
        <v>8.1999999999999993</v>
      </c>
      <c r="AK100" s="229">
        <v>-1.5E-3</v>
      </c>
      <c r="AL100" s="228">
        <v>-2.6</v>
      </c>
      <c r="AM100" s="228">
        <v>-15</v>
      </c>
      <c r="AN100" s="228">
        <v>12.4</v>
      </c>
      <c r="AO100" s="229">
        <v>-2.2000000000000001E-3</v>
      </c>
      <c r="AP100" s="231">
        <v>1174.1199999999999</v>
      </c>
      <c r="AQ100" s="231">
        <v>1168.3599999999999</v>
      </c>
      <c r="AR100" s="228">
        <v>0</v>
      </c>
      <c r="AS100" s="230">
        <v>2698</v>
      </c>
      <c r="AT100" s="230">
        <v>6628</v>
      </c>
      <c r="AU100" s="230">
        <v>-3930</v>
      </c>
      <c r="AV100" s="229">
        <v>-0.59289999999999998</v>
      </c>
      <c r="AW100" s="230">
        <v>1111</v>
      </c>
      <c r="AX100" s="230">
        <v>3098</v>
      </c>
      <c r="AY100" s="230">
        <v>-1987</v>
      </c>
      <c r="AZ100" s="229">
        <v>-0.64139999999999997</v>
      </c>
      <c r="BA100" s="230">
        <v>1519</v>
      </c>
      <c r="BB100" s="230">
        <v>3395</v>
      </c>
      <c r="BC100" s="230">
        <v>-1876</v>
      </c>
      <c r="BD100" s="229">
        <v>-0.55259999999999998</v>
      </c>
      <c r="BE100" s="228">
        <v>68</v>
      </c>
      <c r="BF100" s="228">
        <v>134</v>
      </c>
      <c r="BG100" s="228">
        <v>-66</v>
      </c>
      <c r="BH100" s="229">
        <v>-0.49180000000000001</v>
      </c>
      <c r="BI100" s="230">
        <v>3721</v>
      </c>
      <c r="BJ100" s="230">
        <v>5606</v>
      </c>
      <c r="BK100" s="230">
        <v>-1885</v>
      </c>
      <c r="BL100" s="229">
        <v>-0.33629999999999999</v>
      </c>
      <c r="BM100" s="230">
        <v>2242</v>
      </c>
      <c r="BN100" s="230">
        <v>3435</v>
      </c>
      <c r="BO100" s="230">
        <v>-1193</v>
      </c>
      <c r="BP100" s="229">
        <v>-0.34739999999999999</v>
      </c>
      <c r="BQ100" s="230">
        <v>8661</v>
      </c>
      <c r="BR100" s="230">
        <v>15669</v>
      </c>
      <c r="BS100" s="230">
        <v>-7008</v>
      </c>
      <c r="BT100" s="229">
        <v>-0.44729999999999998</v>
      </c>
      <c r="BU100" s="230">
        <v>8255095</v>
      </c>
      <c r="BV100" s="230">
        <v>6060522</v>
      </c>
      <c r="BW100" s="230">
        <v>2194573</v>
      </c>
      <c r="BX100" s="229">
        <v>0.36209999999999998</v>
      </c>
      <c r="BY100" s="230">
        <v>10849</v>
      </c>
      <c r="BZ100" s="230">
        <v>11593</v>
      </c>
      <c r="CA100" s="228">
        <v>-744</v>
      </c>
      <c r="CB100" s="229">
        <v>-6.4100000000000004E-2</v>
      </c>
      <c r="CC100" s="228">
        <v>691</v>
      </c>
      <c r="CD100" s="230">
        <v>1246</v>
      </c>
      <c r="CE100" s="228">
        <v>-555</v>
      </c>
      <c r="CF100" s="229">
        <v>-0.44579999999999997</v>
      </c>
      <c r="CG100" s="230">
        <v>10595</v>
      </c>
      <c r="CH100" s="230">
        <v>10125</v>
      </c>
      <c r="CI100" s="228">
        <v>469</v>
      </c>
      <c r="CJ100" s="229">
        <v>4.6300000000000001E-2</v>
      </c>
      <c r="CK100" s="228">
        <v>255</v>
      </c>
      <c r="CL100" s="228">
        <v>221</v>
      </c>
      <c r="CM100" s="228">
        <v>33</v>
      </c>
      <c r="CN100" s="229">
        <v>0.15090000000000001</v>
      </c>
      <c r="CO100" s="230">
        <v>1495</v>
      </c>
      <c r="CP100" s="230">
        <v>4499</v>
      </c>
      <c r="CQ100" s="230">
        <v>-3004</v>
      </c>
      <c r="CR100" s="229">
        <v>-0.66769999999999996</v>
      </c>
      <c r="CS100" s="230">
        <v>1368</v>
      </c>
      <c r="CT100" s="230">
        <v>3005</v>
      </c>
      <c r="CU100" s="230">
        <v>-1638</v>
      </c>
      <c r="CV100" s="229">
        <v>-0.54500000000000004</v>
      </c>
      <c r="CW100" s="230">
        <v>13712</v>
      </c>
      <c r="CX100" s="230">
        <v>19098</v>
      </c>
      <c r="CY100" s="230">
        <v>-5386</v>
      </c>
      <c r="CZ100" s="229">
        <v>-0.28199999999999997</v>
      </c>
      <c r="DA100" s="228">
        <v>27.1</v>
      </c>
      <c r="DB100" s="228">
        <v>27.82</v>
      </c>
      <c r="DC100" s="228">
        <v>-0.72</v>
      </c>
      <c r="DD100" s="228">
        <v>-0.72</v>
      </c>
      <c r="DE100" s="228">
        <v>32.64</v>
      </c>
      <c r="DF100" s="228">
        <v>32.72</v>
      </c>
      <c r="DG100" s="228">
        <v>-5.54</v>
      </c>
      <c r="DH100" s="228">
        <v>-0.08</v>
      </c>
      <c r="DI100" s="228">
        <v>26.71</v>
      </c>
      <c r="DJ100" s="228">
        <v>28.16</v>
      </c>
      <c r="DK100" s="228">
        <v>-1.45</v>
      </c>
      <c r="DL100" s="228">
        <v>-1.45</v>
      </c>
      <c r="DM100" s="228">
        <v>27.67</v>
      </c>
      <c r="DN100" s="228">
        <v>27.34</v>
      </c>
      <c r="DO100" s="228">
        <v>0.33</v>
      </c>
      <c r="DP100" s="228">
        <v>0.33</v>
      </c>
      <c r="DQ100" s="228">
        <v>0.91</v>
      </c>
      <c r="DR100" s="228">
        <v>0.67</v>
      </c>
      <c r="DS100" s="228">
        <v>0.24</v>
      </c>
      <c r="DT100" s="229">
        <v>0.35820000000000002</v>
      </c>
      <c r="DU100" s="231">
        <v>1200</v>
      </c>
      <c r="DV100" s="231">
        <v>1200</v>
      </c>
      <c r="DW100" s="228">
        <v>0.6</v>
      </c>
      <c r="DX100" s="228">
        <v>0.61</v>
      </c>
      <c r="DY100" s="228">
        <v>-0.01</v>
      </c>
      <c r="DZ100" s="229">
        <v>-1.6400000000000001E-2</v>
      </c>
      <c r="EA100" s="229">
        <v>0.94020000000000004</v>
      </c>
      <c r="EB100" s="230">
        <v>88737200</v>
      </c>
      <c r="EC100" s="229">
        <v>1E-4</v>
      </c>
      <c r="ED100" s="229">
        <v>0.94020000000000004</v>
      </c>
      <c r="EE100" s="228">
        <v>-5.76</v>
      </c>
      <c r="EF100" s="229">
        <v>-4.8999999999999998E-3</v>
      </c>
      <c r="EG100" s="230">
        <v>4441680</v>
      </c>
      <c r="EH100" s="230">
        <v>3390102</v>
      </c>
      <c r="EI100" s="229">
        <v>0.31019999999999998</v>
      </c>
      <c r="EJ100" s="229">
        <v>0.53810000000000002</v>
      </c>
      <c r="EK100" s="231">
        <v>3920.68</v>
      </c>
      <c r="EL100" s="231">
        <v>2297.0300000000002</v>
      </c>
      <c r="EM100" s="231">
        <v>2709.14</v>
      </c>
      <c r="EN100" s="231">
        <v>1211.52</v>
      </c>
      <c r="EO100" s="231">
        <v>8926.85</v>
      </c>
      <c r="EP100" s="231">
        <v>15951.21</v>
      </c>
      <c r="EQ100" s="231">
        <v>-7024.36</v>
      </c>
      <c r="ER100" s="229">
        <v>-0.44040000000000001</v>
      </c>
      <c r="ES100" s="231">
        <v>1574.08</v>
      </c>
      <c r="ET100" s="231">
        <v>1373.86</v>
      </c>
      <c r="EU100" s="231">
        <v>10849.06</v>
      </c>
      <c r="EV100" s="231">
        <v>475237614</v>
      </c>
      <c r="EW100" s="231">
        <v>13797.01</v>
      </c>
      <c r="EX100" s="231">
        <v>19293.09</v>
      </c>
      <c r="EY100" s="231">
        <v>-5496.08</v>
      </c>
      <c r="EZ100" s="229">
        <v>-0.28489999999999999</v>
      </c>
      <c r="FA100" s="229">
        <v>0.2475</v>
      </c>
      <c r="FB100" s="227" t="s">
        <v>691</v>
      </c>
      <c r="FC100">
        <f t="shared" si="1"/>
        <v>10158</v>
      </c>
    </row>
    <row r="101" spans="1:159" ht="17.25" thickBot="1" x14ac:dyDescent="0.3">
      <c r="A101" s="226">
        <v>46168</v>
      </c>
      <c r="B101" s="227" t="s">
        <v>161</v>
      </c>
      <c r="C101" s="227" t="s">
        <v>666</v>
      </c>
      <c r="D101" s="228">
        <v>3575</v>
      </c>
      <c r="E101" s="228">
        <v>0</v>
      </c>
      <c r="F101" s="228">
        <v>96.95</v>
      </c>
      <c r="G101" s="228">
        <v>97.79</v>
      </c>
      <c r="H101" s="228">
        <v>-0.84</v>
      </c>
      <c r="I101" s="229">
        <v>-8.6E-3</v>
      </c>
      <c r="J101" s="228">
        <v>96.22</v>
      </c>
      <c r="K101" s="228">
        <v>97.04</v>
      </c>
      <c r="L101" s="228">
        <v>-0.82</v>
      </c>
      <c r="M101" s="229">
        <v>-8.5000000000000006E-3</v>
      </c>
      <c r="N101" s="228">
        <v>96.15</v>
      </c>
      <c r="O101" s="228">
        <v>97.22</v>
      </c>
      <c r="P101" s="228">
        <v>-1.07</v>
      </c>
      <c r="Q101" s="229">
        <v>-1.0999999999999999E-2</v>
      </c>
      <c r="R101" s="228">
        <v>96.95</v>
      </c>
      <c r="S101" s="228">
        <v>97.79</v>
      </c>
      <c r="T101" s="228">
        <v>-0.84</v>
      </c>
      <c r="U101" s="229">
        <v>-8.6E-3</v>
      </c>
      <c r="V101" s="228">
        <v>97.83</v>
      </c>
      <c r="W101" s="228">
        <v>98.2</v>
      </c>
      <c r="X101" s="228">
        <v>-0.37</v>
      </c>
      <c r="Y101" s="229">
        <v>-3.8E-3</v>
      </c>
      <c r="Z101" s="228">
        <v>0.73</v>
      </c>
      <c r="AA101" s="228">
        <v>0.18</v>
      </c>
      <c r="AB101" s="228">
        <v>0.55000000000000004</v>
      </c>
      <c r="AC101" s="229">
        <v>7.6E-3</v>
      </c>
      <c r="AD101" s="228">
        <v>-7.0000000000000007E-2</v>
      </c>
      <c r="AE101" s="228">
        <v>0.18</v>
      </c>
      <c r="AF101" s="228">
        <v>-0.25</v>
      </c>
      <c r="AG101" s="229">
        <v>-6.9999999999999999E-4</v>
      </c>
      <c r="AH101" s="228">
        <v>0.73</v>
      </c>
      <c r="AI101" s="228">
        <v>0.75</v>
      </c>
      <c r="AJ101" s="228">
        <v>-0.02</v>
      </c>
      <c r="AK101" s="229">
        <v>7.6E-3</v>
      </c>
      <c r="AL101" s="228">
        <v>1.61</v>
      </c>
      <c r="AM101" s="228">
        <v>1.1599999999999999</v>
      </c>
      <c r="AN101" s="228">
        <v>0.45</v>
      </c>
      <c r="AO101" s="229">
        <v>1.67E-2</v>
      </c>
      <c r="AP101" s="228">
        <v>96.95</v>
      </c>
      <c r="AQ101" s="228">
        <v>97.52</v>
      </c>
      <c r="AR101" s="228">
        <v>0</v>
      </c>
      <c r="AS101" s="228">
        <v>695</v>
      </c>
      <c r="AT101" s="228">
        <v>637</v>
      </c>
      <c r="AU101" s="228">
        <v>58</v>
      </c>
      <c r="AV101" s="229">
        <v>9.0999999999999998E-2</v>
      </c>
      <c r="AW101" s="228">
        <v>304</v>
      </c>
      <c r="AX101" s="228">
        <v>297</v>
      </c>
      <c r="AY101" s="228">
        <v>7</v>
      </c>
      <c r="AZ101" s="229">
        <v>2.23E-2</v>
      </c>
      <c r="BA101" s="228">
        <v>386</v>
      </c>
      <c r="BB101" s="228">
        <v>337</v>
      </c>
      <c r="BC101" s="228">
        <v>49</v>
      </c>
      <c r="BD101" s="229">
        <v>0.1469</v>
      </c>
      <c r="BE101" s="228">
        <v>5</v>
      </c>
      <c r="BF101" s="228">
        <v>3</v>
      </c>
      <c r="BG101" s="228">
        <v>2</v>
      </c>
      <c r="BH101" s="229">
        <v>0.65849999999999997</v>
      </c>
      <c r="BI101" s="228">
        <v>390</v>
      </c>
      <c r="BJ101" s="228">
        <v>355</v>
      </c>
      <c r="BK101" s="228">
        <v>34</v>
      </c>
      <c r="BL101" s="229">
        <v>9.69E-2</v>
      </c>
      <c r="BM101" s="228">
        <v>90</v>
      </c>
      <c r="BN101" s="228">
        <v>127</v>
      </c>
      <c r="BO101" s="228">
        <v>-37</v>
      </c>
      <c r="BP101" s="229">
        <v>-0.29330000000000001</v>
      </c>
      <c r="BQ101" s="230">
        <v>1174</v>
      </c>
      <c r="BR101" s="230">
        <v>1119</v>
      </c>
      <c r="BS101" s="228">
        <v>55</v>
      </c>
      <c r="BT101" s="229">
        <v>4.9200000000000001E-2</v>
      </c>
      <c r="BU101" s="230">
        <v>13401579</v>
      </c>
      <c r="BV101" s="230">
        <v>10063827</v>
      </c>
      <c r="BW101" s="230">
        <v>3337752</v>
      </c>
      <c r="BX101" s="229">
        <v>0.33169999999999999</v>
      </c>
      <c r="BY101" s="228">
        <v>792</v>
      </c>
      <c r="BZ101" s="228">
        <v>814</v>
      </c>
      <c r="CA101" s="228">
        <v>-22</v>
      </c>
      <c r="CB101" s="229">
        <v>-2.7099999999999999E-2</v>
      </c>
      <c r="CC101" s="228">
        <v>38</v>
      </c>
      <c r="CD101" s="228">
        <v>255</v>
      </c>
      <c r="CE101" s="228">
        <v>-217</v>
      </c>
      <c r="CF101" s="229">
        <v>-0.85050000000000003</v>
      </c>
      <c r="CG101" s="228">
        <v>768</v>
      </c>
      <c r="CH101" s="228">
        <v>540</v>
      </c>
      <c r="CI101" s="228">
        <v>228</v>
      </c>
      <c r="CJ101" s="229">
        <v>0.42220000000000002</v>
      </c>
      <c r="CK101" s="228">
        <v>23</v>
      </c>
      <c r="CL101" s="228">
        <v>18</v>
      </c>
      <c r="CM101" s="228">
        <v>5</v>
      </c>
      <c r="CN101" s="229">
        <v>0.28179999999999999</v>
      </c>
      <c r="CO101" s="228">
        <v>118</v>
      </c>
      <c r="CP101" s="228">
        <v>286</v>
      </c>
      <c r="CQ101" s="228">
        <v>-168</v>
      </c>
      <c r="CR101" s="229">
        <v>-0.58799999999999997</v>
      </c>
      <c r="CS101" s="228">
        <v>57</v>
      </c>
      <c r="CT101" s="228">
        <v>128</v>
      </c>
      <c r="CU101" s="228">
        <v>-71</v>
      </c>
      <c r="CV101" s="229">
        <v>-0.55559999999999998</v>
      </c>
      <c r="CW101" s="228">
        <v>966</v>
      </c>
      <c r="CX101" s="230">
        <v>1227</v>
      </c>
      <c r="CY101" s="228">
        <v>-261</v>
      </c>
      <c r="CZ101" s="229">
        <v>-0.2127</v>
      </c>
      <c r="DA101" s="228">
        <v>44.71</v>
      </c>
      <c r="DB101" s="228">
        <v>46.74</v>
      </c>
      <c r="DC101" s="228">
        <v>-2.0299999999999998</v>
      </c>
      <c r="DD101" s="228">
        <v>-2.0299999999999998</v>
      </c>
      <c r="DE101" s="228">
        <v>53.01</v>
      </c>
      <c r="DF101" s="228">
        <v>53.13</v>
      </c>
      <c r="DG101" s="228">
        <v>-8.3000000000000007</v>
      </c>
      <c r="DH101" s="228">
        <v>-0.12</v>
      </c>
      <c r="DI101" s="228">
        <v>44.88</v>
      </c>
      <c r="DJ101" s="228">
        <v>46.85</v>
      </c>
      <c r="DK101" s="228">
        <v>-1.97</v>
      </c>
      <c r="DL101" s="228">
        <v>-1.97</v>
      </c>
      <c r="DM101" s="228">
        <v>44.16</v>
      </c>
      <c r="DN101" s="228">
        <v>46.37</v>
      </c>
      <c r="DO101" s="228">
        <v>-2.21</v>
      </c>
      <c r="DP101" s="228">
        <v>-2.21</v>
      </c>
      <c r="DQ101" s="228">
        <v>0.48</v>
      </c>
      <c r="DR101" s="228">
        <v>0.45</v>
      </c>
      <c r="DS101" s="228">
        <v>0.03</v>
      </c>
      <c r="DT101" s="229">
        <v>6.6699999999999995E-2</v>
      </c>
      <c r="DU101" s="228">
        <v>110</v>
      </c>
      <c r="DV101" s="228">
        <v>100</v>
      </c>
      <c r="DW101" s="228">
        <v>0.23</v>
      </c>
      <c r="DX101" s="228">
        <v>0.36</v>
      </c>
      <c r="DY101" s="228">
        <v>-0.13</v>
      </c>
      <c r="DZ101" s="229">
        <v>-0.36109999999999998</v>
      </c>
      <c r="EA101" s="229">
        <v>0.95399999999999996</v>
      </c>
      <c r="EB101" s="230">
        <v>57596650</v>
      </c>
      <c r="EC101" s="229">
        <v>8.3000000000000001E-3</v>
      </c>
      <c r="ED101" s="229">
        <v>0.95399999999999996</v>
      </c>
      <c r="EE101" s="228">
        <v>0.56999999999999995</v>
      </c>
      <c r="EF101" s="229">
        <v>5.8999999999999999E-3</v>
      </c>
      <c r="EG101" s="230">
        <v>4827426</v>
      </c>
      <c r="EH101" s="230">
        <v>3088708</v>
      </c>
      <c r="EI101" s="229">
        <v>0.56289999999999996</v>
      </c>
      <c r="EJ101" s="229">
        <v>0.36020000000000002</v>
      </c>
      <c r="EK101" s="228">
        <v>413.89</v>
      </c>
      <c r="EL101" s="228">
        <v>93.05</v>
      </c>
      <c r="EM101" s="228">
        <v>701.11</v>
      </c>
      <c r="EN101" s="228">
        <v>81.239999999999995</v>
      </c>
      <c r="EO101" s="231">
        <v>1208.05</v>
      </c>
      <c r="EP101" s="231">
        <v>1152.4000000000001</v>
      </c>
      <c r="EQ101" s="228">
        <v>55.65</v>
      </c>
      <c r="ER101" s="229">
        <v>4.8300000000000003E-2</v>
      </c>
      <c r="ES101" s="228">
        <v>121.21</v>
      </c>
      <c r="ET101" s="228">
        <v>56.73</v>
      </c>
      <c r="EU101" s="228">
        <v>791.83</v>
      </c>
      <c r="EV101" s="231">
        <v>144708707</v>
      </c>
      <c r="EW101" s="228">
        <v>969.76</v>
      </c>
      <c r="EX101" s="231">
        <v>1253.95</v>
      </c>
      <c r="EY101" s="228">
        <v>-284.19</v>
      </c>
      <c r="EZ101" s="229">
        <v>-0.2266</v>
      </c>
      <c r="FA101" s="229">
        <v>0.68859999999999999</v>
      </c>
      <c r="FB101" s="227" t="s">
        <v>567</v>
      </c>
      <c r="FC101">
        <f t="shared" si="1"/>
        <v>754</v>
      </c>
    </row>
    <row r="102" spans="1:159" ht="17.25" thickBot="1" x14ac:dyDescent="0.3">
      <c r="A102" s="226">
        <v>46168</v>
      </c>
      <c r="B102" s="227" t="s">
        <v>193</v>
      </c>
      <c r="C102" s="227" t="s">
        <v>241</v>
      </c>
      <c r="D102" s="228">
        <v>4875</v>
      </c>
      <c r="E102" s="228">
        <v>0</v>
      </c>
      <c r="F102" s="228">
        <v>143.44</v>
      </c>
      <c r="G102" s="228">
        <v>145.12</v>
      </c>
      <c r="H102" s="228">
        <v>-1.68</v>
      </c>
      <c r="I102" s="229">
        <v>-1.1599999999999999E-2</v>
      </c>
      <c r="J102" s="228">
        <v>142.38</v>
      </c>
      <c r="K102" s="228">
        <v>143.94999999999999</v>
      </c>
      <c r="L102" s="228">
        <v>-1.57</v>
      </c>
      <c r="M102" s="229">
        <v>-1.09E-2</v>
      </c>
      <c r="N102" s="228">
        <v>142.16999999999999</v>
      </c>
      <c r="O102" s="228">
        <v>144.22999999999999</v>
      </c>
      <c r="P102" s="228">
        <v>-2.06</v>
      </c>
      <c r="Q102" s="229">
        <v>-1.43E-2</v>
      </c>
      <c r="R102" s="228">
        <v>143.44</v>
      </c>
      <c r="S102" s="228">
        <v>145.12</v>
      </c>
      <c r="T102" s="228">
        <v>-1.68</v>
      </c>
      <c r="U102" s="229">
        <v>-1.1599999999999999E-2</v>
      </c>
      <c r="V102" s="228">
        <v>144.21</v>
      </c>
      <c r="W102" s="228">
        <v>145.81</v>
      </c>
      <c r="X102" s="228">
        <v>-1.6</v>
      </c>
      <c r="Y102" s="229">
        <v>-1.0999999999999999E-2</v>
      </c>
      <c r="Z102" s="228">
        <v>1.06</v>
      </c>
      <c r="AA102" s="228">
        <v>0.28000000000000003</v>
      </c>
      <c r="AB102" s="228">
        <v>0.78</v>
      </c>
      <c r="AC102" s="229">
        <v>7.4000000000000003E-3</v>
      </c>
      <c r="AD102" s="228">
        <v>-0.21</v>
      </c>
      <c r="AE102" s="228">
        <v>0.28000000000000003</v>
      </c>
      <c r="AF102" s="228">
        <v>-0.49</v>
      </c>
      <c r="AG102" s="229">
        <v>-1.5E-3</v>
      </c>
      <c r="AH102" s="228">
        <v>1.06</v>
      </c>
      <c r="AI102" s="228">
        <v>1.17</v>
      </c>
      <c r="AJ102" s="228">
        <v>-0.11</v>
      </c>
      <c r="AK102" s="229">
        <v>7.4000000000000003E-3</v>
      </c>
      <c r="AL102" s="228">
        <v>1.83</v>
      </c>
      <c r="AM102" s="228">
        <v>1.86</v>
      </c>
      <c r="AN102" s="228">
        <v>-0.03</v>
      </c>
      <c r="AO102" s="229">
        <v>1.29E-2</v>
      </c>
      <c r="AP102" s="228">
        <v>142.59</v>
      </c>
      <c r="AQ102" s="228">
        <v>143.78</v>
      </c>
      <c r="AR102" s="228">
        <v>0</v>
      </c>
      <c r="AS102" s="228">
        <v>606</v>
      </c>
      <c r="AT102" s="230">
        <v>1139</v>
      </c>
      <c r="AU102" s="228">
        <v>-533</v>
      </c>
      <c r="AV102" s="229">
        <v>-0.46800000000000003</v>
      </c>
      <c r="AW102" s="228">
        <v>276</v>
      </c>
      <c r="AX102" s="228">
        <v>512</v>
      </c>
      <c r="AY102" s="228">
        <v>-236</v>
      </c>
      <c r="AZ102" s="229">
        <v>-0.46100000000000002</v>
      </c>
      <c r="BA102" s="228">
        <v>317</v>
      </c>
      <c r="BB102" s="228">
        <v>610</v>
      </c>
      <c r="BC102" s="228">
        <v>-293</v>
      </c>
      <c r="BD102" s="229">
        <v>-0.47989999999999999</v>
      </c>
      <c r="BE102" s="228">
        <v>12</v>
      </c>
      <c r="BF102" s="228">
        <v>16</v>
      </c>
      <c r="BG102" s="228">
        <v>-4</v>
      </c>
      <c r="BH102" s="229">
        <v>-0.23350000000000001</v>
      </c>
      <c r="BI102" s="228">
        <v>702</v>
      </c>
      <c r="BJ102" s="230">
        <v>2040</v>
      </c>
      <c r="BK102" s="230">
        <v>-1337</v>
      </c>
      <c r="BL102" s="229">
        <v>-0.65569999999999995</v>
      </c>
      <c r="BM102" s="228">
        <v>513</v>
      </c>
      <c r="BN102" s="230">
        <v>1120</v>
      </c>
      <c r="BO102" s="228">
        <v>-606</v>
      </c>
      <c r="BP102" s="229">
        <v>-0.54169999999999996</v>
      </c>
      <c r="BQ102" s="230">
        <v>1821</v>
      </c>
      <c r="BR102" s="230">
        <v>4298</v>
      </c>
      <c r="BS102" s="230">
        <v>-2477</v>
      </c>
      <c r="BT102" s="229">
        <v>-0.57630000000000003</v>
      </c>
      <c r="BU102" s="230">
        <v>10001414</v>
      </c>
      <c r="BV102" s="230">
        <v>26557526</v>
      </c>
      <c r="BW102" s="230">
        <v>-16556112</v>
      </c>
      <c r="BX102" s="229">
        <v>-0.62339999999999995</v>
      </c>
      <c r="BY102" s="230">
        <v>1463</v>
      </c>
      <c r="BZ102" s="230">
        <v>1525</v>
      </c>
      <c r="CA102" s="228">
        <v>-62</v>
      </c>
      <c r="CB102" s="229">
        <v>-4.0800000000000003E-2</v>
      </c>
      <c r="CC102" s="228">
        <v>145</v>
      </c>
      <c r="CD102" s="228">
        <v>228</v>
      </c>
      <c r="CE102" s="228">
        <v>-83</v>
      </c>
      <c r="CF102" s="229">
        <v>-0.36520000000000002</v>
      </c>
      <c r="CG102" s="230">
        <v>1415</v>
      </c>
      <c r="CH102" s="230">
        <v>1256</v>
      </c>
      <c r="CI102" s="228">
        <v>159</v>
      </c>
      <c r="CJ102" s="229">
        <v>0.12659999999999999</v>
      </c>
      <c r="CK102" s="228">
        <v>48</v>
      </c>
      <c r="CL102" s="228">
        <v>41</v>
      </c>
      <c r="CM102" s="228">
        <v>7</v>
      </c>
      <c r="CN102" s="229">
        <v>0.16220000000000001</v>
      </c>
      <c r="CO102" s="228">
        <v>430</v>
      </c>
      <c r="CP102" s="228">
        <v>931</v>
      </c>
      <c r="CQ102" s="228">
        <v>-501</v>
      </c>
      <c r="CR102" s="229">
        <v>-0.53849999999999998</v>
      </c>
      <c r="CS102" s="228">
        <v>421</v>
      </c>
      <c r="CT102" s="228">
        <v>705</v>
      </c>
      <c r="CU102" s="228">
        <v>-283</v>
      </c>
      <c r="CV102" s="229">
        <v>-0.40210000000000001</v>
      </c>
      <c r="CW102" s="230">
        <v>2314</v>
      </c>
      <c r="CX102" s="230">
        <v>3161</v>
      </c>
      <c r="CY102" s="228">
        <v>-847</v>
      </c>
      <c r="CZ102" s="229">
        <v>-0.26800000000000002</v>
      </c>
      <c r="DA102" s="228">
        <v>28.17</v>
      </c>
      <c r="DB102" s="228">
        <v>29.74</v>
      </c>
      <c r="DC102" s="228">
        <v>-1.57</v>
      </c>
      <c r="DD102" s="228">
        <v>-1.57</v>
      </c>
      <c r="DE102" s="228">
        <v>34.72</v>
      </c>
      <c r="DF102" s="228">
        <v>34.770000000000003</v>
      </c>
      <c r="DG102" s="228">
        <v>-6.55</v>
      </c>
      <c r="DH102" s="228">
        <v>-0.05</v>
      </c>
      <c r="DI102" s="228">
        <v>28.46</v>
      </c>
      <c r="DJ102" s="228">
        <v>29.66</v>
      </c>
      <c r="DK102" s="228">
        <v>-1.2</v>
      </c>
      <c r="DL102" s="228">
        <v>-1.2</v>
      </c>
      <c r="DM102" s="228">
        <v>27.84</v>
      </c>
      <c r="DN102" s="228">
        <v>29.87</v>
      </c>
      <c r="DO102" s="228">
        <v>-2.0299999999999998</v>
      </c>
      <c r="DP102" s="228">
        <v>-2.0299999999999998</v>
      </c>
      <c r="DQ102" s="228">
        <v>0.98</v>
      </c>
      <c r="DR102" s="228">
        <v>0.76</v>
      </c>
      <c r="DS102" s="228">
        <v>0.22</v>
      </c>
      <c r="DT102" s="229">
        <v>0.28949999999999998</v>
      </c>
      <c r="DU102" s="228">
        <v>150</v>
      </c>
      <c r="DV102" s="228">
        <v>130</v>
      </c>
      <c r="DW102" s="228">
        <v>0.73</v>
      </c>
      <c r="DX102" s="228">
        <v>0.55000000000000004</v>
      </c>
      <c r="DY102" s="228">
        <v>0.18</v>
      </c>
      <c r="DZ102" s="229">
        <v>0.32729999999999998</v>
      </c>
      <c r="EA102" s="229">
        <v>0.91</v>
      </c>
      <c r="EB102" s="230">
        <v>90441000</v>
      </c>
      <c r="EC102" s="229">
        <v>8.8999999999999999E-3</v>
      </c>
      <c r="ED102" s="229">
        <v>0.91</v>
      </c>
      <c r="EE102" s="228">
        <v>1.19</v>
      </c>
      <c r="EF102" s="229">
        <v>8.3000000000000001E-3</v>
      </c>
      <c r="EG102" s="230">
        <v>4525518</v>
      </c>
      <c r="EH102" s="230">
        <v>10474974</v>
      </c>
      <c r="EI102" s="229">
        <v>-0.56799999999999995</v>
      </c>
      <c r="EJ102" s="229">
        <v>0.45250000000000001</v>
      </c>
      <c r="EK102" s="228">
        <v>744.01</v>
      </c>
      <c r="EL102" s="228">
        <v>539</v>
      </c>
      <c r="EM102" s="228">
        <v>605</v>
      </c>
      <c r="EN102" s="228">
        <v>105.22</v>
      </c>
      <c r="EO102" s="231">
        <v>1888.01</v>
      </c>
      <c r="EP102" s="231">
        <v>4388.79</v>
      </c>
      <c r="EQ102" s="231">
        <v>-2500.7800000000002</v>
      </c>
      <c r="ER102" s="229">
        <v>-0.56979999999999997</v>
      </c>
      <c r="ES102" s="228">
        <v>448.74</v>
      </c>
      <c r="ET102" s="228">
        <v>416.83</v>
      </c>
      <c r="EU102" s="231">
        <v>1463.27</v>
      </c>
      <c r="EV102" s="231">
        <v>684903861</v>
      </c>
      <c r="EW102" s="231">
        <v>2328.84</v>
      </c>
      <c r="EX102" s="231">
        <v>3201.72</v>
      </c>
      <c r="EY102" s="228">
        <v>-872.88</v>
      </c>
      <c r="EZ102" s="229">
        <v>-0.27260000000000001</v>
      </c>
      <c r="FA102" s="229">
        <v>0.2356</v>
      </c>
      <c r="FB102" s="227" t="s">
        <v>567</v>
      </c>
      <c r="FC102">
        <f t="shared" si="1"/>
        <v>1318</v>
      </c>
    </row>
    <row r="103" spans="1:159" ht="17.25" thickBot="1" x14ac:dyDescent="0.3">
      <c r="A103" s="226">
        <v>46168</v>
      </c>
      <c r="B103" s="227" t="s">
        <v>175</v>
      </c>
      <c r="C103" s="227" t="s">
        <v>662</v>
      </c>
      <c r="D103" s="228">
        <v>3450</v>
      </c>
      <c r="E103" s="228">
        <v>0</v>
      </c>
      <c r="F103" s="228">
        <v>127.33</v>
      </c>
      <c r="G103" s="228">
        <v>126.77</v>
      </c>
      <c r="H103" s="228">
        <v>0.56000000000000005</v>
      </c>
      <c r="I103" s="229">
        <v>4.4000000000000003E-3</v>
      </c>
      <c r="J103" s="228">
        <v>129.54</v>
      </c>
      <c r="K103" s="228">
        <v>129.77000000000001</v>
      </c>
      <c r="L103" s="228">
        <v>-0.23</v>
      </c>
      <c r="M103" s="229">
        <v>-1.8E-3</v>
      </c>
      <c r="N103" s="228">
        <v>129.41999999999999</v>
      </c>
      <c r="O103" s="228">
        <v>129.86000000000001</v>
      </c>
      <c r="P103" s="228">
        <v>-0.44</v>
      </c>
      <c r="Q103" s="229">
        <v>-3.3999999999999998E-3</v>
      </c>
      <c r="R103" s="228">
        <v>127.33</v>
      </c>
      <c r="S103" s="228">
        <v>126.77</v>
      </c>
      <c r="T103" s="228">
        <v>0.56000000000000005</v>
      </c>
      <c r="U103" s="229">
        <v>4.4000000000000003E-3</v>
      </c>
      <c r="V103" s="228">
        <v>126.74</v>
      </c>
      <c r="W103" s="228">
        <v>126.43</v>
      </c>
      <c r="X103" s="228">
        <v>0.31</v>
      </c>
      <c r="Y103" s="229">
        <v>2.5000000000000001E-3</v>
      </c>
      <c r="Z103" s="228">
        <v>-2.21</v>
      </c>
      <c r="AA103" s="228">
        <v>0.09</v>
      </c>
      <c r="AB103" s="228">
        <v>-2.2999999999999998</v>
      </c>
      <c r="AC103" s="229">
        <v>-1.7100000000000001E-2</v>
      </c>
      <c r="AD103" s="228">
        <v>-0.12</v>
      </c>
      <c r="AE103" s="228">
        <v>0.09</v>
      </c>
      <c r="AF103" s="228">
        <v>-0.21</v>
      </c>
      <c r="AG103" s="229">
        <v>-8.9999999999999998E-4</v>
      </c>
      <c r="AH103" s="228">
        <v>-2.21</v>
      </c>
      <c r="AI103" s="228">
        <v>-3</v>
      </c>
      <c r="AJ103" s="228">
        <v>0.79</v>
      </c>
      <c r="AK103" s="229">
        <v>-1.7100000000000001E-2</v>
      </c>
      <c r="AL103" s="228">
        <v>-2.8</v>
      </c>
      <c r="AM103" s="228">
        <v>-3.34</v>
      </c>
      <c r="AN103" s="228">
        <v>0.54</v>
      </c>
      <c r="AO103" s="229">
        <v>-2.1600000000000001E-2</v>
      </c>
      <c r="AP103" s="228">
        <v>129.41</v>
      </c>
      <c r="AQ103" s="228">
        <v>127.77</v>
      </c>
      <c r="AR103" s="228">
        <v>0</v>
      </c>
      <c r="AS103" s="228">
        <v>243</v>
      </c>
      <c r="AT103" s="228">
        <v>552</v>
      </c>
      <c r="AU103" s="228">
        <v>-309</v>
      </c>
      <c r="AV103" s="229">
        <v>-0.55920000000000003</v>
      </c>
      <c r="AW103" s="228">
        <v>105</v>
      </c>
      <c r="AX103" s="228">
        <v>238</v>
      </c>
      <c r="AY103" s="228">
        <v>-133</v>
      </c>
      <c r="AZ103" s="229">
        <v>-0.55979999999999996</v>
      </c>
      <c r="BA103" s="228">
        <v>132</v>
      </c>
      <c r="BB103" s="228">
        <v>306</v>
      </c>
      <c r="BC103" s="228">
        <v>-173</v>
      </c>
      <c r="BD103" s="229">
        <v>-0.56699999999999995</v>
      </c>
      <c r="BE103" s="228">
        <v>6</v>
      </c>
      <c r="BF103" s="228">
        <v>9</v>
      </c>
      <c r="BG103" s="228">
        <v>-2</v>
      </c>
      <c r="BH103" s="229">
        <v>-0.26529999999999998</v>
      </c>
      <c r="BI103" s="228">
        <v>152</v>
      </c>
      <c r="BJ103" s="228">
        <v>370</v>
      </c>
      <c r="BK103" s="228">
        <v>-218</v>
      </c>
      <c r="BL103" s="229">
        <v>-0.58940000000000003</v>
      </c>
      <c r="BM103" s="228">
        <v>77</v>
      </c>
      <c r="BN103" s="228">
        <v>168</v>
      </c>
      <c r="BO103" s="228">
        <v>-91</v>
      </c>
      <c r="BP103" s="229">
        <v>-0.54259999999999997</v>
      </c>
      <c r="BQ103" s="228">
        <v>472</v>
      </c>
      <c r="BR103" s="230">
        <v>1091</v>
      </c>
      <c r="BS103" s="228">
        <v>-618</v>
      </c>
      <c r="BT103" s="229">
        <v>-0.56689999999999996</v>
      </c>
      <c r="BU103" s="230">
        <v>5478589</v>
      </c>
      <c r="BV103" s="230">
        <v>7647626</v>
      </c>
      <c r="BW103" s="230">
        <v>-2169037</v>
      </c>
      <c r="BX103" s="229">
        <v>-0.28360000000000002</v>
      </c>
      <c r="BY103" s="228">
        <v>597</v>
      </c>
      <c r="BZ103" s="228">
        <v>666</v>
      </c>
      <c r="CA103" s="228">
        <v>-69</v>
      </c>
      <c r="CB103" s="229">
        <v>-0.1033</v>
      </c>
      <c r="CC103" s="228">
        <v>32</v>
      </c>
      <c r="CD103" s="228">
        <v>86</v>
      </c>
      <c r="CE103" s="228">
        <v>-53</v>
      </c>
      <c r="CF103" s="229">
        <v>-0.62390000000000001</v>
      </c>
      <c r="CG103" s="228">
        <v>560</v>
      </c>
      <c r="CH103" s="228">
        <v>548</v>
      </c>
      <c r="CI103" s="228">
        <v>13</v>
      </c>
      <c r="CJ103" s="229">
        <v>2.3099999999999999E-2</v>
      </c>
      <c r="CK103" s="228">
        <v>37</v>
      </c>
      <c r="CL103" s="228">
        <v>32</v>
      </c>
      <c r="CM103" s="228">
        <v>4</v>
      </c>
      <c r="CN103" s="229">
        <v>0.12989999999999999</v>
      </c>
      <c r="CO103" s="228">
        <v>168</v>
      </c>
      <c r="CP103" s="228">
        <v>324</v>
      </c>
      <c r="CQ103" s="228">
        <v>-156</v>
      </c>
      <c r="CR103" s="229">
        <v>-0.48130000000000001</v>
      </c>
      <c r="CS103" s="228">
        <v>151</v>
      </c>
      <c r="CT103" s="228">
        <v>236</v>
      </c>
      <c r="CU103" s="228">
        <v>-85</v>
      </c>
      <c r="CV103" s="229">
        <v>-0.35980000000000001</v>
      </c>
      <c r="CW103" s="228">
        <v>916</v>
      </c>
      <c r="CX103" s="230">
        <v>1226</v>
      </c>
      <c r="CY103" s="228">
        <v>-310</v>
      </c>
      <c r="CZ103" s="229">
        <v>-0.25269999999999998</v>
      </c>
      <c r="DA103" s="228">
        <v>37.450000000000003</v>
      </c>
      <c r="DB103" s="228">
        <v>37.659999999999997</v>
      </c>
      <c r="DC103" s="228">
        <v>-0.21</v>
      </c>
      <c r="DD103" s="228">
        <v>-0.21</v>
      </c>
      <c r="DE103" s="228">
        <v>48.08</v>
      </c>
      <c r="DF103" s="228">
        <v>48.2</v>
      </c>
      <c r="DG103" s="228">
        <v>-10.63</v>
      </c>
      <c r="DH103" s="228">
        <v>-0.12</v>
      </c>
      <c r="DI103" s="228">
        <v>37.78</v>
      </c>
      <c r="DJ103" s="228">
        <v>37.520000000000003</v>
      </c>
      <c r="DK103" s="228">
        <v>0.26</v>
      </c>
      <c r="DL103" s="228">
        <v>0.26</v>
      </c>
      <c r="DM103" s="228">
        <v>36.76</v>
      </c>
      <c r="DN103" s="228">
        <v>37.909999999999997</v>
      </c>
      <c r="DO103" s="228">
        <v>-1.1499999999999999</v>
      </c>
      <c r="DP103" s="228">
        <v>-1.1499999999999999</v>
      </c>
      <c r="DQ103" s="228">
        <v>0.9</v>
      </c>
      <c r="DR103" s="228">
        <v>0.73</v>
      </c>
      <c r="DS103" s="228">
        <v>0.17</v>
      </c>
      <c r="DT103" s="229">
        <v>0.2329</v>
      </c>
      <c r="DU103" s="228">
        <v>130</v>
      </c>
      <c r="DV103" s="228">
        <v>130</v>
      </c>
      <c r="DW103" s="228">
        <v>0.5</v>
      </c>
      <c r="DX103" s="228">
        <v>0.45</v>
      </c>
      <c r="DY103" s="228">
        <v>0.05</v>
      </c>
      <c r="DZ103" s="229">
        <v>0.1111</v>
      </c>
      <c r="EA103" s="229">
        <v>0.94879999999999998</v>
      </c>
      <c r="EB103" s="230">
        <v>45547300</v>
      </c>
      <c r="EC103" s="229">
        <v>-1.61E-2</v>
      </c>
      <c r="ED103" s="229">
        <v>0.94879999999999998</v>
      </c>
      <c r="EE103" s="228">
        <v>-1.64</v>
      </c>
      <c r="EF103" s="229">
        <v>-1.2699999999999999E-2</v>
      </c>
      <c r="EG103" s="230">
        <v>1749436</v>
      </c>
      <c r="EH103" s="230">
        <v>2466023</v>
      </c>
      <c r="EI103" s="229">
        <v>-0.29060000000000002</v>
      </c>
      <c r="EJ103" s="229">
        <v>0.31929999999999997</v>
      </c>
      <c r="EK103" s="228">
        <v>164.64</v>
      </c>
      <c r="EL103" s="228">
        <v>79.55</v>
      </c>
      <c r="EM103" s="228">
        <v>247.64</v>
      </c>
      <c r="EN103" s="228">
        <v>80.31</v>
      </c>
      <c r="EO103" s="228">
        <v>491.83</v>
      </c>
      <c r="EP103" s="231">
        <v>1136.3399999999999</v>
      </c>
      <c r="EQ103" s="228">
        <v>-644.52</v>
      </c>
      <c r="ER103" s="229">
        <v>-0.56720000000000004</v>
      </c>
      <c r="ES103" s="228">
        <v>178.86</v>
      </c>
      <c r="ET103" s="228">
        <v>153.41</v>
      </c>
      <c r="EU103" s="228">
        <v>596.64</v>
      </c>
      <c r="EV103" s="231">
        <v>119011160</v>
      </c>
      <c r="EW103" s="228">
        <v>928.91</v>
      </c>
      <c r="EX103" s="231">
        <v>1254.47</v>
      </c>
      <c r="EY103" s="228">
        <v>-325.56</v>
      </c>
      <c r="EZ103" s="229">
        <v>-0.25950000000000001</v>
      </c>
      <c r="FA103" s="229">
        <v>0.60460000000000003</v>
      </c>
      <c r="FB103" s="227" t="s">
        <v>691</v>
      </c>
      <c r="FC103">
        <f t="shared" si="1"/>
        <v>565</v>
      </c>
    </row>
    <row r="104" spans="1:159" ht="17.25" thickBot="1" x14ac:dyDescent="0.3">
      <c r="A104" s="226">
        <v>46168</v>
      </c>
      <c r="B104" s="227" t="s">
        <v>215</v>
      </c>
      <c r="C104" s="227" t="s">
        <v>591</v>
      </c>
      <c r="D104" s="228">
        <v>4250</v>
      </c>
      <c r="E104" s="228">
        <v>0</v>
      </c>
      <c r="F104" s="228">
        <v>98.64</v>
      </c>
      <c r="G104" s="228">
        <v>100.42</v>
      </c>
      <c r="H104" s="228">
        <v>-1.78</v>
      </c>
      <c r="I104" s="229">
        <v>-1.77E-2</v>
      </c>
      <c r="J104" s="228">
        <v>99.28</v>
      </c>
      <c r="K104" s="228">
        <v>100.45</v>
      </c>
      <c r="L104" s="228">
        <v>-1.17</v>
      </c>
      <c r="M104" s="229">
        <v>-1.1599999999999999E-2</v>
      </c>
      <c r="N104" s="228">
        <v>99.28</v>
      </c>
      <c r="O104" s="228">
        <v>100.81</v>
      </c>
      <c r="P104" s="228">
        <v>-1.53</v>
      </c>
      <c r="Q104" s="229">
        <v>-1.52E-2</v>
      </c>
      <c r="R104" s="228">
        <v>98.64</v>
      </c>
      <c r="S104" s="228">
        <v>100.42</v>
      </c>
      <c r="T104" s="228">
        <v>-1.78</v>
      </c>
      <c r="U104" s="229">
        <v>-1.77E-2</v>
      </c>
      <c r="V104" s="228">
        <v>98.5</v>
      </c>
      <c r="W104" s="228">
        <v>100.28</v>
      </c>
      <c r="X104" s="228">
        <v>-1.78</v>
      </c>
      <c r="Y104" s="229">
        <v>-1.78E-2</v>
      </c>
      <c r="Z104" s="228">
        <v>-0.64</v>
      </c>
      <c r="AA104" s="228">
        <v>0.36</v>
      </c>
      <c r="AB104" s="228">
        <v>-1</v>
      </c>
      <c r="AC104" s="229">
        <v>-6.4000000000000003E-3</v>
      </c>
      <c r="AD104" s="228">
        <v>0</v>
      </c>
      <c r="AE104" s="228">
        <v>0.36</v>
      </c>
      <c r="AF104" s="228">
        <v>-0.36</v>
      </c>
      <c r="AG104" s="229">
        <v>0</v>
      </c>
      <c r="AH104" s="228">
        <v>-0.64</v>
      </c>
      <c r="AI104" s="228">
        <v>-0.03</v>
      </c>
      <c r="AJ104" s="228">
        <v>-0.61</v>
      </c>
      <c r="AK104" s="229">
        <v>-6.4000000000000003E-3</v>
      </c>
      <c r="AL104" s="228">
        <v>-0.78</v>
      </c>
      <c r="AM104" s="228">
        <v>-0.17</v>
      </c>
      <c r="AN104" s="228">
        <v>-0.61</v>
      </c>
      <c r="AO104" s="229">
        <v>-7.9000000000000008E-3</v>
      </c>
      <c r="AP104" s="228">
        <v>99.91</v>
      </c>
      <c r="AQ104" s="228">
        <v>99.4</v>
      </c>
      <c r="AR104" s="228">
        <v>0</v>
      </c>
      <c r="AS104" s="228">
        <v>283</v>
      </c>
      <c r="AT104" s="228">
        <v>408</v>
      </c>
      <c r="AU104" s="228">
        <v>-125</v>
      </c>
      <c r="AV104" s="229">
        <v>-0.30620000000000003</v>
      </c>
      <c r="AW104" s="228">
        <v>124</v>
      </c>
      <c r="AX104" s="228">
        <v>197</v>
      </c>
      <c r="AY104" s="228">
        <v>-73</v>
      </c>
      <c r="AZ104" s="229">
        <v>-0.37159999999999999</v>
      </c>
      <c r="BA104" s="228">
        <v>150</v>
      </c>
      <c r="BB104" s="228">
        <v>203</v>
      </c>
      <c r="BC104" s="228">
        <v>-53</v>
      </c>
      <c r="BD104" s="229">
        <v>-0.2616</v>
      </c>
      <c r="BE104" s="228">
        <v>10</v>
      </c>
      <c r="BF104" s="228">
        <v>8</v>
      </c>
      <c r="BG104" s="228">
        <v>1</v>
      </c>
      <c r="BH104" s="229">
        <v>0.14360000000000001</v>
      </c>
      <c r="BI104" s="228">
        <v>382</v>
      </c>
      <c r="BJ104" s="228">
        <v>689</v>
      </c>
      <c r="BK104" s="228">
        <v>-307</v>
      </c>
      <c r="BL104" s="229">
        <v>-0.44500000000000001</v>
      </c>
      <c r="BM104" s="228">
        <v>132</v>
      </c>
      <c r="BN104" s="228">
        <v>196</v>
      </c>
      <c r="BO104" s="228">
        <v>-64</v>
      </c>
      <c r="BP104" s="229">
        <v>-0.32519999999999999</v>
      </c>
      <c r="BQ104" s="228">
        <v>798</v>
      </c>
      <c r="BR104" s="230">
        <v>1293</v>
      </c>
      <c r="BS104" s="228">
        <v>-495</v>
      </c>
      <c r="BT104" s="229">
        <v>-0.38300000000000001</v>
      </c>
      <c r="BU104" s="230">
        <v>9204894</v>
      </c>
      <c r="BV104" s="230">
        <v>14867696</v>
      </c>
      <c r="BW104" s="230">
        <v>-5662802</v>
      </c>
      <c r="BX104" s="229">
        <v>-0.38090000000000002</v>
      </c>
      <c r="BY104" s="228">
        <v>553</v>
      </c>
      <c r="BZ104" s="228">
        <v>578</v>
      </c>
      <c r="CA104" s="228">
        <v>-25</v>
      </c>
      <c r="CB104" s="229">
        <v>-4.3900000000000002E-2</v>
      </c>
      <c r="CC104" s="228">
        <v>43</v>
      </c>
      <c r="CD104" s="228">
        <v>107</v>
      </c>
      <c r="CE104" s="228">
        <v>-65</v>
      </c>
      <c r="CF104" s="229">
        <v>-0.60260000000000002</v>
      </c>
      <c r="CG104" s="228">
        <v>507</v>
      </c>
      <c r="CH104" s="228">
        <v>432</v>
      </c>
      <c r="CI104" s="228">
        <v>75</v>
      </c>
      <c r="CJ104" s="229">
        <v>0.17299999999999999</v>
      </c>
      <c r="CK104" s="228">
        <v>46</v>
      </c>
      <c r="CL104" s="228">
        <v>39</v>
      </c>
      <c r="CM104" s="228">
        <v>7</v>
      </c>
      <c r="CN104" s="229">
        <v>0.17879999999999999</v>
      </c>
      <c r="CO104" s="228">
        <v>223</v>
      </c>
      <c r="CP104" s="228">
        <v>456</v>
      </c>
      <c r="CQ104" s="228">
        <v>-233</v>
      </c>
      <c r="CR104" s="229">
        <v>-0.51170000000000004</v>
      </c>
      <c r="CS104" s="228">
        <v>196</v>
      </c>
      <c r="CT104" s="228">
        <v>324</v>
      </c>
      <c r="CU104" s="228">
        <v>-128</v>
      </c>
      <c r="CV104" s="229">
        <v>-0.39529999999999998</v>
      </c>
      <c r="CW104" s="228">
        <v>971</v>
      </c>
      <c r="CX104" s="230">
        <v>1358</v>
      </c>
      <c r="CY104" s="228">
        <v>-387</v>
      </c>
      <c r="CZ104" s="229">
        <v>-0.28489999999999999</v>
      </c>
      <c r="DA104" s="228">
        <v>32.79</v>
      </c>
      <c r="DB104" s="228">
        <v>32.29</v>
      </c>
      <c r="DC104" s="228">
        <v>0.5</v>
      </c>
      <c r="DD104" s="228">
        <v>0.5</v>
      </c>
      <c r="DE104" s="228">
        <v>44.12</v>
      </c>
      <c r="DF104" s="228">
        <v>44.17</v>
      </c>
      <c r="DG104" s="228">
        <v>-11.33</v>
      </c>
      <c r="DH104" s="228">
        <v>-0.05</v>
      </c>
      <c r="DI104" s="228">
        <v>33.1</v>
      </c>
      <c r="DJ104" s="228">
        <v>32.380000000000003</v>
      </c>
      <c r="DK104" s="228">
        <v>0.72</v>
      </c>
      <c r="DL104" s="228">
        <v>0.72</v>
      </c>
      <c r="DM104" s="228">
        <v>32.06</v>
      </c>
      <c r="DN104" s="228">
        <v>32.04</v>
      </c>
      <c r="DO104" s="228">
        <v>0.02</v>
      </c>
      <c r="DP104" s="228">
        <v>0.02</v>
      </c>
      <c r="DQ104" s="228">
        <v>0.88</v>
      </c>
      <c r="DR104" s="228">
        <v>0.71</v>
      </c>
      <c r="DS104" s="228">
        <v>0.17</v>
      </c>
      <c r="DT104" s="229">
        <v>0.2394</v>
      </c>
      <c r="DU104" s="228">
        <v>100</v>
      </c>
      <c r="DV104" s="228">
        <v>100</v>
      </c>
      <c r="DW104" s="228">
        <v>0.35</v>
      </c>
      <c r="DX104" s="228">
        <v>0.28000000000000003</v>
      </c>
      <c r="DY104" s="228">
        <v>7.0000000000000007E-2</v>
      </c>
      <c r="DZ104" s="229">
        <v>0.25</v>
      </c>
      <c r="EA104" s="229">
        <v>0.92849999999999999</v>
      </c>
      <c r="EB104" s="230">
        <v>47735975</v>
      </c>
      <c r="EC104" s="229">
        <v>-6.4000000000000003E-3</v>
      </c>
      <c r="ED104" s="229">
        <v>0.92849999999999999</v>
      </c>
      <c r="EE104" s="228">
        <v>-0.51</v>
      </c>
      <c r="EF104" s="229">
        <v>-5.1000000000000004E-3</v>
      </c>
      <c r="EG104" s="230">
        <v>3417409</v>
      </c>
      <c r="EH104" s="230">
        <v>3911499</v>
      </c>
      <c r="EI104" s="229">
        <v>-0.1263</v>
      </c>
      <c r="EJ104" s="229">
        <v>0.37130000000000002</v>
      </c>
      <c r="EK104" s="228">
        <v>412.9</v>
      </c>
      <c r="EL104" s="228">
        <v>133.9</v>
      </c>
      <c r="EM104" s="228">
        <v>288.57</v>
      </c>
      <c r="EN104" s="228">
        <v>69.64</v>
      </c>
      <c r="EO104" s="228">
        <v>835.37</v>
      </c>
      <c r="EP104" s="231">
        <v>1357.07</v>
      </c>
      <c r="EQ104" s="228">
        <v>-521.70000000000005</v>
      </c>
      <c r="ER104" s="229">
        <v>-0.38440000000000002</v>
      </c>
      <c r="ES104" s="228">
        <v>237.74</v>
      </c>
      <c r="ET104" s="228">
        <v>198.64</v>
      </c>
      <c r="EU104" s="228">
        <v>552.51</v>
      </c>
      <c r="EV104" s="231">
        <v>267310350</v>
      </c>
      <c r="EW104" s="228">
        <v>988.88</v>
      </c>
      <c r="EX104" s="231">
        <v>1411.88</v>
      </c>
      <c r="EY104" s="228">
        <v>-423</v>
      </c>
      <c r="EZ104" s="229">
        <v>-0.29959999999999998</v>
      </c>
      <c r="FA104" s="229">
        <v>0.36840000000000001</v>
      </c>
      <c r="FB104" s="227" t="s">
        <v>567</v>
      </c>
      <c r="FC104">
        <f t="shared" si="1"/>
        <v>510</v>
      </c>
    </row>
    <row r="105" spans="1:159" ht="17.25" thickBot="1" x14ac:dyDescent="0.3">
      <c r="A105" s="226">
        <v>46168</v>
      </c>
      <c r="B105" s="227" t="s">
        <v>168</v>
      </c>
      <c r="C105" s="227" t="s">
        <v>242</v>
      </c>
      <c r="D105" s="228">
        <v>1600</v>
      </c>
      <c r="E105" s="228">
        <v>0</v>
      </c>
      <c r="F105" s="228">
        <v>303.14999999999998</v>
      </c>
      <c r="G105" s="228">
        <v>305.8</v>
      </c>
      <c r="H105" s="228">
        <v>-2.65</v>
      </c>
      <c r="I105" s="229">
        <v>-8.6999999999999994E-3</v>
      </c>
      <c r="J105" s="228">
        <v>301.64999999999998</v>
      </c>
      <c r="K105" s="228">
        <v>303.95</v>
      </c>
      <c r="L105" s="228">
        <v>-2.2999999999999998</v>
      </c>
      <c r="M105" s="229">
        <v>-7.6E-3</v>
      </c>
      <c r="N105" s="228">
        <v>300.85000000000002</v>
      </c>
      <c r="O105" s="228">
        <v>303.95</v>
      </c>
      <c r="P105" s="228">
        <v>-3.1</v>
      </c>
      <c r="Q105" s="229">
        <v>-1.0200000000000001E-2</v>
      </c>
      <c r="R105" s="228">
        <v>303.14999999999998</v>
      </c>
      <c r="S105" s="228">
        <v>305.8</v>
      </c>
      <c r="T105" s="228">
        <v>-2.65</v>
      </c>
      <c r="U105" s="229">
        <v>-8.6999999999999994E-3</v>
      </c>
      <c r="V105" s="228">
        <v>305.25</v>
      </c>
      <c r="W105" s="228">
        <v>307.45</v>
      </c>
      <c r="X105" s="228">
        <v>-2.2000000000000002</v>
      </c>
      <c r="Y105" s="229">
        <v>-7.1999999999999998E-3</v>
      </c>
      <c r="Z105" s="228">
        <v>1.5</v>
      </c>
      <c r="AA105" s="228">
        <v>0</v>
      </c>
      <c r="AB105" s="228">
        <v>1.5</v>
      </c>
      <c r="AC105" s="229">
        <v>5.0000000000000001E-3</v>
      </c>
      <c r="AD105" s="228">
        <v>-0.8</v>
      </c>
      <c r="AE105" s="228">
        <v>0</v>
      </c>
      <c r="AF105" s="228">
        <v>-0.8</v>
      </c>
      <c r="AG105" s="229">
        <v>-2.7000000000000001E-3</v>
      </c>
      <c r="AH105" s="228">
        <v>1.5</v>
      </c>
      <c r="AI105" s="228">
        <v>1.85</v>
      </c>
      <c r="AJ105" s="228">
        <v>-0.35</v>
      </c>
      <c r="AK105" s="229">
        <v>5.0000000000000001E-3</v>
      </c>
      <c r="AL105" s="228">
        <v>3.6</v>
      </c>
      <c r="AM105" s="228">
        <v>3.5</v>
      </c>
      <c r="AN105" s="228">
        <v>0.1</v>
      </c>
      <c r="AO105" s="229">
        <v>1.1900000000000001E-2</v>
      </c>
      <c r="AP105" s="228">
        <v>301.75</v>
      </c>
      <c r="AQ105" s="228">
        <v>303.64999999999998</v>
      </c>
      <c r="AR105" s="228">
        <v>0</v>
      </c>
      <c r="AS105" s="230">
        <v>2260</v>
      </c>
      <c r="AT105" s="230">
        <v>2692</v>
      </c>
      <c r="AU105" s="228">
        <v>-432</v>
      </c>
      <c r="AV105" s="229">
        <v>-0.16039999999999999</v>
      </c>
      <c r="AW105" s="228">
        <v>965</v>
      </c>
      <c r="AX105" s="230">
        <v>1308</v>
      </c>
      <c r="AY105" s="228">
        <v>-342</v>
      </c>
      <c r="AZ105" s="229">
        <v>-0.26190000000000002</v>
      </c>
      <c r="BA105" s="230">
        <v>1238</v>
      </c>
      <c r="BB105" s="230">
        <v>1331</v>
      </c>
      <c r="BC105" s="228">
        <v>-93</v>
      </c>
      <c r="BD105" s="229">
        <v>-6.9500000000000006E-2</v>
      </c>
      <c r="BE105" s="228">
        <v>56</v>
      </c>
      <c r="BF105" s="228">
        <v>53</v>
      </c>
      <c r="BG105" s="228">
        <v>3</v>
      </c>
      <c r="BH105" s="229">
        <v>5.9400000000000001E-2</v>
      </c>
      <c r="BI105" s="230">
        <v>1888</v>
      </c>
      <c r="BJ105" s="230">
        <v>2302</v>
      </c>
      <c r="BK105" s="228">
        <v>-414</v>
      </c>
      <c r="BL105" s="229">
        <v>-0.18</v>
      </c>
      <c r="BM105" s="230">
        <v>1206</v>
      </c>
      <c r="BN105" s="230">
        <v>1373</v>
      </c>
      <c r="BO105" s="228">
        <v>-167</v>
      </c>
      <c r="BP105" s="229">
        <v>-0.1216</v>
      </c>
      <c r="BQ105" s="230">
        <v>5354</v>
      </c>
      <c r="BR105" s="230">
        <v>6367</v>
      </c>
      <c r="BS105" s="230">
        <v>-1013</v>
      </c>
      <c r="BT105" s="229">
        <v>-0.15909999999999999</v>
      </c>
      <c r="BU105" s="230">
        <v>38980069</v>
      </c>
      <c r="BV105" s="230">
        <v>16859235</v>
      </c>
      <c r="BW105" s="230">
        <v>22120834</v>
      </c>
      <c r="BX105" s="229">
        <v>1.3121</v>
      </c>
      <c r="BY105" s="230">
        <v>5075</v>
      </c>
      <c r="BZ105" s="230">
        <v>5434</v>
      </c>
      <c r="CA105" s="228">
        <v>-359</v>
      </c>
      <c r="CB105" s="229">
        <v>-6.6199999999999995E-2</v>
      </c>
      <c r="CC105" s="228">
        <v>320</v>
      </c>
      <c r="CD105" s="230">
        <v>1021</v>
      </c>
      <c r="CE105" s="228">
        <v>-701</v>
      </c>
      <c r="CF105" s="229">
        <v>-0.6865</v>
      </c>
      <c r="CG105" s="230">
        <v>4827</v>
      </c>
      <c r="CH105" s="230">
        <v>4212</v>
      </c>
      <c r="CI105" s="228">
        <v>615</v>
      </c>
      <c r="CJ105" s="229">
        <v>0.14599999999999999</v>
      </c>
      <c r="CK105" s="228">
        <v>248</v>
      </c>
      <c r="CL105" s="228">
        <v>202</v>
      </c>
      <c r="CM105" s="228">
        <v>46</v>
      </c>
      <c r="CN105" s="229">
        <v>0.2288</v>
      </c>
      <c r="CO105" s="230">
        <v>1422</v>
      </c>
      <c r="CP105" s="230">
        <v>4294</v>
      </c>
      <c r="CQ105" s="230">
        <v>-2872</v>
      </c>
      <c r="CR105" s="229">
        <v>-0.66879999999999995</v>
      </c>
      <c r="CS105" s="228">
        <v>962</v>
      </c>
      <c r="CT105" s="230">
        <v>1510</v>
      </c>
      <c r="CU105" s="228">
        <v>-548</v>
      </c>
      <c r="CV105" s="229">
        <v>-0.36270000000000002</v>
      </c>
      <c r="CW105" s="230">
        <v>7459</v>
      </c>
      <c r="CX105" s="230">
        <v>11238</v>
      </c>
      <c r="CY105" s="230">
        <v>-3779</v>
      </c>
      <c r="CZ105" s="229">
        <v>-0.33629999999999999</v>
      </c>
      <c r="DA105" s="228">
        <v>18.93</v>
      </c>
      <c r="DB105" s="228">
        <v>19.010000000000002</v>
      </c>
      <c r="DC105" s="228">
        <v>-0.08</v>
      </c>
      <c r="DD105" s="228">
        <v>-0.08</v>
      </c>
      <c r="DE105" s="228">
        <v>24.23</v>
      </c>
      <c r="DF105" s="228">
        <v>24.27</v>
      </c>
      <c r="DG105" s="228">
        <v>-5.3</v>
      </c>
      <c r="DH105" s="228">
        <v>-0.04</v>
      </c>
      <c r="DI105" s="228">
        <v>19.13</v>
      </c>
      <c r="DJ105" s="228">
        <v>19.190000000000001</v>
      </c>
      <c r="DK105" s="228">
        <v>-0.06</v>
      </c>
      <c r="DL105" s="228">
        <v>-0.06</v>
      </c>
      <c r="DM105" s="228">
        <v>18.63</v>
      </c>
      <c r="DN105" s="228">
        <v>18.739999999999998</v>
      </c>
      <c r="DO105" s="228">
        <v>-0.11</v>
      </c>
      <c r="DP105" s="228">
        <v>-0.11</v>
      </c>
      <c r="DQ105" s="228">
        <v>0.68</v>
      </c>
      <c r="DR105" s="228">
        <v>0.35</v>
      </c>
      <c r="DS105" s="228">
        <v>0.33</v>
      </c>
      <c r="DT105" s="229">
        <v>0.94289999999999996</v>
      </c>
      <c r="DU105" s="228">
        <v>310</v>
      </c>
      <c r="DV105" s="228">
        <v>300</v>
      </c>
      <c r="DW105" s="228">
        <v>0.64</v>
      </c>
      <c r="DX105" s="228">
        <v>0.6</v>
      </c>
      <c r="DY105" s="228">
        <v>0.04</v>
      </c>
      <c r="DZ105" s="229">
        <v>6.6699999999999995E-2</v>
      </c>
      <c r="EA105" s="229">
        <v>0.94069999999999998</v>
      </c>
      <c r="EB105" s="230">
        <v>145587975</v>
      </c>
      <c r="EC105" s="229">
        <v>7.6E-3</v>
      </c>
      <c r="ED105" s="229">
        <v>0.94069999999999998</v>
      </c>
      <c r="EE105" s="228">
        <v>1.9</v>
      </c>
      <c r="EF105" s="229">
        <v>6.3E-3</v>
      </c>
      <c r="EG105" s="230">
        <v>31119494</v>
      </c>
      <c r="EH105" s="230">
        <v>11300362</v>
      </c>
      <c r="EI105" s="229">
        <v>1.7538</v>
      </c>
      <c r="EJ105" s="229">
        <v>0.79830000000000001</v>
      </c>
      <c r="EK105" s="231">
        <v>1963.37</v>
      </c>
      <c r="EL105" s="231">
        <v>1241.78</v>
      </c>
      <c r="EM105" s="231">
        <v>2262.2800000000002</v>
      </c>
      <c r="EN105" s="228">
        <v>397.74</v>
      </c>
      <c r="EO105" s="231">
        <v>5467.43</v>
      </c>
      <c r="EP105" s="231">
        <v>6497.43</v>
      </c>
      <c r="EQ105" s="231">
        <v>-1030.01</v>
      </c>
      <c r="ER105" s="229">
        <v>-0.1585</v>
      </c>
      <c r="ES105" s="231">
        <v>1484.82</v>
      </c>
      <c r="ET105" s="228">
        <v>980.49</v>
      </c>
      <c r="EU105" s="231">
        <v>5076.33</v>
      </c>
      <c r="EV105" s="231">
        <v>1317896781</v>
      </c>
      <c r="EW105" s="231">
        <v>7541.64</v>
      </c>
      <c r="EX105" s="231">
        <v>11542.56</v>
      </c>
      <c r="EY105" s="231">
        <v>-4000.92</v>
      </c>
      <c r="EZ105" s="229">
        <v>-0.34660000000000002</v>
      </c>
      <c r="FA105" s="229">
        <v>0.1867</v>
      </c>
      <c r="FB105" s="227" t="s">
        <v>567</v>
      </c>
      <c r="FC105">
        <f t="shared" si="1"/>
        <v>4755</v>
      </c>
    </row>
    <row r="106" spans="1:159" ht="17.25" thickBot="1" x14ac:dyDescent="0.3">
      <c r="A106" s="226">
        <v>46168</v>
      </c>
      <c r="B106" s="227" t="s">
        <v>227</v>
      </c>
      <c r="C106" s="227" t="s">
        <v>243</v>
      </c>
      <c r="D106" s="228">
        <v>625</v>
      </c>
      <c r="E106" s="228">
        <v>0</v>
      </c>
      <c r="F106" s="231">
        <v>1232</v>
      </c>
      <c r="G106" s="231">
        <v>1221.5999999999999</v>
      </c>
      <c r="H106" s="228">
        <v>10.4</v>
      </c>
      <c r="I106" s="229">
        <v>8.5000000000000006E-3</v>
      </c>
      <c r="J106" s="231">
        <v>1222.9000000000001</v>
      </c>
      <c r="K106" s="231">
        <v>1212.3</v>
      </c>
      <c r="L106" s="228">
        <v>10.6</v>
      </c>
      <c r="M106" s="229">
        <v>8.6999999999999994E-3</v>
      </c>
      <c r="N106" s="231">
        <v>1223.8</v>
      </c>
      <c r="O106" s="231">
        <v>1214.0999999999999</v>
      </c>
      <c r="P106" s="228">
        <v>9.6999999999999993</v>
      </c>
      <c r="Q106" s="229">
        <v>8.0000000000000002E-3</v>
      </c>
      <c r="R106" s="231">
        <v>1232</v>
      </c>
      <c r="S106" s="231">
        <v>1221.5999999999999</v>
      </c>
      <c r="T106" s="228">
        <v>10.4</v>
      </c>
      <c r="U106" s="229">
        <v>8.5000000000000006E-3</v>
      </c>
      <c r="V106" s="231">
        <v>1239.3</v>
      </c>
      <c r="W106" s="231">
        <v>1229.4000000000001</v>
      </c>
      <c r="X106" s="228">
        <v>9.9</v>
      </c>
      <c r="Y106" s="229">
        <v>8.0999999999999996E-3</v>
      </c>
      <c r="Z106" s="228">
        <v>9.1</v>
      </c>
      <c r="AA106" s="228">
        <v>1.8</v>
      </c>
      <c r="AB106" s="228">
        <v>7.3</v>
      </c>
      <c r="AC106" s="229">
        <v>7.4000000000000003E-3</v>
      </c>
      <c r="AD106" s="228">
        <v>0.9</v>
      </c>
      <c r="AE106" s="228">
        <v>1.8</v>
      </c>
      <c r="AF106" s="228">
        <v>-0.9</v>
      </c>
      <c r="AG106" s="229">
        <v>6.9999999999999999E-4</v>
      </c>
      <c r="AH106" s="228">
        <v>9.1</v>
      </c>
      <c r="AI106" s="228">
        <v>9.3000000000000007</v>
      </c>
      <c r="AJ106" s="228">
        <v>-0.2</v>
      </c>
      <c r="AK106" s="229">
        <v>7.4000000000000003E-3</v>
      </c>
      <c r="AL106" s="228">
        <v>16.399999999999999</v>
      </c>
      <c r="AM106" s="228">
        <v>17.100000000000001</v>
      </c>
      <c r="AN106" s="228">
        <v>-0.7</v>
      </c>
      <c r="AO106" s="229">
        <v>1.34E-2</v>
      </c>
      <c r="AP106" s="231">
        <v>1215.9100000000001</v>
      </c>
      <c r="AQ106" s="231">
        <v>1224.21</v>
      </c>
      <c r="AR106" s="228">
        <v>0</v>
      </c>
      <c r="AS106" s="230">
        <v>1092</v>
      </c>
      <c r="AT106" s="228">
        <v>750</v>
      </c>
      <c r="AU106" s="228">
        <v>342</v>
      </c>
      <c r="AV106" s="229">
        <v>0.45579999999999998</v>
      </c>
      <c r="AW106" s="228">
        <v>502</v>
      </c>
      <c r="AX106" s="228">
        <v>359</v>
      </c>
      <c r="AY106" s="228">
        <v>143</v>
      </c>
      <c r="AZ106" s="229">
        <v>0.3982</v>
      </c>
      <c r="BA106" s="228">
        <v>587</v>
      </c>
      <c r="BB106" s="228">
        <v>388</v>
      </c>
      <c r="BC106" s="228">
        <v>199</v>
      </c>
      <c r="BD106" s="229">
        <v>0.51160000000000005</v>
      </c>
      <c r="BE106" s="228">
        <v>4</v>
      </c>
      <c r="BF106" s="228">
        <v>3</v>
      </c>
      <c r="BG106" s="228">
        <v>0</v>
      </c>
      <c r="BH106" s="229">
        <v>0.13950000000000001</v>
      </c>
      <c r="BI106" s="228">
        <v>331</v>
      </c>
      <c r="BJ106" s="228">
        <v>333</v>
      </c>
      <c r="BK106" s="228">
        <v>-2</v>
      </c>
      <c r="BL106" s="229">
        <v>-5.4999999999999997E-3</v>
      </c>
      <c r="BM106" s="228">
        <v>168</v>
      </c>
      <c r="BN106" s="228">
        <v>218</v>
      </c>
      <c r="BO106" s="228">
        <v>-50</v>
      </c>
      <c r="BP106" s="229">
        <v>-0.2303</v>
      </c>
      <c r="BQ106" s="230">
        <v>1591</v>
      </c>
      <c r="BR106" s="230">
        <v>1302</v>
      </c>
      <c r="BS106" s="228">
        <v>290</v>
      </c>
      <c r="BT106" s="229">
        <v>0.22270000000000001</v>
      </c>
      <c r="BU106" s="230">
        <v>500464</v>
      </c>
      <c r="BV106" s="230">
        <v>338208</v>
      </c>
      <c r="BW106" s="230">
        <v>162256</v>
      </c>
      <c r="BX106" s="229">
        <v>0.4798</v>
      </c>
      <c r="BY106" s="230">
        <v>1499</v>
      </c>
      <c r="BZ106" s="230">
        <v>1550</v>
      </c>
      <c r="CA106" s="228">
        <v>-51</v>
      </c>
      <c r="CB106" s="229">
        <v>-3.27E-2</v>
      </c>
      <c r="CC106" s="228">
        <v>42</v>
      </c>
      <c r="CD106" s="228">
        <v>460</v>
      </c>
      <c r="CE106" s="228">
        <v>-418</v>
      </c>
      <c r="CF106" s="229">
        <v>-0.90800000000000003</v>
      </c>
      <c r="CG106" s="230">
        <v>1491</v>
      </c>
      <c r="CH106" s="230">
        <v>1084</v>
      </c>
      <c r="CI106" s="228">
        <v>407</v>
      </c>
      <c r="CJ106" s="229">
        <v>0.37569999999999998</v>
      </c>
      <c r="CK106" s="228">
        <v>8</v>
      </c>
      <c r="CL106" s="228">
        <v>6</v>
      </c>
      <c r="CM106" s="228">
        <v>2</v>
      </c>
      <c r="CN106" s="229">
        <v>0.41670000000000001</v>
      </c>
      <c r="CO106" s="228">
        <v>92</v>
      </c>
      <c r="CP106" s="228">
        <v>448</v>
      </c>
      <c r="CQ106" s="228">
        <v>-356</v>
      </c>
      <c r="CR106" s="229">
        <v>-0.79490000000000005</v>
      </c>
      <c r="CS106" s="228">
        <v>143</v>
      </c>
      <c r="CT106" s="228">
        <v>337</v>
      </c>
      <c r="CU106" s="228">
        <v>-194</v>
      </c>
      <c r="CV106" s="229">
        <v>-0.57579999999999998</v>
      </c>
      <c r="CW106" s="230">
        <v>1734</v>
      </c>
      <c r="CX106" s="230">
        <v>2335</v>
      </c>
      <c r="CY106" s="228">
        <v>-601</v>
      </c>
      <c r="CZ106" s="229">
        <v>-0.25740000000000002</v>
      </c>
      <c r="DA106" s="228">
        <v>24.15</v>
      </c>
      <c r="DB106" s="228">
        <v>25.47</v>
      </c>
      <c r="DC106" s="228">
        <v>-1.32</v>
      </c>
      <c r="DD106" s="228">
        <v>-1.32</v>
      </c>
      <c r="DE106" s="228">
        <v>36.83</v>
      </c>
      <c r="DF106" s="228">
        <v>36.909999999999997</v>
      </c>
      <c r="DG106" s="228">
        <v>-12.68</v>
      </c>
      <c r="DH106" s="228">
        <v>-0.08</v>
      </c>
      <c r="DI106" s="228">
        <v>23.81</v>
      </c>
      <c r="DJ106" s="228">
        <v>25.69</v>
      </c>
      <c r="DK106" s="228">
        <v>-1.88</v>
      </c>
      <c r="DL106" s="228">
        <v>-1.88</v>
      </c>
      <c r="DM106" s="228">
        <v>24.57</v>
      </c>
      <c r="DN106" s="228">
        <v>25.33</v>
      </c>
      <c r="DO106" s="228">
        <v>-0.76</v>
      </c>
      <c r="DP106" s="228">
        <v>-0.76</v>
      </c>
      <c r="DQ106" s="228">
        <v>1.55</v>
      </c>
      <c r="DR106" s="228">
        <v>0.75</v>
      </c>
      <c r="DS106" s="228">
        <v>0.8</v>
      </c>
      <c r="DT106" s="229">
        <v>1.0667</v>
      </c>
      <c r="DU106" s="231">
        <v>1300</v>
      </c>
      <c r="DV106" s="231">
        <v>1200</v>
      </c>
      <c r="DW106" s="228">
        <v>0.51</v>
      </c>
      <c r="DX106" s="228">
        <v>0.65</v>
      </c>
      <c r="DY106" s="228">
        <v>-0.14000000000000001</v>
      </c>
      <c r="DZ106" s="229">
        <v>-0.21540000000000001</v>
      </c>
      <c r="EA106" s="229">
        <v>0.97250000000000003</v>
      </c>
      <c r="EB106" s="230">
        <v>8842500</v>
      </c>
      <c r="EC106" s="229">
        <v>6.7000000000000002E-3</v>
      </c>
      <c r="ED106" s="229">
        <v>0.97250000000000003</v>
      </c>
      <c r="EE106" s="228">
        <v>8.3000000000000007</v>
      </c>
      <c r="EF106" s="229">
        <v>6.7999999999999996E-3</v>
      </c>
      <c r="EG106" s="230">
        <v>166053</v>
      </c>
      <c r="EH106" s="230">
        <v>119511</v>
      </c>
      <c r="EI106" s="229">
        <v>0.38940000000000002</v>
      </c>
      <c r="EJ106" s="229">
        <v>0.33179999999999998</v>
      </c>
      <c r="EK106" s="228">
        <v>337.93</v>
      </c>
      <c r="EL106" s="228">
        <v>167.06</v>
      </c>
      <c r="EM106" s="231">
        <v>1081.98</v>
      </c>
      <c r="EN106" s="228">
        <v>74.930000000000007</v>
      </c>
      <c r="EO106" s="231">
        <v>1586.97</v>
      </c>
      <c r="EP106" s="231">
        <v>1301.0999999999999</v>
      </c>
      <c r="EQ106" s="228">
        <v>285.87</v>
      </c>
      <c r="ER106" s="229">
        <v>0.21970000000000001</v>
      </c>
      <c r="ES106" s="228">
        <v>94.1</v>
      </c>
      <c r="ET106" s="228">
        <v>137.93</v>
      </c>
      <c r="EU106" s="231">
        <v>1499.01</v>
      </c>
      <c r="EV106" s="231">
        <v>45844541</v>
      </c>
      <c r="EW106" s="231">
        <v>1731.04</v>
      </c>
      <c r="EX106" s="231">
        <v>2330.14</v>
      </c>
      <c r="EY106" s="228">
        <v>-599.1</v>
      </c>
      <c r="EZ106" s="229">
        <v>-0.2571</v>
      </c>
      <c r="FA106" s="229">
        <v>0.307</v>
      </c>
      <c r="FB106" s="227" t="s">
        <v>691</v>
      </c>
      <c r="FC106">
        <f t="shared" si="1"/>
        <v>1457</v>
      </c>
    </row>
    <row r="107" spans="1:159" ht="17.25" thickBot="1" x14ac:dyDescent="0.3">
      <c r="A107" s="226">
        <v>46168</v>
      </c>
      <c r="B107" s="227" t="s">
        <v>175</v>
      </c>
      <c r="C107" s="227" t="s">
        <v>569</v>
      </c>
      <c r="D107" s="228">
        <v>2350</v>
      </c>
      <c r="E107" s="228">
        <v>0</v>
      </c>
      <c r="F107" s="228">
        <v>242.09</v>
      </c>
      <c r="G107" s="228">
        <v>243.37</v>
      </c>
      <c r="H107" s="228">
        <v>-1.28</v>
      </c>
      <c r="I107" s="229">
        <v>-5.3E-3</v>
      </c>
      <c r="J107" s="228">
        <v>240.67</v>
      </c>
      <c r="K107" s="228">
        <v>241.74</v>
      </c>
      <c r="L107" s="228">
        <v>-1.07</v>
      </c>
      <c r="M107" s="229">
        <v>-4.4000000000000003E-3</v>
      </c>
      <c r="N107" s="228">
        <v>240.26</v>
      </c>
      <c r="O107" s="228">
        <v>241.89</v>
      </c>
      <c r="P107" s="228">
        <v>-1.63</v>
      </c>
      <c r="Q107" s="229">
        <v>-6.7000000000000002E-3</v>
      </c>
      <c r="R107" s="228">
        <v>242.09</v>
      </c>
      <c r="S107" s="228">
        <v>243.37</v>
      </c>
      <c r="T107" s="228">
        <v>-1.28</v>
      </c>
      <c r="U107" s="229">
        <v>-5.3E-3</v>
      </c>
      <c r="V107" s="228">
        <v>243.76</v>
      </c>
      <c r="W107" s="228">
        <v>244.8</v>
      </c>
      <c r="X107" s="228">
        <v>-1.04</v>
      </c>
      <c r="Y107" s="229">
        <v>-4.1999999999999997E-3</v>
      </c>
      <c r="Z107" s="228">
        <v>1.42</v>
      </c>
      <c r="AA107" s="228">
        <v>0.15</v>
      </c>
      <c r="AB107" s="228">
        <v>1.27</v>
      </c>
      <c r="AC107" s="229">
        <v>5.8999999999999999E-3</v>
      </c>
      <c r="AD107" s="228">
        <v>-0.41</v>
      </c>
      <c r="AE107" s="228">
        <v>0.15</v>
      </c>
      <c r="AF107" s="228">
        <v>-0.56000000000000005</v>
      </c>
      <c r="AG107" s="229">
        <v>-1.6999999999999999E-3</v>
      </c>
      <c r="AH107" s="228">
        <v>1.42</v>
      </c>
      <c r="AI107" s="228">
        <v>1.63</v>
      </c>
      <c r="AJ107" s="228">
        <v>-0.21</v>
      </c>
      <c r="AK107" s="229">
        <v>5.8999999999999999E-3</v>
      </c>
      <c r="AL107" s="228">
        <v>3.09</v>
      </c>
      <c r="AM107" s="228">
        <v>3.06</v>
      </c>
      <c r="AN107" s="228">
        <v>0.03</v>
      </c>
      <c r="AO107" s="229">
        <v>1.2800000000000001E-2</v>
      </c>
      <c r="AP107" s="228">
        <v>241.38</v>
      </c>
      <c r="AQ107" s="228">
        <v>242.95</v>
      </c>
      <c r="AR107" s="228">
        <v>0</v>
      </c>
      <c r="AS107" s="230">
        <v>1945</v>
      </c>
      <c r="AT107" s="230">
        <v>2663</v>
      </c>
      <c r="AU107" s="228">
        <v>-717</v>
      </c>
      <c r="AV107" s="229">
        <v>-0.26939999999999997</v>
      </c>
      <c r="AW107" s="228">
        <v>890</v>
      </c>
      <c r="AX107" s="230">
        <v>1296</v>
      </c>
      <c r="AY107" s="228">
        <v>-405</v>
      </c>
      <c r="AZ107" s="229">
        <v>-0.31280000000000002</v>
      </c>
      <c r="BA107" s="230">
        <v>1013</v>
      </c>
      <c r="BB107" s="230">
        <v>1339</v>
      </c>
      <c r="BC107" s="228">
        <v>-326</v>
      </c>
      <c r="BD107" s="229">
        <v>-0.24349999999999999</v>
      </c>
      <c r="BE107" s="228">
        <v>42</v>
      </c>
      <c r="BF107" s="228">
        <v>28</v>
      </c>
      <c r="BG107" s="228">
        <v>14</v>
      </c>
      <c r="BH107" s="229">
        <v>0.50919999999999999</v>
      </c>
      <c r="BI107" s="230">
        <v>1073</v>
      </c>
      <c r="BJ107" s="230">
        <v>1944</v>
      </c>
      <c r="BK107" s="228">
        <v>-871</v>
      </c>
      <c r="BL107" s="229">
        <v>-0.44819999999999999</v>
      </c>
      <c r="BM107" s="228">
        <v>623</v>
      </c>
      <c r="BN107" s="228">
        <v>798</v>
      </c>
      <c r="BO107" s="228">
        <v>-175</v>
      </c>
      <c r="BP107" s="229">
        <v>-0.21970000000000001</v>
      </c>
      <c r="BQ107" s="230">
        <v>3641</v>
      </c>
      <c r="BR107" s="230">
        <v>5405</v>
      </c>
      <c r="BS107" s="230">
        <v>-1764</v>
      </c>
      <c r="BT107" s="229">
        <v>-0.32640000000000002</v>
      </c>
      <c r="BU107" s="230">
        <v>11449476</v>
      </c>
      <c r="BV107" s="230">
        <v>10460819</v>
      </c>
      <c r="BW107" s="230">
        <v>988657</v>
      </c>
      <c r="BX107" s="229">
        <v>9.4500000000000001E-2</v>
      </c>
      <c r="BY107" s="230">
        <v>4185</v>
      </c>
      <c r="BZ107" s="230">
        <v>4456</v>
      </c>
      <c r="CA107" s="228">
        <v>-271</v>
      </c>
      <c r="CB107" s="229">
        <v>-6.0900000000000003E-2</v>
      </c>
      <c r="CC107" s="228">
        <v>257</v>
      </c>
      <c r="CD107" s="228">
        <v>868</v>
      </c>
      <c r="CE107" s="228">
        <v>-611</v>
      </c>
      <c r="CF107" s="229">
        <v>-0.70420000000000005</v>
      </c>
      <c r="CG107" s="230">
        <v>4044</v>
      </c>
      <c r="CH107" s="230">
        <v>3473</v>
      </c>
      <c r="CI107" s="228">
        <v>570</v>
      </c>
      <c r="CJ107" s="229">
        <v>0.16420000000000001</v>
      </c>
      <c r="CK107" s="228">
        <v>141</v>
      </c>
      <c r="CL107" s="228">
        <v>114</v>
      </c>
      <c r="CM107" s="228">
        <v>27</v>
      </c>
      <c r="CN107" s="229">
        <v>0.23169999999999999</v>
      </c>
      <c r="CO107" s="228">
        <v>643</v>
      </c>
      <c r="CP107" s="230">
        <v>1456</v>
      </c>
      <c r="CQ107" s="228">
        <v>-812</v>
      </c>
      <c r="CR107" s="229">
        <v>-0.55800000000000005</v>
      </c>
      <c r="CS107" s="228">
        <v>609</v>
      </c>
      <c r="CT107" s="230">
        <v>1066</v>
      </c>
      <c r="CU107" s="228">
        <v>-457</v>
      </c>
      <c r="CV107" s="229">
        <v>-0.42899999999999999</v>
      </c>
      <c r="CW107" s="230">
        <v>5437</v>
      </c>
      <c r="CX107" s="230">
        <v>6978</v>
      </c>
      <c r="CY107" s="230">
        <v>-1541</v>
      </c>
      <c r="CZ107" s="229">
        <v>-0.2208</v>
      </c>
      <c r="DA107" s="228">
        <v>28.73</v>
      </c>
      <c r="DB107" s="228">
        <v>30.22</v>
      </c>
      <c r="DC107" s="228">
        <v>-1.49</v>
      </c>
      <c r="DD107" s="228">
        <v>-1.49</v>
      </c>
      <c r="DE107" s="228">
        <v>37.49</v>
      </c>
      <c r="DF107" s="228">
        <v>37.57</v>
      </c>
      <c r="DG107" s="228">
        <v>-8.76</v>
      </c>
      <c r="DH107" s="228">
        <v>-0.08</v>
      </c>
      <c r="DI107" s="228">
        <v>28.64</v>
      </c>
      <c r="DJ107" s="228">
        <v>30.35</v>
      </c>
      <c r="DK107" s="228">
        <v>-1.71</v>
      </c>
      <c r="DL107" s="228">
        <v>-1.71</v>
      </c>
      <c r="DM107" s="228">
        <v>28.87</v>
      </c>
      <c r="DN107" s="228">
        <v>30.04</v>
      </c>
      <c r="DO107" s="228">
        <v>-1.17</v>
      </c>
      <c r="DP107" s="228">
        <v>-1.17</v>
      </c>
      <c r="DQ107" s="228">
        <v>0.95</v>
      </c>
      <c r="DR107" s="228">
        <v>0.73</v>
      </c>
      <c r="DS107" s="228">
        <v>0.22</v>
      </c>
      <c r="DT107" s="229">
        <v>0.3014</v>
      </c>
      <c r="DU107" s="228">
        <v>250</v>
      </c>
      <c r="DV107" s="228">
        <v>290</v>
      </c>
      <c r="DW107" s="228">
        <v>0.57999999999999996</v>
      </c>
      <c r="DX107" s="228">
        <v>0.41</v>
      </c>
      <c r="DY107" s="228">
        <v>0.17</v>
      </c>
      <c r="DZ107" s="229">
        <v>0.41460000000000002</v>
      </c>
      <c r="EA107" s="229">
        <v>0.94220000000000004</v>
      </c>
      <c r="EB107" s="230">
        <v>148198050</v>
      </c>
      <c r="EC107" s="229">
        <v>7.6E-3</v>
      </c>
      <c r="ED107" s="229">
        <v>0.94220000000000004</v>
      </c>
      <c r="EE107" s="228">
        <v>1.57</v>
      </c>
      <c r="EF107" s="229">
        <v>6.4999999999999997E-3</v>
      </c>
      <c r="EG107" s="230">
        <v>5288811</v>
      </c>
      <c r="EH107" s="230">
        <v>4512350</v>
      </c>
      <c r="EI107" s="229">
        <v>0.1721</v>
      </c>
      <c r="EJ107" s="229">
        <v>0.46189999999999998</v>
      </c>
      <c r="EK107" s="231">
        <v>1143.78</v>
      </c>
      <c r="EL107" s="228">
        <v>679.95</v>
      </c>
      <c r="EM107" s="231">
        <v>1946.79</v>
      </c>
      <c r="EN107" s="228">
        <v>249.23</v>
      </c>
      <c r="EO107" s="231">
        <v>3770.53</v>
      </c>
      <c r="EP107" s="231">
        <v>5535.55</v>
      </c>
      <c r="EQ107" s="231">
        <v>-1765.02</v>
      </c>
      <c r="ER107" s="229">
        <v>-0.31890000000000002</v>
      </c>
      <c r="ES107" s="228">
        <v>672.13</v>
      </c>
      <c r="ET107" s="228">
        <v>621.17999999999995</v>
      </c>
      <c r="EU107" s="231">
        <v>4185.66</v>
      </c>
      <c r="EV107" s="231">
        <v>490240515</v>
      </c>
      <c r="EW107" s="231">
        <v>5478.97</v>
      </c>
      <c r="EX107" s="231">
        <v>7091.72</v>
      </c>
      <c r="EY107" s="231">
        <v>-1612.75</v>
      </c>
      <c r="EZ107" s="229">
        <v>-0.22739999999999999</v>
      </c>
      <c r="FA107" s="229">
        <v>0.45810000000000001</v>
      </c>
      <c r="FB107" s="227" t="s">
        <v>567</v>
      </c>
      <c r="FC107">
        <f t="shared" si="1"/>
        <v>3928</v>
      </c>
    </row>
    <row r="108" spans="1:159" ht="17.25" thickBot="1" x14ac:dyDescent="0.3">
      <c r="A108" s="226">
        <v>46168</v>
      </c>
      <c r="B108" s="227" t="s">
        <v>161</v>
      </c>
      <c r="C108" s="227" t="s">
        <v>579</v>
      </c>
      <c r="D108" s="228">
        <v>1000</v>
      </c>
      <c r="E108" s="228">
        <v>0</v>
      </c>
      <c r="F108" s="228">
        <v>578.5</v>
      </c>
      <c r="G108" s="228">
        <v>557.9</v>
      </c>
      <c r="H108" s="228">
        <v>20.6</v>
      </c>
      <c r="I108" s="229">
        <v>3.6900000000000002E-2</v>
      </c>
      <c r="J108" s="228">
        <v>576</v>
      </c>
      <c r="K108" s="228">
        <v>557.04999999999995</v>
      </c>
      <c r="L108" s="228">
        <v>18.95</v>
      </c>
      <c r="M108" s="229">
        <v>3.4000000000000002E-2</v>
      </c>
      <c r="N108" s="228">
        <v>576</v>
      </c>
      <c r="O108" s="228">
        <v>556.65</v>
      </c>
      <c r="P108" s="228">
        <v>19.350000000000001</v>
      </c>
      <c r="Q108" s="229">
        <v>3.4799999999999998E-2</v>
      </c>
      <c r="R108" s="228">
        <v>578.5</v>
      </c>
      <c r="S108" s="228">
        <v>557.9</v>
      </c>
      <c r="T108" s="228">
        <v>20.6</v>
      </c>
      <c r="U108" s="229">
        <v>3.6900000000000002E-2</v>
      </c>
      <c r="V108" s="228">
        <v>581.15</v>
      </c>
      <c r="W108" s="228">
        <v>560.79999999999995</v>
      </c>
      <c r="X108" s="228">
        <v>20.350000000000001</v>
      </c>
      <c r="Y108" s="229">
        <v>3.6299999999999999E-2</v>
      </c>
      <c r="Z108" s="228">
        <v>2.5</v>
      </c>
      <c r="AA108" s="228">
        <v>-0.4</v>
      </c>
      <c r="AB108" s="228">
        <v>2.9</v>
      </c>
      <c r="AC108" s="229">
        <v>4.3E-3</v>
      </c>
      <c r="AD108" s="228">
        <v>0</v>
      </c>
      <c r="AE108" s="228">
        <v>-0.4</v>
      </c>
      <c r="AF108" s="228">
        <v>0.4</v>
      </c>
      <c r="AG108" s="229">
        <v>0</v>
      </c>
      <c r="AH108" s="228">
        <v>2.5</v>
      </c>
      <c r="AI108" s="228">
        <v>0.85</v>
      </c>
      <c r="AJ108" s="228">
        <v>1.65</v>
      </c>
      <c r="AK108" s="229">
        <v>4.3E-3</v>
      </c>
      <c r="AL108" s="228">
        <v>5.15</v>
      </c>
      <c r="AM108" s="228">
        <v>3.75</v>
      </c>
      <c r="AN108" s="228">
        <v>1.4</v>
      </c>
      <c r="AO108" s="229">
        <v>8.8999999999999999E-3</v>
      </c>
      <c r="AP108" s="228">
        <v>573.57000000000005</v>
      </c>
      <c r="AQ108" s="228">
        <v>574.02</v>
      </c>
      <c r="AR108" s="228">
        <v>0</v>
      </c>
      <c r="AS108" s="228">
        <v>715</v>
      </c>
      <c r="AT108" s="230">
        <v>1058</v>
      </c>
      <c r="AU108" s="228">
        <v>-344</v>
      </c>
      <c r="AV108" s="229">
        <v>-0.32479999999999998</v>
      </c>
      <c r="AW108" s="228">
        <v>314</v>
      </c>
      <c r="AX108" s="228">
        <v>512</v>
      </c>
      <c r="AY108" s="228">
        <v>-197</v>
      </c>
      <c r="AZ108" s="229">
        <v>-0.38550000000000001</v>
      </c>
      <c r="BA108" s="228">
        <v>393</v>
      </c>
      <c r="BB108" s="228">
        <v>542</v>
      </c>
      <c r="BC108" s="228">
        <v>-149</v>
      </c>
      <c r="BD108" s="229">
        <v>-0.27460000000000001</v>
      </c>
      <c r="BE108" s="228">
        <v>7</v>
      </c>
      <c r="BF108" s="228">
        <v>5</v>
      </c>
      <c r="BG108" s="228">
        <v>2</v>
      </c>
      <c r="BH108" s="229">
        <v>0.48780000000000001</v>
      </c>
      <c r="BI108" s="230">
        <v>1890</v>
      </c>
      <c r="BJ108" s="228">
        <v>930</v>
      </c>
      <c r="BK108" s="228">
        <v>960</v>
      </c>
      <c r="BL108" s="229">
        <v>1.0324</v>
      </c>
      <c r="BM108" s="228">
        <v>537</v>
      </c>
      <c r="BN108" s="228">
        <v>531</v>
      </c>
      <c r="BO108" s="228">
        <v>6</v>
      </c>
      <c r="BP108" s="229">
        <v>1.0800000000000001E-2</v>
      </c>
      <c r="BQ108" s="230">
        <v>3141</v>
      </c>
      <c r="BR108" s="230">
        <v>2519</v>
      </c>
      <c r="BS108" s="228">
        <v>622</v>
      </c>
      <c r="BT108" s="229">
        <v>0.24690000000000001</v>
      </c>
      <c r="BU108" s="230">
        <v>6823838</v>
      </c>
      <c r="BV108" s="230">
        <v>2643524</v>
      </c>
      <c r="BW108" s="230">
        <v>4180314</v>
      </c>
      <c r="BX108" s="229">
        <v>1.5812999999999999</v>
      </c>
      <c r="BY108" s="230">
        <v>1274</v>
      </c>
      <c r="BZ108" s="230">
        <v>1359</v>
      </c>
      <c r="CA108" s="228">
        <v>-85</v>
      </c>
      <c r="CB108" s="229">
        <v>-6.2399999999999997E-2</v>
      </c>
      <c r="CC108" s="228">
        <v>157</v>
      </c>
      <c r="CD108" s="228">
        <v>125</v>
      </c>
      <c r="CE108" s="228">
        <v>31</v>
      </c>
      <c r="CF108" s="229">
        <v>0.24970000000000001</v>
      </c>
      <c r="CG108" s="230">
        <v>1266</v>
      </c>
      <c r="CH108" s="230">
        <v>1227</v>
      </c>
      <c r="CI108" s="228">
        <v>40</v>
      </c>
      <c r="CJ108" s="229">
        <v>3.2399999999999998E-2</v>
      </c>
      <c r="CK108" s="228">
        <v>8</v>
      </c>
      <c r="CL108" s="228">
        <v>7</v>
      </c>
      <c r="CM108" s="228">
        <v>1</v>
      </c>
      <c r="CN108" s="229">
        <v>0.11020000000000001</v>
      </c>
      <c r="CO108" s="228">
        <v>195</v>
      </c>
      <c r="CP108" s="228">
        <v>564</v>
      </c>
      <c r="CQ108" s="228">
        <v>-369</v>
      </c>
      <c r="CR108" s="229">
        <v>-0.65469999999999995</v>
      </c>
      <c r="CS108" s="228">
        <v>136</v>
      </c>
      <c r="CT108" s="228">
        <v>444</v>
      </c>
      <c r="CU108" s="228">
        <v>-308</v>
      </c>
      <c r="CV108" s="229">
        <v>-0.69450000000000001</v>
      </c>
      <c r="CW108" s="230">
        <v>1605</v>
      </c>
      <c r="CX108" s="230">
        <v>2367</v>
      </c>
      <c r="CY108" s="228">
        <v>-762</v>
      </c>
      <c r="CZ108" s="229">
        <v>-0.32190000000000002</v>
      </c>
      <c r="DA108" s="228">
        <v>29.82</v>
      </c>
      <c r="DB108" s="228">
        <v>29.9</v>
      </c>
      <c r="DC108" s="228">
        <v>-0.08</v>
      </c>
      <c r="DD108" s="228">
        <v>-0.08</v>
      </c>
      <c r="DE108" s="228">
        <v>43.17</v>
      </c>
      <c r="DF108" s="228">
        <v>43</v>
      </c>
      <c r="DG108" s="228">
        <v>-13.35</v>
      </c>
      <c r="DH108" s="228">
        <v>0.17</v>
      </c>
      <c r="DI108" s="228">
        <v>29.67</v>
      </c>
      <c r="DJ108" s="228">
        <v>29.76</v>
      </c>
      <c r="DK108" s="228">
        <v>-0.09</v>
      </c>
      <c r="DL108" s="228">
        <v>-0.09</v>
      </c>
      <c r="DM108" s="228">
        <v>30.38</v>
      </c>
      <c r="DN108" s="228">
        <v>30.13</v>
      </c>
      <c r="DO108" s="228">
        <v>0.25</v>
      </c>
      <c r="DP108" s="228">
        <v>0.25</v>
      </c>
      <c r="DQ108" s="228">
        <v>0.7</v>
      </c>
      <c r="DR108" s="228">
        <v>0.79</v>
      </c>
      <c r="DS108" s="228">
        <v>-0.09</v>
      </c>
      <c r="DT108" s="229">
        <v>-0.1139</v>
      </c>
      <c r="DU108" s="228">
        <v>525</v>
      </c>
      <c r="DV108" s="228">
        <v>550</v>
      </c>
      <c r="DW108" s="228">
        <v>0.28000000000000003</v>
      </c>
      <c r="DX108" s="228">
        <v>0.56999999999999995</v>
      </c>
      <c r="DY108" s="228">
        <v>-0.28999999999999998</v>
      </c>
      <c r="DZ108" s="229">
        <v>-0.50880000000000003</v>
      </c>
      <c r="EA108" s="229">
        <v>0.89049999999999996</v>
      </c>
      <c r="EB108" s="230">
        <v>21329850</v>
      </c>
      <c r="EC108" s="229">
        <v>4.3E-3</v>
      </c>
      <c r="ED108" s="229">
        <v>0.89049999999999996</v>
      </c>
      <c r="EE108" s="228">
        <v>0.45</v>
      </c>
      <c r="EF108" s="229">
        <v>8.0000000000000004E-4</v>
      </c>
      <c r="EG108" s="230">
        <v>2054622</v>
      </c>
      <c r="EH108" s="230">
        <v>1143259</v>
      </c>
      <c r="EI108" s="229">
        <v>0.79720000000000002</v>
      </c>
      <c r="EJ108" s="229">
        <v>0.30109999999999998</v>
      </c>
      <c r="EK108" s="231">
        <v>1923.85</v>
      </c>
      <c r="EL108" s="228">
        <v>525.6</v>
      </c>
      <c r="EM108" s="228">
        <v>709.47</v>
      </c>
      <c r="EN108" s="228">
        <v>150.29</v>
      </c>
      <c r="EO108" s="231">
        <v>3158.92</v>
      </c>
      <c r="EP108" s="231">
        <v>2440.8000000000002</v>
      </c>
      <c r="EQ108" s="228">
        <v>718.11</v>
      </c>
      <c r="ER108" s="229">
        <v>0.29420000000000002</v>
      </c>
      <c r="ES108" s="228">
        <v>195.98</v>
      </c>
      <c r="ET108" s="228">
        <v>124.41</v>
      </c>
      <c r="EU108" s="231">
        <v>1274.52</v>
      </c>
      <c r="EV108" s="231">
        <v>75294901</v>
      </c>
      <c r="EW108" s="231">
        <v>1594.91</v>
      </c>
      <c r="EX108" s="231">
        <v>2264.5500000000002</v>
      </c>
      <c r="EY108" s="228">
        <v>-669.64</v>
      </c>
      <c r="EZ108" s="229">
        <v>-0.29570000000000002</v>
      </c>
      <c r="FA108" s="229">
        <v>0.36840000000000001</v>
      </c>
      <c r="FB108" s="227" t="s">
        <v>691</v>
      </c>
      <c r="FC108">
        <f t="shared" si="1"/>
        <v>1117</v>
      </c>
    </row>
    <row r="109" spans="1:159" ht="17.25" thickBot="1" x14ac:dyDescent="0.3">
      <c r="A109" s="226">
        <v>46168</v>
      </c>
      <c r="B109" s="227" t="s">
        <v>227</v>
      </c>
      <c r="C109" s="227" t="s">
        <v>244</v>
      </c>
      <c r="D109" s="228">
        <v>675</v>
      </c>
      <c r="E109" s="228">
        <v>0</v>
      </c>
      <c r="F109" s="231">
        <v>1301.2</v>
      </c>
      <c r="G109" s="231">
        <v>1297.5999999999999</v>
      </c>
      <c r="H109" s="228">
        <v>3.6</v>
      </c>
      <c r="I109" s="229">
        <v>2.8E-3</v>
      </c>
      <c r="J109" s="231">
        <v>1293.5999999999999</v>
      </c>
      <c r="K109" s="231">
        <v>1289.4000000000001</v>
      </c>
      <c r="L109" s="228">
        <v>4.2</v>
      </c>
      <c r="M109" s="229">
        <v>3.3E-3</v>
      </c>
      <c r="N109" s="231">
        <v>1293.0999999999999</v>
      </c>
      <c r="O109" s="231">
        <v>1289.4000000000001</v>
      </c>
      <c r="P109" s="228">
        <v>3.7</v>
      </c>
      <c r="Q109" s="229">
        <v>2.8999999999999998E-3</v>
      </c>
      <c r="R109" s="231">
        <v>1301.2</v>
      </c>
      <c r="S109" s="231">
        <v>1297.5999999999999</v>
      </c>
      <c r="T109" s="228">
        <v>3.6</v>
      </c>
      <c r="U109" s="229">
        <v>2.8E-3</v>
      </c>
      <c r="V109" s="231">
        <v>1306</v>
      </c>
      <c r="W109" s="231">
        <v>1300.5999999999999</v>
      </c>
      <c r="X109" s="228">
        <v>5.4</v>
      </c>
      <c r="Y109" s="229">
        <v>4.1999999999999997E-3</v>
      </c>
      <c r="Z109" s="228">
        <v>7.6</v>
      </c>
      <c r="AA109" s="228">
        <v>0</v>
      </c>
      <c r="AB109" s="228">
        <v>7.6</v>
      </c>
      <c r="AC109" s="229">
        <v>5.8999999999999999E-3</v>
      </c>
      <c r="AD109" s="228">
        <v>-0.5</v>
      </c>
      <c r="AE109" s="228">
        <v>0</v>
      </c>
      <c r="AF109" s="228">
        <v>-0.5</v>
      </c>
      <c r="AG109" s="229">
        <v>-4.0000000000000002E-4</v>
      </c>
      <c r="AH109" s="228">
        <v>7.6</v>
      </c>
      <c r="AI109" s="228">
        <v>8.1999999999999993</v>
      </c>
      <c r="AJ109" s="228">
        <v>-0.6</v>
      </c>
      <c r="AK109" s="229">
        <v>5.8999999999999999E-3</v>
      </c>
      <c r="AL109" s="228">
        <v>12.4</v>
      </c>
      <c r="AM109" s="228">
        <v>11.2</v>
      </c>
      <c r="AN109" s="228">
        <v>1.2</v>
      </c>
      <c r="AO109" s="229">
        <v>9.5999999999999992E-3</v>
      </c>
      <c r="AP109" s="231">
        <v>1293.3</v>
      </c>
      <c r="AQ109" s="231">
        <v>1301.95</v>
      </c>
      <c r="AR109" s="228">
        <v>0</v>
      </c>
      <c r="AS109" s="228">
        <v>952</v>
      </c>
      <c r="AT109" s="230">
        <v>1713</v>
      </c>
      <c r="AU109" s="228">
        <v>-761</v>
      </c>
      <c r="AV109" s="229">
        <v>-0.44429999999999997</v>
      </c>
      <c r="AW109" s="228">
        <v>362</v>
      </c>
      <c r="AX109" s="228">
        <v>852</v>
      </c>
      <c r="AY109" s="228">
        <v>-490</v>
      </c>
      <c r="AZ109" s="229">
        <v>-0.57530000000000003</v>
      </c>
      <c r="BA109" s="228">
        <v>587</v>
      </c>
      <c r="BB109" s="228">
        <v>856</v>
      </c>
      <c r="BC109" s="228">
        <v>-269</v>
      </c>
      <c r="BD109" s="229">
        <v>-0.31469999999999998</v>
      </c>
      <c r="BE109" s="228">
        <v>3</v>
      </c>
      <c r="BF109" s="228">
        <v>5</v>
      </c>
      <c r="BG109" s="228">
        <v>-1</v>
      </c>
      <c r="BH109" s="229">
        <v>-0.30909999999999999</v>
      </c>
      <c r="BI109" s="228">
        <v>748</v>
      </c>
      <c r="BJ109" s="228">
        <v>873</v>
      </c>
      <c r="BK109" s="228">
        <v>-125</v>
      </c>
      <c r="BL109" s="229">
        <v>-0.14360000000000001</v>
      </c>
      <c r="BM109" s="228">
        <v>353</v>
      </c>
      <c r="BN109" s="228">
        <v>333</v>
      </c>
      <c r="BO109" s="228">
        <v>21</v>
      </c>
      <c r="BP109" s="229">
        <v>6.2100000000000002E-2</v>
      </c>
      <c r="BQ109" s="230">
        <v>2053</v>
      </c>
      <c r="BR109" s="230">
        <v>2918</v>
      </c>
      <c r="BS109" s="228">
        <v>-866</v>
      </c>
      <c r="BT109" s="229">
        <v>-0.29659999999999997</v>
      </c>
      <c r="BU109" s="230">
        <v>1736621</v>
      </c>
      <c r="BV109" s="230">
        <v>962408</v>
      </c>
      <c r="BW109" s="230">
        <v>774213</v>
      </c>
      <c r="BX109" s="229">
        <v>0.80449999999999999</v>
      </c>
      <c r="BY109" s="230">
        <v>5746</v>
      </c>
      <c r="BZ109" s="230">
        <v>6328</v>
      </c>
      <c r="CA109" s="228">
        <v>-583</v>
      </c>
      <c r="CB109" s="229">
        <v>-9.2100000000000001E-2</v>
      </c>
      <c r="CC109" s="228">
        <v>576</v>
      </c>
      <c r="CD109" s="228">
        <v>804</v>
      </c>
      <c r="CE109" s="228">
        <v>-228</v>
      </c>
      <c r="CF109" s="229">
        <v>-0.28360000000000002</v>
      </c>
      <c r="CG109" s="230">
        <v>5491</v>
      </c>
      <c r="CH109" s="230">
        <v>5272</v>
      </c>
      <c r="CI109" s="228">
        <v>220</v>
      </c>
      <c r="CJ109" s="229">
        <v>4.1700000000000001E-2</v>
      </c>
      <c r="CK109" s="228">
        <v>254</v>
      </c>
      <c r="CL109" s="228">
        <v>252</v>
      </c>
      <c r="CM109" s="228">
        <v>2</v>
      </c>
      <c r="CN109" s="229">
        <v>7.7000000000000002E-3</v>
      </c>
      <c r="CO109" s="228">
        <v>252</v>
      </c>
      <c r="CP109" s="228">
        <v>788</v>
      </c>
      <c r="CQ109" s="228">
        <v>-536</v>
      </c>
      <c r="CR109" s="229">
        <v>-0.68049999999999999</v>
      </c>
      <c r="CS109" s="228">
        <v>173</v>
      </c>
      <c r="CT109" s="228">
        <v>496</v>
      </c>
      <c r="CU109" s="228">
        <v>-323</v>
      </c>
      <c r="CV109" s="229">
        <v>-0.65169999999999995</v>
      </c>
      <c r="CW109" s="230">
        <v>6170</v>
      </c>
      <c r="CX109" s="230">
        <v>7612</v>
      </c>
      <c r="CY109" s="230">
        <v>-1442</v>
      </c>
      <c r="CZ109" s="229">
        <v>-0.18940000000000001</v>
      </c>
      <c r="DA109" s="228">
        <v>24.29</v>
      </c>
      <c r="DB109" s="228">
        <v>25.17</v>
      </c>
      <c r="DC109" s="228">
        <v>-0.88</v>
      </c>
      <c r="DD109" s="228">
        <v>-0.88</v>
      </c>
      <c r="DE109" s="228">
        <v>30.9</v>
      </c>
      <c r="DF109" s="228">
        <v>30.98</v>
      </c>
      <c r="DG109" s="228">
        <v>-6.61</v>
      </c>
      <c r="DH109" s="228">
        <v>-0.08</v>
      </c>
      <c r="DI109" s="228">
        <v>24.42</v>
      </c>
      <c r="DJ109" s="228">
        <v>25.09</v>
      </c>
      <c r="DK109" s="228">
        <v>-0.67</v>
      </c>
      <c r="DL109" s="228">
        <v>-0.67</v>
      </c>
      <c r="DM109" s="228">
        <v>24</v>
      </c>
      <c r="DN109" s="228">
        <v>25.34</v>
      </c>
      <c r="DO109" s="228">
        <v>-1.34</v>
      </c>
      <c r="DP109" s="228">
        <v>-1.34</v>
      </c>
      <c r="DQ109" s="228">
        <v>0.69</v>
      </c>
      <c r="DR109" s="228">
        <v>0.63</v>
      </c>
      <c r="DS109" s="228">
        <v>0.06</v>
      </c>
      <c r="DT109" s="229">
        <v>9.5200000000000007E-2</v>
      </c>
      <c r="DU109" s="231">
        <v>1300</v>
      </c>
      <c r="DV109" s="231">
        <v>1240</v>
      </c>
      <c r="DW109" s="228">
        <v>0.47</v>
      </c>
      <c r="DX109" s="228">
        <v>0.38</v>
      </c>
      <c r="DY109" s="228">
        <v>0.09</v>
      </c>
      <c r="DZ109" s="229">
        <v>0.23680000000000001</v>
      </c>
      <c r="EA109" s="229">
        <v>0.90890000000000004</v>
      </c>
      <c r="EB109" s="230">
        <v>42453450</v>
      </c>
      <c r="EC109" s="229">
        <v>6.3E-3</v>
      </c>
      <c r="ED109" s="229">
        <v>0.90890000000000004</v>
      </c>
      <c r="EE109" s="228">
        <v>8.65</v>
      </c>
      <c r="EF109" s="229">
        <v>6.7000000000000002E-3</v>
      </c>
      <c r="EG109" s="230">
        <v>893205</v>
      </c>
      <c r="EH109" s="230">
        <v>541187</v>
      </c>
      <c r="EI109" s="229">
        <v>0.65049999999999997</v>
      </c>
      <c r="EJ109" s="229">
        <v>0.51429999999999998</v>
      </c>
      <c r="EK109" s="228">
        <v>763.52</v>
      </c>
      <c r="EL109" s="228">
        <v>347.47</v>
      </c>
      <c r="EM109" s="228">
        <v>949.89</v>
      </c>
      <c r="EN109" s="228">
        <v>268.76</v>
      </c>
      <c r="EO109" s="231">
        <v>2060.88</v>
      </c>
      <c r="EP109" s="231">
        <v>2915.94</v>
      </c>
      <c r="EQ109" s="228">
        <v>-855.07</v>
      </c>
      <c r="ER109" s="229">
        <v>-0.29320000000000002</v>
      </c>
      <c r="ES109" s="228">
        <v>254.1</v>
      </c>
      <c r="ET109" s="228">
        <v>166.15</v>
      </c>
      <c r="EU109" s="231">
        <v>5746.49</v>
      </c>
      <c r="EV109" s="231">
        <v>133242960</v>
      </c>
      <c r="EW109" s="231">
        <v>6166.74</v>
      </c>
      <c r="EX109" s="231">
        <v>7579.36</v>
      </c>
      <c r="EY109" s="231">
        <v>-1412.62</v>
      </c>
      <c r="EZ109" s="229">
        <v>-0.18640000000000001</v>
      </c>
      <c r="FA109" s="229">
        <v>0.35589999999999999</v>
      </c>
      <c r="FB109" s="227" t="s">
        <v>691</v>
      </c>
      <c r="FC109">
        <f t="shared" si="1"/>
        <v>5170</v>
      </c>
    </row>
    <row r="110" spans="1:159" ht="17.25" thickBot="1" x14ac:dyDescent="0.3">
      <c r="A110" s="226">
        <v>46168</v>
      </c>
      <c r="B110" s="227" t="s">
        <v>168</v>
      </c>
      <c r="C110" s="227" t="s">
        <v>245</v>
      </c>
      <c r="D110" s="228">
        <v>1250</v>
      </c>
      <c r="E110" s="228">
        <v>0</v>
      </c>
      <c r="F110" s="228">
        <v>430.55</v>
      </c>
      <c r="G110" s="228">
        <v>437.5</v>
      </c>
      <c r="H110" s="228">
        <v>-6.95</v>
      </c>
      <c r="I110" s="229">
        <v>-1.5900000000000001E-2</v>
      </c>
      <c r="J110" s="228">
        <v>430.05</v>
      </c>
      <c r="K110" s="228">
        <v>438.75</v>
      </c>
      <c r="L110" s="228">
        <v>-8.6999999999999993</v>
      </c>
      <c r="M110" s="229">
        <v>-1.9800000000000002E-2</v>
      </c>
      <c r="N110" s="228">
        <v>431.15</v>
      </c>
      <c r="O110" s="228">
        <v>440.8</v>
      </c>
      <c r="P110" s="228">
        <v>-9.65</v>
      </c>
      <c r="Q110" s="229">
        <v>-2.1899999999999999E-2</v>
      </c>
      <c r="R110" s="228">
        <v>430.55</v>
      </c>
      <c r="S110" s="228">
        <v>437.5</v>
      </c>
      <c r="T110" s="228">
        <v>-6.95</v>
      </c>
      <c r="U110" s="229">
        <v>-1.5900000000000001E-2</v>
      </c>
      <c r="V110" s="228">
        <v>428</v>
      </c>
      <c r="W110" s="228">
        <v>434.85</v>
      </c>
      <c r="X110" s="228">
        <v>-6.85</v>
      </c>
      <c r="Y110" s="229">
        <v>-1.5800000000000002E-2</v>
      </c>
      <c r="Z110" s="228">
        <v>0.5</v>
      </c>
      <c r="AA110" s="228">
        <v>2.0499999999999998</v>
      </c>
      <c r="AB110" s="228">
        <v>-1.55</v>
      </c>
      <c r="AC110" s="229">
        <v>1.1999999999999999E-3</v>
      </c>
      <c r="AD110" s="228">
        <v>1.1000000000000001</v>
      </c>
      <c r="AE110" s="228">
        <v>2.0499999999999998</v>
      </c>
      <c r="AF110" s="228">
        <v>-0.95</v>
      </c>
      <c r="AG110" s="229">
        <v>2.5999999999999999E-3</v>
      </c>
      <c r="AH110" s="228">
        <v>0.5</v>
      </c>
      <c r="AI110" s="228">
        <v>-1.25</v>
      </c>
      <c r="AJ110" s="228">
        <v>1.75</v>
      </c>
      <c r="AK110" s="229">
        <v>1.1999999999999999E-3</v>
      </c>
      <c r="AL110" s="228">
        <v>-2.0499999999999998</v>
      </c>
      <c r="AM110" s="228">
        <v>-3.9</v>
      </c>
      <c r="AN110" s="228">
        <v>1.85</v>
      </c>
      <c r="AO110" s="229">
        <v>-4.7999999999999996E-3</v>
      </c>
      <c r="AP110" s="228">
        <v>435.23</v>
      </c>
      <c r="AQ110" s="228">
        <v>434.24</v>
      </c>
      <c r="AR110" s="228">
        <v>0</v>
      </c>
      <c r="AS110" s="228">
        <v>664</v>
      </c>
      <c r="AT110" s="228">
        <v>939</v>
      </c>
      <c r="AU110" s="228">
        <v>-275</v>
      </c>
      <c r="AV110" s="229">
        <v>-0.29260000000000003</v>
      </c>
      <c r="AW110" s="228">
        <v>298</v>
      </c>
      <c r="AX110" s="228">
        <v>454</v>
      </c>
      <c r="AY110" s="228">
        <v>-156</v>
      </c>
      <c r="AZ110" s="229">
        <v>-0.34410000000000002</v>
      </c>
      <c r="BA110" s="228">
        <v>353</v>
      </c>
      <c r="BB110" s="228">
        <v>468</v>
      </c>
      <c r="BC110" s="228">
        <v>-114</v>
      </c>
      <c r="BD110" s="229">
        <v>-0.24460000000000001</v>
      </c>
      <c r="BE110" s="228">
        <v>13</v>
      </c>
      <c r="BF110" s="228">
        <v>18</v>
      </c>
      <c r="BG110" s="228">
        <v>-4</v>
      </c>
      <c r="BH110" s="229">
        <v>-0.24160000000000001</v>
      </c>
      <c r="BI110" s="228">
        <v>429</v>
      </c>
      <c r="BJ110" s="230">
        <v>1185</v>
      </c>
      <c r="BK110" s="228">
        <v>-755</v>
      </c>
      <c r="BL110" s="229">
        <v>-0.63759999999999994</v>
      </c>
      <c r="BM110" s="228">
        <v>242</v>
      </c>
      <c r="BN110" s="228">
        <v>364</v>
      </c>
      <c r="BO110" s="228">
        <v>-122</v>
      </c>
      <c r="BP110" s="229">
        <v>-0.33550000000000002</v>
      </c>
      <c r="BQ110" s="230">
        <v>1336</v>
      </c>
      <c r="BR110" s="230">
        <v>2488</v>
      </c>
      <c r="BS110" s="230">
        <v>-1152</v>
      </c>
      <c r="BT110" s="229">
        <v>-0.4632</v>
      </c>
      <c r="BU110" s="230">
        <v>4680489</v>
      </c>
      <c r="BV110" s="230">
        <v>5562953</v>
      </c>
      <c r="BW110" s="230">
        <v>-882464</v>
      </c>
      <c r="BX110" s="229">
        <v>-0.15859999999999999</v>
      </c>
      <c r="BY110" s="230">
        <v>1426</v>
      </c>
      <c r="BZ110" s="230">
        <v>1681</v>
      </c>
      <c r="CA110" s="228">
        <v>-255</v>
      </c>
      <c r="CB110" s="229">
        <v>-0.15140000000000001</v>
      </c>
      <c r="CC110" s="228">
        <v>136</v>
      </c>
      <c r="CD110" s="228">
        <v>295</v>
      </c>
      <c r="CE110" s="228">
        <v>-159</v>
      </c>
      <c r="CF110" s="229">
        <v>-0.54039999999999999</v>
      </c>
      <c r="CG110" s="230">
        <v>1371</v>
      </c>
      <c r="CH110" s="230">
        <v>1339</v>
      </c>
      <c r="CI110" s="228">
        <v>32</v>
      </c>
      <c r="CJ110" s="229">
        <v>2.41E-2</v>
      </c>
      <c r="CK110" s="228">
        <v>55</v>
      </c>
      <c r="CL110" s="228">
        <v>47</v>
      </c>
      <c r="CM110" s="228">
        <v>8</v>
      </c>
      <c r="CN110" s="229">
        <v>0.17050000000000001</v>
      </c>
      <c r="CO110" s="228">
        <v>269</v>
      </c>
      <c r="CP110" s="228">
        <v>523</v>
      </c>
      <c r="CQ110" s="228">
        <v>-254</v>
      </c>
      <c r="CR110" s="229">
        <v>-0.48559999999999998</v>
      </c>
      <c r="CS110" s="228">
        <v>212</v>
      </c>
      <c r="CT110" s="228">
        <v>339</v>
      </c>
      <c r="CU110" s="228">
        <v>-127</v>
      </c>
      <c r="CV110" s="229">
        <v>-0.37390000000000001</v>
      </c>
      <c r="CW110" s="230">
        <v>1908</v>
      </c>
      <c r="CX110" s="230">
        <v>2543</v>
      </c>
      <c r="CY110" s="228">
        <v>-635</v>
      </c>
      <c r="CZ110" s="229">
        <v>-0.24979999999999999</v>
      </c>
      <c r="DA110" s="228">
        <v>31.13</v>
      </c>
      <c r="DB110" s="228">
        <v>30.66</v>
      </c>
      <c r="DC110" s="228">
        <v>0.47</v>
      </c>
      <c r="DD110" s="228">
        <v>0.47</v>
      </c>
      <c r="DE110" s="228">
        <v>39.5</v>
      </c>
      <c r="DF110" s="228">
        <v>39.5</v>
      </c>
      <c r="DG110" s="228">
        <v>-8.3699999999999992</v>
      </c>
      <c r="DH110" s="228">
        <v>0</v>
      </c>
      <c r="DI110" s="228">
        <v>31.46</v>
      </c>
      <c r="DJ110" s="228">
        <v>30.89</v>
      </c>
      <c r="DK110" s="228">
        <v>0.56999999999999995</v>
      </c>
      <c r="DL110" s="228">
        <v>0.56999999999999995</v>
      </c>
      <c r="DM110" s="228">
        <v>30.52</v>
      </c>
      <c r="DN110" s="228">
        <v>29.99</v>
      </c>
      <c r="DO110" s="228">
        <v>0.53</v>
      </c>
      <c r="DP110" s="228">
        <v>0.53</v>
      </c>
      <c r="DQ110" s="228">
        <v>0.79</v>
      </c>
      <c r="DR110" s="228">
        <v>0.65</v>
      </c>
      <c r="DS110" s="228">
        <v>0.14000000000000001</v>
      </c>
      <c r="DT110" s="229">
        <v>0.21540000000000001</v>
      </c>
      <c r="DU110" s="228">
        <v>500</v>
      </c>
      <c r="DV110" s="228">
        <v>400</v>
      </c>
      <c r="DW110" s="228">
        <v>0.56000000000000005</v>
      </c>
      <c r="DX110" s="228">
        <v>0.31</v>
      </c>
      <c r="DY110" s="228">
        <v>0.25</v>
      </c>
      <c r="DZ110" s="229">
        <v>0.80649999999999999</v>
      </c>
      <c r="EA110" s="229">
        <v>0.91320000000000001</v>
      </c>
      <c r="EB110" s="230">
        <v>32192500</v>
      </c>
      <c r="EC110" s="229">
        <v>-1.4E-3</v>
      </c>
      <c r="ED110" s="229">
        <v>0.91320000000000001</v>
      </c>
      <c r="EE110" s="228">
        <v>-0.99</v>
      </c>
      <c r="EF110" s="229">
        <v>-2.3E-3</v>
      </c>
      <c r="EG110" s="230">
        <v>2438878</v>
      </c>
      <c r="EH110" s="230">
        <v>2970545</v>
      </c>
      <c r="EI110" s="229">
        <v>-0.17899999999999999</v>
      </c>
      <c r="EJ110" s="229">
        <v>0.52110000000000001</v>
      </c>
      <c r="EK110" s="228">
        <v>457.21</v>
      </c>
      <c r="EL110" s="228">
        <v>249.14</v>
      </c>
      <c r="EM110" s="228">
        <v>670.46</v>
      </c>
      <c r="EN110" s="228">
        <v>183.28</v>
      </c>
      <c r="EO110" s="231">
        <v>1376.81</v>
      </c>
      <c r="EP110" s="231">
        <v>2592.71</v>
      </c>
      <c r="EQ110" s="231">
        <v>-1215.9000000000001</v>
      </c>
      <c r="ER110" s="229">
        <v>-0.46899999999999997</v>
      </c>
      <c r="ES110" s="228">
        <v>288.14</v>
      </c>
      <c r="ET110" s="228">
        <v>214.4</v>
      </c>
      <c r="EU110" s="231">
        <v>1426.08</v>
      </c>
      <c r="EV110" s="231">
        <v>58777851</v>
      </c>
      <c r="EW110" s="231">
        <v>1928.63</v>
      </c>
      <c r="EX110" s="231">
        <v>2637.23</v>
      </c>
      <c r="EY110" s="228">
        <v>-708.6</v>
      </c>
      <c r="EZ110" s="229">
        <v>-0.26869999999999999</v>
      </c>
      <c r="FA110" s="229">
        <v>0.75380000000000003</v>
      </c>
      <c r="FB110" s="227" t="s">
        <v>567</v>
      </c>
      <c r="FC110">
        <f t="shared" si="1"/>
        <v>1290</v>
      </c>
    </row>
    <row r="111" spans="1:159" ht="17.25" thickBot="1" x14ac:dyDescent="0.3">
      <c r="A111" s="226">
        <v>46168</v>
      </c>
      <c r="B111" s="227" t="s">
        <v>168</v>
      </c>
      <c r="C111" s="227" t="s">
        <v>581</v>
      </c>
      <c r="D111" s="228">
        <v>1175</v>
      </c>
      <c r="E111" s="228">
        <v>0</v>
      </c>
      <c r="F111" s="228">
        <v>358.2</v>
      </c>
      <c r="G111" s="228">
        <v>360.95</v>
      </c>
      <c r="H111" s="228">
        <v>-2.75</v>
      </c>
      <c r="I111" s="229">
        <v>-7.6E-3</v>
      </c>
      <c r="J111" s="228">
        <v>355.45</v>
      </c>
      <c r="K111" s="228">
        <v>357.85</v>
      </c>
      <c r="L111" s="228">
        <v>-2.4</v>
      </c>
      <c r="M111" s="229">
        <v>-6.7000000000000002E-3</v>
      </c>
      <c r="N111" s="228">
        <v>355.45</v>
      </c>
      <c r="O111" s="228">
        <v>359.3</v>
      </c>
      <c r="P111" s="228">
        <v>-3.85</v>
      </c>
      <c r="Q111" s="229">
        <v>-1.0699999999999999E-2</v>
      </c>
      <c r="R111" s="228">
        <v>358.2</v>
      </c>
      <c r="S111" s="228">
        <v>360.95</v>
      </c>
      <c r="T111" s="228">
        <v>-2.75</v>
      </c>
      <c r="U111" s="229">
        <v>-7.6E-3</v>
      </c>
      <c r="V111" s="228">
        <v>360.15</v>
      </c>
      <c r="W111" s="228">
        <v>362.9</v>
      </c>
      <c r="X111" s="228">
        <v>-2.75</v>
      </c>
      <c r="Y111" s="229">
        <v>-7.6E-3</v>
      </c>
      <c r="Z111" s="228">
        <v>2.75</v>
      </c>
      <c r="AA111" s="228">
        <v>1.45</v>
      </c>
      <c r="AB111" s="228">
        <v>1.3</v>
      </c>
      <c r="AC111" s="229">
        <v>7.7000000000000002E-3</v>
      </c>
      <c r="AD111" s="228">
        <v>0</v>
      </c>
      <c r="AE111" s="228">
        <v>1.45</v>
      </c>
      <c r="AF111" s="228">
        <v>-1.45</v>
      </c>
      <c r="AG111" s="229">
        <v>0</v>
      </c>
      <c r="AH111" s="228">
        <v>2.75</v>
      </c>
      <c r="AI111" s="228">
        <v>3.1</v>
      </c>
      <c r="AJ111" s="228">
        <v>-0.35</v>
      </c>
      <c r="AK111" s="229">
        <v>7.7000000000000002E-3</v>
      </c>
      <c r="AL111" s="228">
        <v>4.7</v>
      </c>
      <c r="AM111" s="228">
        <v>5.05</v>
      </c>
      <c r="AN111" s="228">
        <v>-0.35</v>
      </c>
      <c r="AO111" s="229">
        <v>1.32E-2</v>
      </c>
      <c r="AP111" s="228">
        <v>355.31</v>
      </c>
      <c r="AQ111" s="228">
        <v>357.67</v>
      </c>
      <c r="AR111" s="228">
        <v>0</v>
      </c>
      <c r="AS111" s="228">
        <v>577</v>
      </c>
      <c r="AT111" s="228">
        <v>774</v>
      </c>
      <c r="AU111" s="228">
        <v>-197</v>
      </c>
      <c r="AV111" s="229">
        <v>-0.25469999999999998</v>
      </c>
      <c r="AW111" s="228">
        <v>254</v>
      </c>
      <c r="AX111" s="228">
        <v>348</v>
      </c>
      <c r="AY111" s="228">
        <v>-94</v>
      </c>
      <c r="AZ111" s="229">
        <v>-0.27100000000000002</v>
      </c>
      <c r="BA111" s="228">
        <v>319</v>
      </c>
      <c r="BB111" s="228">
        <v>419</v>
      </c>
      <c r="BC111" s="228">
        <v>-100</v>
      </c>
      <c r="BD111" s="229">
        <v>-0.2394</v>
      </c>
      <c r="BE111" s="228">
        <v>4</v>
      </c>
      <c r="BF111" s="228">
        <v>7</v>
      </c>
      <c r="BG111" s="228">
        <v>-2</v>
      </c>
      <c r="BH111" s="229">
        <v>-0.36480000000000001</v>
      </c>
      <c r="BI111" s="228">
        <v>431</v>
      </c>
      <c r="BJ111" s="228">
        <v>886</v>
      </c>
      <c r="BK111" s="228">
        <v>-455</v>
      </c>
      <c r="BL111" s="229">
        <v>-0.51380000000000003</v>
      </c>
      <c r="BM111" s="228">
        <v>196</v>
      </c>
      <c r="BN111" s="228">
        <v>442</v>
      </c>
      <c r="BO111" s="228">
        <v>-246</v>
      </c>
      <c r="BP111" s="229">
        <v>-0.55710000000000004</v>
      </c>
      <c r="BQ111" s="230">
        <v>1204</v>
      </c>
      <c r="BR111" s="230">
        <v>2103</v>
      </c>
      <c r="BS111" s="228">
        <v>-899</v>
      </c>
      <c r="BT111" s="229">
        <v>-0.42749999999999999</v>
      </c>
      <c r="BU111" s="230">
        <v>3305809</v>
      </c>
      <c r="BV111" s="230">
        <v>3804096</v>
      </c>
      <c r="BW111" s="230">
        <v>-498287</v>
      </c>
      <c r="BX111" s="229">
        <v>-0.13100000000000001</v>
      </c>
      <c r="BY111" s="230">
        <v>1244</v>
      </c>
      <c r="BZ111" s="230">
        <v>1276</v>
      </c>
      <c r="CA111" s="228">
        <v>-32</v>
      </c>
      <c r="CB111" s="229">
        <v>-2.4899999999999999E-2</v>
      </c>
      <c r="CC111" s="228">
        <v>55</v>
      </c>
      <c r="CD111" s="228">
        <v>218</v>
      </c>
      <c r="CE111" s="228">
        <v>-163</v>
      </c>
      <c r="CF111" s="229">
        <v>-0.74919999999999998</v>
      </c>
      <c r="CG111" s="230">
        <v>1203</v>
      </c>
      <c r="CH111" s="230">
        <v>1020</v>
      </c>
      <c r="CI111" s="228">
        <v>183</v>
      </c>
      <c r="CJ111" s="229">
        <v>0.1792</v>
      </c>
      <c r="CK111" s="228">
        <v>42</v>
      </c>
      <c r="CL111" s="228">
        <v>38</v>
      </c>
      <c r="CM111" s="228">
        <v>3</v>
      </c>
      <c r="CN111" s="229">
        <v>8.9800000000000005E-2</v>
      </c>
      <c r="CO111" s="228">
        <v>192</v>
      </c>
      <c r="CP111" s="228">
        <v>814</v>
      </c>
      <c r="CQ111" s="228">
        <v>-622</v>
      </c>
      <c r="CR111" s="229">
        <v>-0.76449999999999996</v>
      </c>
      <c r="CS111" s="228">
        <v>123</v>
      </c>
      <c r="CT111" s="228">
        <v>451</v>
      </c>
      <c r="CU111" s="228">
        <v>-328</v>
      </c>
      <c r="CV111" s="229">
        <v>-0.72670000000000001</v>
      </c>
      <c r="CW111" s="230">
        <v>1559</v>
      </c>
      <c r="CX111" s="230">
        <v>2541</v>
      </c>
      <c r="CY111" s="228">
        <v>-982</v>
      </c>
      <c r="CZ111" s="229">
        <v>-0.38640000000000002</v>
      </c>
      <c r="DA111" s="228">
        <v>35.76</v>
      </c>
      <c r="DB111" s="228">
        <v>38.270000000000003</v>
      </c>
      <c r="DC111" s="228">
        <v>-2.5099999999999998</v>
      </c>
      <c r="DD111" s="228">
        <v>-2.5099999999999998</v>
      </c>
      <c r="DE111" s="228">
        <v>52.48</v>
      </c>
      <c r="DF111" s="228">
        <v>52.6</v>
      </c>
      <c r="DG111" s="228">
        <v>-16.72</v>
      </c>
      <c r="DH111" s="228">
        <v>-0.12</v>
      </c>
      <c r="DI111" s="228">
        <v>36.020000000000003</v>
      </c>
      <c r="DJ111" s="228">
        <v>38.28</v>
      </c>
      <c r="DK111" s="228">
        <v>-2.2599999999999998</v>
      </c>
      <c r="DL111" s="228">
        <v>-2.2599999999999998</v>
      </c>
      <c r="DM111" s="228">
        <v>35.340000000000003</v>
      </c>
      <c r="DN111" s="228">
        <v>38.229999999999997</v>
      </c>
      <c r="DO111" s="228">
        <v>-2.89</v>
      </c>
      <c r="DP111" s="228">
        <v>-2.89</v>
      </c>
      <c r="DQ111" s="228">
        <v>0.64</v>
      </c>
      <c r="DR111" s="228">
        <v>0.55000000000000004</v>
      </c>
      <c r="DS111" s="228">
        <v>0.09</v>
      </c>
      <c r="DT111" s="229">
        <v>0.1636</v>
      </c>
      <c r="DU111" s="228">
        <v>400</v>
      </c>
      <c r="DV111" s="228">
        <v>340</v>
      </c>
      <c r="DW111" s="228">
        <v>0.45</v>
      </c>
      <c r="DX111" s="228">
        <v>0.5</v>
      </c>
      <c r="DY111" s="228">
        <v>-0.05</v>
      </c>
      <c r="DZ111" s="229">
        <v>-0.1</v>
      </c>
      <c r="EA111" s="229">
        <v>0.95789999999999997</v>
      </c>
      <c r="EB111" s="230">
        <v>29538100</v>
      </c>
      <c r="EC111" s="229">
        <v>7.7000000000000002E-3</v>
      </c>
      <c r="ED111" s="229">
        <v>0.95789999999999997</v>
      </c>
      <c r="EE111" s="228">
        <v>2.36</v>
      </c>
      <c r="EF111" s="229">
        <v>6.6E-3</v>
      </c>
      <c r="EG111" s="230">
        <v>995488</v>
      </c>
      <c r="EH111" s="230">
        <v>1310078</v>
      </c>
      <c r="EI111" s="229">
        <v>-0.24010000000000001</v>
      </c>
      <c r="EJ111" s="229">
        <v>0.30109999999999998</v>
      </c>
      <c r="EK111" s="228">
        <v>458.73</v>
      </c>
      <c r="EL111" s="228">
        <v>200.26</v>
      </c>
      <c r="EM111" s="228">
        <v>575.22</v>
      </c>
      <c r="EN111" s="228">
        <v>154.19999999999999</v>
      </c>
      <c r="EO111" s="231">
        <v>1234.21</v>
      </c>
      <c r="EP111" s="231">
        <v>2150.38</v>
      </c>
      <c r="EQ111" s="228">
        <v>-916.17</v>
      </c>
      <c r="ER111" s="229">
        <v>-0.42609999999999998</v>
      </c>
      <c r="ES111" s="228">
        <v>207.35</v>
      </c>
      <c r="ET111" s="228">
        <v>122.21</v>
      </c>
      <c r="EU111" s="231">
        <v>1244.42</v>
      </c>
      <c r="EV111" s="231">
        <v>57686748</v>
      </c>
      <c r="EW111" s="231">
        <v>1573.98</v>
      </c>
      <c r="EX111" s="231">
        <v>2660.91</v>
      </c>
      <c r="EY111" s="231">
        <v>-1086.93</v>
      </c>
      <c r="EZ111" s="229">
        <v>-0.40849999999999997</v>
      </c>
      <c r="FA111" s="229">
        <v>0.75449999999999995</v>
      </c>
      <c r="FB111" s="227" t="s">
        <v>567</v>
      </c>
      <c r="FC111">
        <f t="shared" si="1"/>
        <v>1189</v>
      </c>
    </row>
    <row r="112" spans="1:159" ht="17.25" thickBot="1" x14ac:dyDescent="0.3">
      <c r="A112" s="226">
        <v>46168</v>
      </c>
      <c r="B112" s="227" t="s">
        <v>184</v>
      </c>
      <c r="C112" s="227" t="s">
        <v>673</v>
      </c>
      <c r="D112" s="228">
        <v>100</v>
      </c>
      <c r="E112" s="228">
        <v>0</v>
      </c>
      <c r="F112" s="231">
        <v>3212.1</v>
      </c>
      <c r="G112" s="231">
        <v>3180.2</v>
      </c>
      <c r="H112" s="228">
        <v>31.9</v>
      </c>
      <c r="I112" s="229">
        <v>0.01</v>
      </c>
      <c r="J112" s="231">
        <v>3299</v>
      </c>
      <c r="K112" s="231">
        <v>3400.4</v>
      </c>
      <c r="L112" s="228">
        <v>-101.4</v>
      </c>
      <c r="M112" s="229">
        <v>-2.98E-2</v>
      </c>
      <c r="N112" s="231">
        <v>3306.8</v>
      </c>
      <c r="O112" s="231">
        <v>3418</v>
      </c>
      <c r="P112" s="228">
        <v>-111.2</v>
      </c>
      <c r="Q112" s="229">
        <v>-3.2500000000000001E-2</v>
      </c>
      <c r="R112" s="231">
        <v>3212.1</v>
      </c>
      <c r="S112" s="231">
        <v>3180.2</v>
      </c>
      <c r="T112" s="228">
        <v>31.9</v>
      </c>
      <c r="U112" s="229">
        <v>0.01</v>
      </c>
      <c r="V112" s="231">
        <v>3135</v>
      </c>
      <c r="W112" s="231">
        <v>3030.4</v>
      </c>
      <c r="X112" s="228">
        <v>104.6</v>
      </c>
      <c r="Y112" s="229">
        <v>3.4500000000000003E-2</v>
      </c>
      <c r="Z112" s="228">
        <v>-86.9</v>
      </c>
      <c r="AA112" s="228">
        <v>17.600000000000001</v>
      </c>
      <c r="AB112" s="228">
        <v>-104.5</v>
      </c>
      <c r="AC112" s="229">
        <v>-2.63E-2</v>
      </c>
      <c r="AD112" s="228">
        <v>7.8</v>
      </c>
      <c r="AE112" s="228">
        <v>17.600000000000001</v>
      </c>
      <c r="AF112" s="228">
        <v>-9.8000000000000007</v>
      </c>
      <c r="AG112" s="229">
        <v>2.3999999999999998E-3</v>
      </c>
      <c r="AH112" s="228">
        <v>-86.9</v>
      </c>
      <c r="AI112" s="228">
        <v>-220.2</v>
      </c>
      <c r="AJ112" s="228">
        <v>133.30000000000001</v>
      </c>
      <c r="AK112" s="229">
        <v>-2.63E-2</v>
      </c>
      <c r="AL112" s="228">
        <v>-164</v>
      </c>
      <c r="AM112" s="228">
        <v>-370</v>
      </c>
      <c r="AN112" s="228">
        <v>206</v>
      </c>
      <c r="AO112" s="229">
        <v>-4.9700000000000001E-2</v>
      </c>
      <c r="AP112" s="231">
        <v>3344.35</v>
      </c>
      <c r="AQ112" s="231">
        <v>3203.45</v>
      </c>
      <c r="AR112" s="228">
        <v>0</v>
      </c>
      <c r="AS112" s="230">
        <v>1745</v>
      </c>
      <c r="AT112" s="228">
        <v>740</v>
      </c>
      <c r="AU112" s="230">
        <v>1005</v>
      </c>
      <c r="AV112" s="229">
        <v>1.3580000000000001</v>
      </c>
      <c r="AW112" s="228">
        <v>749</v>
      </c>
      <c r="AX112" s="228">
        <v>447</v>
      </c>
      <c r="AY112" s="228">
        <v>302</v>
      </c>
      <c r="AZ112" s="229">
        <v>0.67449999999999999</v>
      </c>
      <c r="BA112" s="228">
        <v>960</v>
      </c>
      <c r="BB112" s="228">
        <v>293</v>
      </c>
      <c r="BC112" s="228">
        <v>668</v>
      </c>
      <c r="BD112" s="229">
        <v>2.2816999999999998</v>
      </c>
      <c r="BE112" s="228">
        <v>35</v>
      </c>
      <c r="BF112" s="228">
        <v>0</v>
      </c>
      <c r="BG112" s="228">
        <v>35</v>
      </c>
      <c r="BH112" s="229">
        <v>0</v>
      </c>
      <c r="BI112" s="230">
        <v>2105</v>
      </c>
      <c r="BJ112" s="228">
        <v>224</v>
      </c>
      <c r="BK112" s="230">
        <v>1881</v>
      </c>
      <c r="BL112" s="229">
        <v>8.39</v>
      </c>
      <c r="BM112" s="230">
        <v>1224</v>
      </c>
      <c r="BN112" s="228">
        <v>109</v>
      </c>
      <c r="BO112" s="230">
        <v>1115</v>
      </c>
      <c r="BP112" s="229">
        <v>10.1905</v>
      </c>
      <c r="BQ112" s="230">
        <v>5074</v>
      </c>
      <c r="BR112" s="230">
        <v>1074</v>
      </c>
      <c r="BS112" s="230">
        <v>4001</v>
      </c>
      <c r="BT112" s="229">
        <v>3.7262</v>
      </c>
      <c r="BU112" s="230">
        <v>2927656</v>
      </c>
      <c r="BV112" s="230">
        <v>1566747</v>
      </c>
      <c r="BW112" s="230">
        <v>1360909</v>
      </c>
      <c r="BX112" s="229">
        <v>0.86860000000000004</v>
      </c>
      <c r="BY112" s="230">
        <v>1308</v>
      </c>
      <c r="BZ112" s="230">
        <v>1321</v>
      </c>
      <c r="CA112" s="228">
        <v>-13</v>
      </c>
      <c r="CB112" s="229">
        <v>-1.01E-2</v>
      </c>
      <c r="CC112" s="228">
        <v>112</v>
      </c>
      <c r="CD112" s="228">
        <v>417</v>
      </c>
      <c r="CE112" s="228">
        <v>-304</v>
      </c>
      <c r="CF112" s="229">
        <v>-0.73029999999999995</v>
      </c>
      <c r="CG112" s="230">
        <v>1218</v>
      </c>
      <c r="CH112" s="228">
        <v>836</v>
      </c>
      <c r="CI112" s="228">
        <v>382</v>
      </c>
      <c r="CJ112" s="229">
        <v>0.45679999999999998</v>
      </c>
      <c r="CK112" s="228">
        <v>89</v>
      </c>
      <c r="CL112" s="228">
        <v>68</v>
      </c>
      <c r="CM112" s="228">
        <v>21</v>
      </c>
      <c r="CN112" s="229">
        <v>0.31280000000000002</v>
      </c>
      <c r="CO112" s="228">
        <v>306</v>
      </c>
      <c r="CP112" s="230">
        <v>1097</v>
      </c>
      <c r="CQ112" s="228">
        <v>-791</v>
      </c>
      <c r="CR112" s="229">
        <v>-0.7208</v>
      </c>
      <c r="CS112" s="228">
        <v>201</v>
      </c>
      <c r="CT112" s="228">
        <v>553</v>
      </c>
      <c r="CU112" s="228">
        <v>-352</v>
      </c>
      <c r="CV112" s="229">
        <v>-0.63649999999999995</v>
      </c>
      <c r="CW112" s="230">
        <v>1815</v>
      </c>
      <c r="CX112" s="230">
        <v>2971</v>
      </c>
      <c r="CY112" s="230">
        <v>-1156</v>
      </c>
      <c r="CZ112" s="229">
        <v>-0.38919999999999999</v>
      </c>
      <c r="DA112" s="228">
        <v>46.34</v>
      </c>
      <c r="DB112" s="228">
        <v>56.38</v>
      </c>
      <c r="DC112" s="228">
        <v>-10.039999999999999</v>
      </c>
      <c r="DD112" s="228">
        <v>-10.039999999999999</v>
      </c>
      <c r="DE112" s="228">
        <v>69.83</v>
      </c>
      <c r="DF112" s="228">
        <v>69.989999999999995</v>
      </c>
      <c r="DG112" s="228">
        <v>-23.49</v>
      </c>
      <c r="DH112" s="228">
        <v>-0.16</v>
      </c>
      <c r="DI112" s="228">
        <v>46.42</v>
      </c>
      <c r="DJ112" s="228">
        <v>55.38</v>
      </c>
      <c r="DK112" s="228">
        <v>-8.9600000000000009</v>
      </c>
      <c r="DL112" s="228">
        <v>-8.9600000000000009</v>
      </c>
      <c r="DM112" s="228">
        <v>46.2</v>
      </c>
      <c r="DN112" s="228">
        <v>57.08</v>
      </c>
      <c r="DO112" s="228">
        <v>-10.88</v>
      </c>
      <c r="DP112" s="228">
        <v>-10.88</v>
      </c>
      <c r="DQ112" s="228">
        <v>0.66</v>
      </c>
      <c r="DR112" s="228">
        <v>0.5</v>
      </c>
      <c r="DS112" s="228">
        <v>0.16</v>
      </c>
      <c r="DT112" s="229">
        <v>0.32</v>
      </c>
      <c r="DU112" s="231">
        <v>3500</v>
      </c>
      <c r="DV112" s="231">
        <v>3000</v>
      </c>
      <c r="DW112" s="228">
        <v>0.57999999999999996</v>
      </c>
      <c r="DX112" s="228">
        <v>0.49</v>
      </c>
      <c r="DY112" s="228">
        <v>0.09</v>
      </c>
      <c r="DZ112" s="229">
        <v>0.1837</v>
      </c>
      <c r="EA112" s="229">
        <v>0.92090000000000005</v>
      </c>
      <c r="EB112" s="230">
        <v>2815100</v>
      </c>
      <c r="EC112" s="229">
        <v>-2.86E-2</v>
      </c>
      <c r="ED112" s="229">
        <v>0.92090000000000005</v>
      </c>
      <c r="EE112" s="228">
        <v>-140.9</v>
      </c>
      <c r="EF112" s="229">
        <v>-4.2099999999999999E-2</v>
      </c>
      <c r="EG112" s="230">
        <v>651916</v>
      </c>
      <c r="EH112" s="230">
        <v>565119</v>
      </c>
      <c r="EI112" s="229">
        <v>0.15359999999999999</v>
      </c>
      <c r="EJ112" s="229">
        <v>0.22270000000000001</v>
      </c>
      <c r="EK112" s="231">
        <v>2411.1799999999998</v>
      </c>
      <c r="EL112" s="231">
        <v>1292.95</v>
      </c>
      <c r="EM112" s="231">
        <v>1789.82</v>
      </c>
      <c r="EN112" s="228">
        <v>155.93</v>
      </c>
      <c r="EO112" s="231">
        <v>5493.94</v>
      </c>
      <c r="EP112" s="231">
        <v>1125.52</v>
      </c>
      <c r="EQ112" s="231">
        <v>4368.43</v>
      </c>
      <c r="ER112" s="229">
        <v>3.8813</v>
      </c>
      <c r="ES112" s="228">
        <v>351.24</v>
      </c>
      <c r="ET112" s="228">
        <v>205.75</v>
      </c>
      <c r="EU112" s="231">
        <v>1305.3900000000001</v>
      </c>
      <c r="EV112" s="231">
        <v>4679418</v>
      </c>
      <c r="EW112" s="231">
        <v>1862.38</v>
      </c>
      <c r="EX112" s="231">
        <v>3276.46</v>
      </c>
      <c r="EY112" s="231">
        <v>-1414.08</v>
      </c>
      <c r="EZ112" s="229">
        <v>-0.43159999999999998</v>
      </c>
      <c r="FA112" s="229">
        <v>1.2074</v>
      </c>
      <c r="FB112" s="227" t="s">
        <v>691</v>
      </c>
      <c r="FC112">
        <f t="shared" si="1"/>
        <v>1196</v>
      </c>
    </row>
    <row r="113" spans="1:159" ht="17.25" thickBot="1" x14ac:dyDescent="0.3">
      <c r="A113" s="226">
        <v>46168</v>
      </c>
      <c r="B113" s="227" t="s">
        <v>161</v>
      </c>
      <c r="C113" s="227" t="s">
        <v>609</v>
      </c>
      <c r="D113" s="228">
        <v>175</v>
      </c>
      <c r="E113" s="228">
        <v>0</v>
      </c>
      <c r="F113" s="231">
        <v>5338.2</v>
      </c>
      <c r="G113" s="231">
        <v>5324.2</v>
      </c>
      <c r="H113" s="228">
        <v>14</v>
      </c>
      <c r="I113" s="229">
        <v>2.5999999999999999E-3</v>
      </c>
      <c r="J113" s="231">
        <v>5305.5</v>
      </c>
      <c r="K113" s="231">
        <v>5281.5</v>
      </c>
      <c r="L113" s="228">
        <v>24</v>
      </c>
      <c r="M113" s="229">
        <v>4.4999999999999997E-3</v>
      </c>
      <c r="N113" s="231">
        <v>5306.9</v>
      </c>
      <c r="O113" s="231">
        <v>5287.2</v>
      </c>
      <c r="P113" s="228">
        <v>19.7</v>
      </c>
      <c r="Q113" s="229">
        <v>3.7000000000000002E-3</v>
      </c>
      <c r="R113" s="231">
        <v>5338.2</v>
      </c>
      <c r="S113" s="231">
        <v>5324.2</v>
      </c>
      <c r="T113" s="228">
        <v>14</v>
      </c>
      <c r="U113" s="229">
        <v>2.5999999999999999E-3</v>
      </c>
      <c r="V113" s="231">
        <v>5328.9</v>
      </c>
      <c r="W113" s="231">
        <v>5304.4</v>
      </c>
      <c r="X113" s="228">
        <v>24.5</v>
      </c>
      <c r="Y113" s="229">
        <v>4.5999999999999999E-3</v>
      </c>
      <c r="Z113" s="228">
        <v>32.700000000000003</v>
      </c>
      <c r="AA113" s="228">
        <v>5.7</v>
      </c>
      <c r="AB113" s="228">
        <v>27</v>
      </c>
      <c r="AC113" s="229">
        <v>6.1999999999999998E-3</v>
      </c>
      <c r="AD113" s="228">
        <v>1.4</v>
      </c>
      <c r="AE113" s="228">
        <v>5.7</v>
      </c>
      <c r="AF113" s="228">
        <v>-4.3</v>
      </c>
      <c r="AG113" s="229">
        <v>2.9999999999999997E-4</v>
      </c>
      <c r="AH113" s="228">
        <v>32.700000000000003</v>
      </c>
      <c r="AI113" s="228">
        <v>42.7</v>
      </c>
      <c r="AJ113" s="228">
        <v>-10</v>
      </c>
      <c r="AK113" s="229">
        <v>6.1999999999999998E-3</v>
      </c>
      <c r="AL113" s="228">
        <v>23.4</v>
      </c>
      <c r="AM113" s="228">
        <v>22.9</v>
      </c>
      <c r="AN113" s="228">
        <v>0.5</v>
      </c>
      <c r="AO113" s="229">
        <v>4.4000000000000003E-3</v>
      </c>
      <c r="AP113" s="231">
        <v>5303.08</v>
      </c>
      <c r="AQ113" s="231">
        <v>5331.34</v>
      </c>
      <c r="AR113" s="228">
        <v>0</v>
      </c>
      <c r="AS113" s="228">
        <v>272</v>
      </c>
      <c r="AT113" s="228">
        <v>595</v>
      </c>
      <c r="AU113" s="228">
        <v>-322</v>
      </c>
      <c r="AV113" s="229">
        <v>-0.5423</v>
      </c>
      <c r="AW113" s="228">
        <v>139</v>
      </c>
      <c r="AX113" s="228">
        <v>285</v>
      </c>
      <c r="AY113" s="228">
        <v>-146</v>
      </c>
      <c r="AZ113" s="229">
        <v>-0.51259999999999994</v>
      </c>
      <c r="BA113" s="228">
        <v>131</v>
      </c>
      <c r="BB113" s="228">
        <v>308</v>
      </c>
      <c r="BC113" s="228">
        <v>-177</v>
      </c>
      <c r="BD113" s="229">
        <v>-0.57389999999999997</v>
      </c>
      <c r="BE113" s="228">
        <v>2</v>
      </c>
      <c r="BF113" s="228">
        <v>1</v>
      </c>
      <c r="BG113" s="228">
        <v>1</v>
      </c>
      <c r="BH113" s="229">
        <v>0.4</v>
      </c>
      <c r="BI113" s="228">
        <v>408</v>
      </c>
      <c r="BJ113" s="228">
        <v>873</v>
      </c>
      <c r="BK113" s="228">
        <v>-465</v>
      </c>
      <c r="BL113" s="229">
        <v>-0.53239999999999998</v>
      </c>
      <c r="BM113" s="228">
        <v>626</v>
      </c>
      <c r="BN113" s="230">
        <v>1345</v>
      </c>
      <c r="BO113" s="228">
        <v>-718</v>
      </c>
      <c r="BP113" s="229">
        <v>-0.5343</v>
      </c>
      <c r="BQ113" s="230">
        <v>1307</v>
      </c>
      <c r="BR113" s="230">
        <v>2812</v>
      </c>
      <c r="BS113" s="230">
        <v>-1506</v>
      </c>
      <c r="BT113" s="229">
        <v>-0.53539999999999999</v>
      </c>
      <c r="BU113" s="230">
        <v>244827</v>
      </c>
      <c r="BV113" s="230">
        <v>247329</v>
      </c>
      <c r="BW113" s="230">
        <v>-2502</v>
      </c>
      <c r="BX113" s="229">
        <v>-1.01E-2</v>
      </c>
      <c r="BY113" s="228">
        <v>744</v>
      </c>
      <c r="BZ113" s="228">
        <v>912</v>
      </c>
      <c r="CA113" s="228">
        <v>-169</v>
      </c>
      <c r="CB113" s="229">
        <v>-0.18490000000000001</v>
      </c>
      <c r="CC113" s="228">
        <v>143</v>
      </c>
      <c r="CD113" s="228">
        <v>200</v>
      </c>
      <c r="CE113" s="228">
        <v>-57</v>
      </c>
      <c r="CF113" s="229">
        <v>-0.28660000000000002</v>
      </c>
      <c r="CG113" s="228">
        <v>739</v>
      </c>
      <c r="CH113" s="228">
        <v>708</v>
      </c>
      <c r="CI113" s="228">
        <v>31</v>
      </c>
      <c r="CJ113" s="229">
        <v>4.3499999999999997E-2</v>
      </c>
      <c r="CK113" s="228">
        <v>5</v>
      </c>
      <c r="CL113" s="228">
        <v>4</v>
      </c>
      <c r="CM113" s="228">
        <v>1</v>
      </c>
      <c r="CN113" s="229">
        <v>0.13950000000000001</v>
      </c>
      <c r="CO113" s="228">
        <v>137</v>
      </c>
      <c r="CP113" s="228">
        <v>396</v>
      </c>
      <c r="CQ113" s="228">
        <v>-258</v>
      </c>
      <c r="CR113" s="229">
        <v>-0.65310000000000001</v>
      </c>
      <c r="CS113" s="228">
        <v>80</v>
      </c>
      <c r="CT113" s="228">
        <v>312</v>
      </c>
      <c r="CU113" s="228">
        <v>-232</v>
      </c>
      <c r="CV113" s="229">
        <v>-0.74350000000000005</v>
      </c>
      <c r="CW113" s="228">
        <v>961</v>
      </c>
      <c r="CX113" s="230">
        <v>1620</v>
      </c>
      <c r="CY113" s="228">
        <v>-659</v>
      </c>
      <c r="CZ113" s="229">
        <v>-0.40679999999999999</v>
      </c>
      <c r="DA113" s="228">
        <v>32.04</v>
      </c>
      <c r="DB113" s="228">
        <v>32.840000000000003</v>
      </c>
      <c r="DC113" s="228">
        <v>-0.8</v>
      </c>
      <c r="DD113" s="228">
        <v>-0.8</v>
      </c>
      <c r="DE113" s="228">
        <v>45.09</v>
      </c>
      <c r="DF113" s="228">
        <v>45.2</v>
      </c>
      <c r="DG113" s="228">
        <v>-13.05</v>
      </c>
      <c r="DH113" s="228">
        <v>-0.11</v>
      </c>
      <c r="DI113" s="228">
        <v>31.5</v>
      </c>
      <c r="DJ113" s="228">
        <v>32.65</v>
      </c>
      <c r="DK113" s="228">
        <v>-1.1499999999999999</v>
      </c>
      <c r="DL113" s="228">
        <v>-1.1499999999999999</v>
      </c>
      <c r="DM113" s="228">
        <v>33.32</v>
      </c>
      <c r="DN113" s="228">
        <v>33.369999999999997</v>
      </c>
      <c r="DO113" s="228">
        <v>-0.05</v>
      </c>
      <c r="DP113" s="228">
        <v>-0.05</v>
      </c>
      <c r="DQ113" s="228">
        <v>0.57999999999999996</v>
      </c>
      <c r="DR113" s="228">
        <v>0.79</v>
      </c>
      <c r="DS113" s="228">
        <v>-0.21</v>
      </c>
      <c r="DT113" s="229">
        <v>-0.26579999999999998</v>
      </c>
      <c r="DU113" s="231">
        <v>5500</v>
      </c>
      <c r="DV113" s="231">
        <v>5200</v>
      </c>
      <c r="DW113" s="228">
        <v>1.53</v>
      </c>
      <c r="DX113" s="228">
        <v>1.54</v>
      </c>
      <c r="DY113" s="228">
        <v>-0.01</v>
      </c>
      <c r="DZ113" s="229">
        <v>-6.4999999999999997E-3</v>
      </c>
      <c r="EA113" s="229">
        <v>0.83899999999999997</v>
      </c>
      <c r="EB113" s="230">
        <v>1334375</v>
      </c>
      <c r="EC113" s="229">
        <v>5.8999999999999999E-3</v>
      </c>
      <c r="ED113" s="229">
        <v>0.83899999999999997</v>
      </c>
      <c r="EE113" s="228">
        <v>28.26</v>
      </c>
      <c r="EF113" s="229">
        <v>5.3E-3</v>
      </c>
      <c r="EG113" s="230">
        <v>95161</v>
      </c>
      <c r="EH113" s="230">
        <v>112083</v>
      </c>
      <c r="EI113" s="229">
        <v>-0.151</v>
      </c>
      <c r="EJ113" s="229">
        <v>0.38869999999999999</v>
      </c>
      <c r="EK113" s="228">
        <v>413.63</v>
      </c>
      <c r="EL113" s="228">
        <v>600.72</v>
      </c>
      <c r="EM113" s="228">
        <v>271.04000000000002</v>
      </c>
      <c r="EN113" s="228">
        <v>55.06</v>
      </c>
      <c r="EO113" s="231">
        <v>1285.3900000000001</v>
      </c>
      <c r="EP113" s="231">
        <v>2763.35</v>
      </c>
      <c r="EQ113" s="231">
        <v>-1477.96</v>
      </c>
      <c r="ER113" s="229">
        <v>-0.53480000000000005</v>
      </c>
      <c r="ES113" s="228">
        <v>137.1</v>
      </c>
      <c r="ET113" s="228">
        <v>75.78</v>
      </c>
      <c r="EU113" s="228">
        <v>743.7</v>
      </c>
      <c r="EV113" s="231">
        <v>9320940</v>
      </c>
      <c r="EW113" s="228">
        <v>956.57</v>
      </c>
      <c r="EX113" s="231">
        <v>1587.86</v>
      </c>
      <c r="EY113" s="228">
        <v>-631.29</v>
      </c>
      <c r="EZ113" s="229">
        <v>-0.39760000000000001</v>
      </c>
      <c r="FA113" s="229">
        <v>0.19309999999999999</v>
      </c>
      <c r="FB113" s="227" t="s">
        <v>691</v>
      </c>
      <c r="FC113">
        <f t="shared" si="1"/>
        <v>601</v>
      </c>
    </row>
    <row r="114" spans="1:159" ht="17.25" thickBot="1" x14ac:dyDescent="0.3">
      <c r="A114" s="226">
        <v>46168</v>
      </c>
      <c r="B114" s="227" t="s">
        <v>175</v>
      </c>
      <c r="C114" s="227" t="s">
        <v>679</v>
      </c>
      <c r="D114" s="228">
        <v>500</v>
      </c>
      <c r="E114" s="228">
        <v>0</v>
      </c>
      <c r="F114" s="228">
        <v>841.55</v>
      </c>
      <c r="G114" s="228">
        <v>828.05</v>
      </c>
      <c r="H114" s="228">
        <v>13.5</v>
      </c>
      <c r="I114" s="229">
        <v>1.6299999999999999E-2</v>
      </c>
      <c r="J114" s="228">
        <v>837.05</v>
      </c>
      <c r="K114" s="228">
        <v>829.4</v>
      </c>
      <c r="L114" s="228">
        <v>7.65</v>
      </c>
      <c r="M114" s="229">
        <v>9.1999999999999998E-3</v>
      </c>
      <c r="N114" s="228">
        <v>835.55</v>
      </c>
      <c r="O114" s="228">
        <v>830.2</v>
      </c>
      <c r="P114" s="228">
        <v>5.35</v>
      </c>
      <c r="Q114" s="229">
        <v>6.4000000000000003E-3</v>
      </c>
      <c r="R114" s="228">
        <v>841.55</v>
      </c>
      <c r="S114" s="228">
        <v>828.05</v>
      </c>
      <c r="T114" s="228">
        <v>13.5</v>
      </c>
      <c r="U114" s="229">
        <v>1.6299999999999999E-2</v>
      </c>
      <c r="V114" s="228">
        <v>841.8</v>
      </c>
      <c r="W114" s="228">
        <v>826.6</v>
      </c>
      <c r="X114" s="228">
        <v>15.2</v>
      </c>
      <c r="Y114" s="229">
        <v>1.84E-2</v>
      </c>
      <c r="Z114" s="228">
        <v>4.5</v>
      </c>
      <c r="AA114" s="228">
        <v>0.8</v>
      </c>
      <c r="AB114" s="228">
        <v>3.7</v>
      </c>
      <c r="AC114" s="229">
        <v>5.4000000000000003E-3</v>
      </c>
      <c r="AD114" s="228">
        <v>-1.5</v>
      </c>
      <c r="AE114" s="228">
        <v>0.8</v>
      </c>
      <c r="AF114" s="228">
        <v>-2.2999999999999998</v>
      </c>
      <c r="AG114" s="229">
        <v>-1.8E-3</v>
      </c>
      <c r="AH114" s="228">
        <v>4.5</v>
      </c>
      <c r="AI114" s="228">
        <v>-1.35</v>
      </c>
      <c r="AJ114" s="228">
        <v>5.85</v>
      </c>
      <c r="AK114" s="229">
        <v>5.4000000000000003E-3</v>
      </c>
      <c r="AL114" s="228">
        <v>4.75</v>
      </c>
      <c r="AM114" s="228">
        <v>-2.8</v>
      </c>
      <c r="AN114" s="228">
        <v>7.55</v>
      </c>
      <c r="AO114" s="229">
        <v>5.7000000000000002E-3</v>
      </c>
      <c r="AP114" s="228">
        <v>832.2</v>
      </c>
      <c r="AQ114" s="228">
        <v>836.18</v>
      </c>
      <c r="AR114" s="228">
        <v>0</v>
      </c>
      <c r="AS114" s="228">
        <v>260</v>
      </c>
      <c r="AT114" s="228">
        <v>444</v>
      </c>
      <c r="AU114" s="228">
        <v>-184</v>
      </c>
      <c r="AV114" s="229">
        <v>-0.41370000000000001</v>
      </c>
      <c r="AW114" s="228">
        <v>116</v>
      </c>
      <c r="AX114" s="228">
        <v>211</v>
      </c>
      <c r="AY114" s="228">
        <v>-95</v>
      </c>
      <c r="AZ114" s="229">
        <v>-0.45100000000000001</v>
      </c>
      <c r="BA114" s="228">
        <v>141</v>
      </c>
      <c r="BB114" s="228">
        <v>231</v>
      </c>
      <c r="BC114" s="228">
        <v>-90</v>
      </c>
      <c r="BD114" s="229">
        <v>-0.38779999999999998</v>
      </c>
      <c r="BE114" s="228">
        <v>3</v>
      </c>
      <c r="BF114" s="228">
        <v>2</v>
      </c>
      <c r="BG114" s="228">
        <v>1</v>
      </c>
      <c r="BH114" s="229">
        <v>0.434</v>
      </c>
      <c r="BI114" s="228">
        <v>102</v>
      </c>
      <c r="BJ114" s="228">
        <v>189</v>
      </c>
      <c r="BK114" s="228">
        <v>-87</v>
      </c>
      <c r="BL114" s="229">
        <v>-0.4587</v>
      </c>
      <c r="BM114" s="228">
        <v>69</v>
      </c>
      <c r="BN114" s="228">
        <v>76</v>
      </c>
      <c r="BO114" s="228">
        <v>-6</v>
      </c>
      <c r="BP114" s="229">
        <v>-8.3400000000000002E-2</v>
      </c>
      <c r="BQ114" s="228">
        <v>432</v>
      </c>
      <c r="BR114" s="228">
        <v>708</v>
      </c>
      <c r="BS114" s="228">
        <v>-276</v>
      </c>
      <c r="BT114" s="229">
        <v>-0.39040000000000002</v>
      </c>
      <c r="BU114" s="230">
        <v>1354747</v>
      </c>
      <c r="BV114" s="230">
        <v>1403320</v>
      </c>
      <c r="BW114" s="230">
        <v>-48573</v>
      </c>
      <c r="BX114" s="229">
        <v>-3.4599999999999999E-2</v>
      </c>
      <c r="BY114" s="228">
        <v>405</v>
      </c>
      <c r="BZ114" s="228">
        <v>459</v>
      </c>
      <c r="CA114" s="228">
        <v>-54</v>
      </c>
      <c r="CB114" s="229">
        <v>-0.1172</v>
      </c>
      <c r="CC114" s="228">
        <v>40</v>
      </c>
      <c r="CD114" s="228">
        <v>87</v>
      </c>
      <c r="CE114" s="228">
        <v>-48</v>
      </c>
      <c r="CF114" s="229">
        <v>-0.54669999999999996</v>
      </c>
      <c r="CG114" s="228">
        <v>388</v>
      </c>
      <c r="CH114" s="228">
        <v>356</v>
      </c>
      <c r="CI114" s="228">
        <v>32</v>
      </c>
      <c r="CJ114" s="229">
        <v>9.0499999999999997E-2</v>
      </c>
      <c r="CK114" s="228">
        <v>17</v>
      </c>
      <c r="CL114" s="228">
        <v>16</v>
      </c>
      <c r="CM114" s="228">
        <v>1</v>
      </c>
      <c r="CN114" s="229">
        <v>8.8999999999999996E-2</v>
      </c>
      <c r="CO114" s="228">
        <v>51</v>
      </c>
      <c r="CP114" s="228">
        <v>340</v>
      </c>
      <c r="CQ114" s="228">
        <v>-289</v>
      </c>
      <c r="CR114" s="229">
        <v>-0.85129999999999995</v>
      </c>
      <c r="CS114" s="228">
        <v>53</v>
      </c>
      <c r="CT114" s="228">
        <v>228</v>
      </c>
      <c r="CU114" s="228">
        <v>-176</v>
      </c>
      <c r="CV114" s="229">
        <v>-0.76939999999999997</v>
      </c>
      <c r="CW114" s="228">
        <v>509</v>
      </c>
      <c r="CX114" s="230">
        <v>1027</v>
      </c>
      <c r="CY114" s="228">
        <v>-519</v>
      </c>
      <c r="CZ114" s="229">
        <v>-0.505</v>
      </c>
      <c r="DA114" s="228">
        <v>35.35</v>
      </c>
      <c r="DB114" s="228">
        <v>34.700000000000003</v>
      </c>
      <c r="DC114" s="228">
        <v>0.65</v>
      </c>
      <c r="DD114" s="228">
        <v>0.65</v>
      </c>
      <c r="DE114" s="228">
        <v>50.64</v>
      </c>
      <c r="DF114" s="228">
        <v>50.72</v>
      </c>
      <c r="DG114" s="228">
        <v>-15.29</v>
      </c>
      <c r="DH114" s="228">
        <v>-0.08</v>
      </c>
      <c r="DI114" s="228">
        <v>35.409999999999997</v>
      </c>
      <c r="DJ114" s="228">
        <v>34.61</v>
      </c>
      <c r="DK114" s="228">
        <v>0.8</v>
      </c>
      <c r="DL114" s="228">
        <v>0.8</v>
      </c>
      <c r="DM114" s="228">
        <v>35.24</v>
      </c>
      <c r="DN114" s="228">
        <v>34.78</v>
      </c>
      <c r="DO114" s="228">
        <v>0.46</v>
      </c>
      <c r="DP114" s="228">
        <v>0.46</v>
      </c>
      <c r="DQ114" s="228">
        <v>1.04</v>
      </c>
      <c r="DR114" s="228">
        <v>0.67</v>
      </c>
      <c r="DS114" s="228">
        <v>0.37</v>
      </c>
      <c r="DT114" s="229">
        <v>0.55220000000000002</v>
      </c>
      <c r="DU114" s="228">
        <v>870</v>
      </c>
      <c r="DV114" s="228">
        <v>760</v>
      </c>
      <c r="DW114" s="228">
        <v>0.68</v>
      </c>
      <c r="DX114" s="228">
        <v>0.4</v>
      </c>
      <c r="DY114" s="228">
        <v>0.28000000000000003</v>
      </c>
      <c r="DZ114" s="229">
        <v>0.7</v>
      </c>
      <c r="EA114" s="229">
        <v>0.91090000000000004</v>
      </c>
      <c r="EB114" s="230">
        <v>4417450</v>
      </c>
      <c r="EC114" s="229">
        <v>7.1999999999999998E-3</v>
      </c>
      <c r="ED114" s="229">
        <v>0.91090000000000004</v>
      </c>
      <c r="EE114" s="228">
        <v>3.98</v>
      </c>
      <c r="EF114" s="229">
        <v>4.7999999999999996E-3</v>
      </c>
      <c r="EG114" s="230">
        <v>649974</v>
      </c>
      <c r="EH114" s="230">
        <v>750803</v>
      </c>
      <c r="EI114" s="229">
        <v>-0.1343</v>
      </c>
      <c r="EJ114" s="229">
        <v>0.4798</v>
      </c>
      <c r="EK114" s="228">
        <v>106.85</v>
      </c>
      <c r="EL114" s="228">
        <v>71.73</v>
      </c>
      <c r="EM114" s="228">
        <v>258.58999999999997</v>
      </c>
      <c r="EN114" s="228">
        <v>76.36</v>
      </c>
      <c r="EO114" s="228">
        <v>437.17</v>
      </c>
      <c r="EP114" s="228">
        <v>710.11</v>
      </c>
      <c r="EQ114" s="228">
        <v>-272.95</v>
      </c>
      <c r="ER114" s="229">
        <v>-0.38440000000000002</v>
      </c>
      <c r="ES114" s="228">
        <v>52.17</v>
      </c>
      <c r="ET114" s="228">
        <v>51.62</v>
      </c>
      <c r="EU114" s="228">
        <v>405.39</v>
      </c>
      <c r="EV114" s="231">
        <v>19953342</v>
      </c>
      <c r="EW114" s="228">
        <v>509.18</v>
      </c>
      <c r="EX114" s="231">
        <v>1052.5</v>
      </c>
      <c r="EY114" s="228">
        <v>-543.32000000000005</v>
      </c>
      <c r="EZ114" s="229">
        <v>-0.51619999999999999</v>
      </c>
      <c r="FA114" s="229">
        <v>0.30280000000000001</v>
      </c>
      <c r="FB114" s="227" t="s">
        <v>691</v>
      </c>
      <c r="FC114">
        <f t="shared" si="1"/>
        <v>365</v>
      </c>
    </row>
    <row r="115" spans="1:159" ht="17.25" thickBot="1" x14ac:dyDescent="0.3">
      <c r="A115" s="226">
        <v>46168</v>
      </c>
      <c r="B115" s="227" t="s">
        <v>172</v>
      </c>
      <c r="C115" s="227" t="s">
        <v>246</v>
      </c>
      <c r="D115" s="228">
        <v>2000</v>
      </c>
      <c r="E115" s="228">
        <v>0</v>
      </c>
      <c r="F115" s="228">
        <v>390.9</v>
      </c>
      <c r="G115" s="228">
        <v>396.2</v>
      </c>
      <c r="H115" s="228">
        <v>-5.3</v>
      </c>
      <c r="I115" s="229">
        <v>-1.34E-2</v>
      </c>
      <c r="J115" s="228">
        <v>388.65</v>
      </c>
      <c r="K115" s="228">
        <v>392.85</v>
      </c>
      <c r="L115" s="228">
        <v>-4.2</v>
      </c>
      <c r="M115" s="229">
        <v>-1.0699999999999999E-2</v>
      </c>
      <c r="N115" s="228">
        <v>388.45</v>
      </c>
      <c r="O115" s="228">
        <v>393.7</v>
      </c>
      <c r="P115" s="228">
        <v>-5.25</v>
      </c>
      <c r="Q115" s="229">
        <v>-1.3299999999999999E-2</v>
      </c>
      <c r="R115" s="228">
        <v>390.9</v>
      </c>
      <c r="S115" s="228">
        <v>396.2</v>
      </c>
      <c r="T115" s="228">
        <v>-5.3</v>
      </c>
      <c r="U115" s="229">
        <v>-1.34E-2</v>
      </c>
      <c r="V115" s="228">
        <v>392.25</v>
      </c>
      <c r="W115" s="228">
        <v>397.9</v>
      </c>
      <c r="X115" s="228">
        <v>-5.65</v>
      </c>
      <c r="Y115" s="229">
        <v>-1.4200000000000001E-2</v>
      </c>
      <c r="Z115" s="228">
        <v>2.25</v>
      </c>
      <c r="AA115" s="228">
        <v>0.85</v>
      </c>
      <c r="AB115" s="228">
        <v>1.4</v>
      </c>
      <c r="AC115" s="229">
        <v>5.7999999999999996E-3</v>
      </c>
      <c r="AD115" s="228">
        <v>-0.2</v>
      </c>
      <c r="AE115" s="228">
        <v>0.85</v>
      </c>
      <c r="AF115" s="228">
        <v>-1.05</v>
      </c>
      <c r="AG115" s="229">
        <v>-5.0000000000000001E-4</v>
      </c>
      <c r="AH115" s="228">
        <v>2.25</v>
      </c>
      <c r="AI115" s="228">
        <v>3.35</v>
      </c>
      <c r="AJ115" s="228">
        <v>-1.1000000000000001</v>
      </c>
      <c r="AK115" s="229">
        <v>5.7999999999999996E-3</v>
      </c>
      <c r="AL115" s="228">
        <v>3.6</v>
      </c>
      <c r="AM115" s="228">
        <v>5.05</v>
      </c>
      <c r="AN115" s="228">
        <v>-1.45</v>
      </c>
      <c r="AO115" s="229">
        <v>9.2999999999999992E-3</v>
      </c>
      <c r="AP115" s="228">
        <v>389.36</v>
      </c>
      <c r="AQ115" s="228">
        <v>391.71</v>
      </c>
      <c r="AR115" s="228">
        <v>0</v>
      </c>
      <c r="AS115" s="230">
        <v>1551</v>
      </c>
      <c r="AT115" s="230">
        <v>3329</v>
      </c>
      <c r="AU115" s="230">
        <v>-1778</v>
      </c>
      <c r="AV115" s="229">
        <v>-0.53400000000000003</v>
      </c>
      <c r="AW115" s="228">
        <v>579</v>
      </c>
      <c r="AX115" s="230">
        <v>1660</v>
      </c>
      <c r="AY115" s="230">
        <v>-1081</v>
      </c>
      <c r="AZ115" s="229">
        <v>-0.65100000000000002</v>
      </c>
      <c r="BA115" s="228">
        <v>954</v>
      </c>
      <c r="BB115" s="230">
        <v>1652</v>
      </c>
      <c r="BC115" s="228">
        <v>-698</v>
      </c>
      <c r="BD115" s="229">
        <v>-0.4224</v>
      </c>
      <c r="BE115" s="228">
        <v>18</v>
      </c>
      <c r="BF115" s="228">
        <v>16</v>
      </c>
      <c r="BG115" s="228">
        <v>1</v>
      </c>
      <c r="BH115" s="229">
        <v>7.6200000000000004E-2</v>
      </c>
      <c r="BI115" s="230">
        <v>1291</v>
      </c>
      <c r="BJ115" s="230">
        <v>3449</v>
      </c>
      <c r="BK115" s="230">
        <v>-2159</v>
      </c>
      <c r="BL115" s="229">
        <v>-0.62590000000000001</v>
      </c>
      <c r="BM115" s="228">
        <v>863</v>
      </c>
      <c r="BN115" s="230">
        <v>1552</v>
      </c>
      <c r="BO115" s="228">
        <v>-690</v>
      </c>
      <c r="BP115" s="229">
        <v>-0.44429999999999997</v>
      </c>
      <c r="BQ115" s="230">
        <v>3704</v>
      </c>
      <c r="BR115" s="230">
        <v>8330</v>
      </c>
      <c r="BS115" s="230">
        <v>-4626</v>
      </c>
      <c r="BT115" s="229">
        <v>-0.55530000000000002</v>
      </c>
      <c r="BU115" s="230">
        <v>15830485</v>
      </c>
      <c r="BV115" s="230">
        <v>17790308</v>
      </c>
      <c r="BW115" s="230">
        <v>-1959823</v>
      </c>
      <c r="BX115" s="229">
        <v>-0.11020000000000001</v>
      </c>
      <c r="BY115" s="230">
        <v>7248</v>
      </c>
      <c r="BZ115" s="230">
        <v>7582</v>
      </c>
      <c r="CA115" s="228">
        <v>-334</v>
      </c>
      <c r="CB115" s="229">
        <v>-4.41E-2</v>
      </c>
      <c r="CC115" s="228">
        <v>466</v>
      </c>
      <c r="CD115" s="228">
        <v>864</v>
      </c>
      <c r="CE115" s="228">
        <v>-398</v>
      </c>
      <c r="CF115" s="229">
        <v>-0.46050000000000002</v>
      </c>
      <c r="CG115" s="230">
        <v>6823</v>
      </c>
      <c r="CH115" s="230">
        <v>6300</v>
      </c>
      <c r="CI115" s="228">
        <v>523</v>
      </c>
      <c r="CJ115" s="229">
        <v>8.3000000000000004E-2</v>
      </c>
      <c r="CK115" s="228">
        <v>424</v>
      </c>
      <c r="CL115" s="228">
        <v>417</v>
      </c>
      <c r="CM115" s="228">
        <v>7</v>
      </c>
      <c r="CN115" s="229">
        <v>1.7600000000000001E-2</v>
      </c>
      <c r="CO115" s="228">
        <v>659</v>
      </c>
      <c r="CP115" s="230">
        <v>1649</v>
      </c>
      <c r="CQ115" s="228">
        <v>-990</v>
      </c>
      <c r="CR115" s="229">
        <v>-0.60029999999999994</v>
      </c>
      <c r="CS115" s="228">
        <v>560</v>
      </c>
      <c r="CT115" s="230">
        <v>1352</v>
      </c>
      <c r="CU115" s="228">
        <v>-793</v>
      </c>
      <c r="CV115" s="229">
        <v>-0.58609999999999995</v>
      </c>
      <c r="CW115" s="230">
        <v>8467</v>
      </c>
      <c r="CX115" s="230">
        <v>10583</v>
      </c>
      <c r="CY115" s="230">
        <v>-2117</v>
      </c>
      <c r="CZ115" s="229">
        <v>-0.2</v>
      </c>
      <c r="DA115" s="228">
        <v>21.84</v>
      </c>
      <c r="DB115" s="228">
        <v>22.07</v>
      </c>
      <c r="DC115" s="228">
        <v>-0.23</v>
      </c>
      <c r="DD115" s="228">
        <v>-0.23</v>
      </c>
      <c r="DE115" s="228">
        <v>27.04</v>
      </c>
      <c r="DF115" s="228">
        <v>27.06</v>
      </c>
      <c r="DG115" s="228">
        <v>-5.2</v>
      </c>
      <c r="DH115" s="228">
        <v>-0.02</v>
      </c>
      <c r="DI115" s="228">
        <v>21.51</v>
      </c>
      <c r="DJ115" s="228">
        <v>22.09</v>
      </c>
      <c r="DK115" s="228">
        <v>-0.57999999999999996</v>
      </c>
      <c r="DL115" s="228">
        <v>-0.57999999999999996</v>
      </c>
      <c r="DM115" s="228">
        <v>22.38</v>
      </c>
      <c r="DN115" s="228">
        <v>22.04</v>
      </c>
      <c r="DO115" s="228">
        <v>0.34</v>
      </c>
      <c r="DP115" s="228">
        <v>0.34</v>
      </c>
      <c r="DQ115" s="228">
        <v>0.85</v>
      </c>
      <c r="DR115" s="228">
        <v>0.82</v>
      </c>
      <c r="DS115" s="228">
        <v>0.03</v>
      </c>
      <c r="DT115" s="229">
        <v>3.6600000000000001E-2</v>
      </c>
      <c r="DU115" s="228">
        <v>405</v>
      </c>
      <c r="DV115" s="228">
        <v>370</v>
      </c>
      <c r="DW115" s="228">
        <v>0.67</v>
      </c>
      <c r="DX115" s="228">
        <v>0.45</v>
      </c>
      <c r="DY115" s="228">
        <v>0.22</v>
      </c>
      <c r="DZ115" s="229">
        <v>0.4889</v>
      </c>
      <c r="EA115" s="229">
        <v>0.9395</v>
      </c>
      <c r="EB115" s="230">
        <v>171838000</v>
      </c>
      <c r="EC115" s="229">
        <v>6.3E-3</v>
      </c>
      <c r="ED115" s="229">
        <v>0.9395</v>
      </c>
      <c r="EE115" s="228">
        <v>2.35</v>
      </c>
      <c r="EF115" s="229">
        <v>6.0000000000000001E-3</v>
      </c>
      <c r="EG115" s="230">
        <v>8997121</v>
      </c>
      <c r="EH115" s="230">
        <v>12589496</v>
      </c>
      <c r="EI115" s="229">
        <v>-0.2853</v>
      </c>
      <c r="EJ115" s="229">
        <v>0.56830000000000003</v>
      </c>
      <c r="EK115" s="231">
        <v>1331.5</v>
      </c>
      <c r="EL115" s="228">
        <v>854.44</v>
      </c>
      <c r="EM115" s="231">
        <v>1551.03</v>
      </c>
      <c r="EN115" s="228">
        <v>295.49</v>
      </c>
      <c r="EO115" s="231">
        <v>3736.97</v>
      </c>
      <c r="EP115" s="231">
        <v>8427.93</v>
      </c>
      <c r="EQ115" s="231">
        <v>-4690.96</v>
      </c>
      <c r="ER115" s="229">
        <v>-0.55659999999999998</v>
      </c>
      <c r="ES115" s="228">
        <v>683.96</v>
      </c>
      <c r="ET115" s="228">
        <v>546.71</v>
      </c>
      <c r="EU115" s="231">
        <v>7248.99</v>
      </c>
      <c r="EV115" s="231">
        <v>882793124</v>
      </c>
      <c r="EW115" s="231">
        <v>8479.65</v>
      </c>
      <c r="EX115" s="231">
        <v>10657.28</v>
      </c>
      <c r="EY115" s="231">
        <v>-2177.63</v>
      </c>
      <c r="EZ115" s="229">
        <v>-0.20430000000000001</v>
      </c>
      <c r="FA115" s="229">
        <v>0.24529999999999999</v>
      </c>
      <c r="FB115" s="227" t="s">
        <v>567</v>
      </c>
      <c r="FC115">
        <f t="shared" si="1"/>
        <v>6782</v>
      </c>
    </row>
    <row r="116" spans="1:159" ht="17.25" thickBot="1" x14ac:dyDescent="0.3">
      <c r="A116" s="226">
        <v>46168</v>
      </c>
      <c r="B116" s="227" t="s">
        <v>221</v>
      </c>
      <c r="C116" s="227" t="s">
        <v>576</v>
      </c>
      <c r="D116" s="228">
        <v>425</v>
      </c>
      <c r="E116" s="228">
        <v>0</v>
      </c>
      <c r="F116" s="228">
        <v>764.85</v>
      </c>
      <c r="G116" s="228">
        <v>745.35</v>
      </c>
      <c r="H116" s="228">
        <v>19.5</v>
      </c>
      <c r="I116" s="229">
        <v>2.6200000000000001E-2</v>
      </c>
      <c r="J116" s="228">
        <v>784.7</v>
      </c>
      <c r="K116" s="228">
        <v>756.6</v>
      </c>
      <c r="L116" s="228">
        <v>28.1</v>
      </c>
      <c r="M116" s="229">
        <v>3.7100000000000001E-2</v>
      </c>
      <c r="N116" s="228">
        <v>785.65</v>
      </c>
      <c r="O116" s="228">
        <v>759.9</v>
      </c>
      <c r="P116" s="228">
        <v>25.75</v>
      </c>
      <c r="Q116" s="229">
        <v>3.39E-2</v>
      </c>
      <c r="R116" s="228">
        <v>764.85</v>
      </c>
      <c r="S116" s="228">
        <v>745.35</v>
      </c>
      <c r="T116" s="228">
        <v>19.5</v>
      </c>
      <c r="U116" s="229">
        <v>2.6200000000000001E-2</v>
      </c>
      <c r="V116" s="228">
        <v>756.6</v>
      </c>
      <c r="W116" s="228">
        <v>741</v>
      </c>
      <c r="X116" s="228">
        <v>15.6</v>
      </c>
      <c r="Y116" s="229">
        <v>2.1100000000000001E-2</v>
      </c>
      <c r="Z116" s="228">
        <v>-19.850000000000001</v>
      </c>
      <c r="AA116" s="228">
        <v>3.3</v>
      </c>
      <c r="AB116" s="228">
        <v>-23.15</v>
      </c>
      <c r="AC116" s="229">
        <v>-2.53E-2</v>
      </c>
      <c r="AD116" s="228">
        <v>0.95</v>
      </c>
      <c r="AE116" s="228">
        <v>3.3</v>
      </c>
      <c r="AF116" s="228">
        <v>-2.35</v>
      </c>
      <c r="AG116" s="229">
        <v>1.1999999999999999E-3</v>
      </c>
      <c r="AH116" s="228">
        <v>-19.850000000000001</v>
      </c>
      <c r="AI116" s="228">
        <v>-11.25</v>
      </c>
      <c r="AJ116" s="228">
        <v>-8.6</v>
      </c>
      <c r="AK116" s="229">
        <v>-2.53E-2</v>
      </c>
      <c r="AL116" s="228">
        <v>-28.1</v>
      </c>
      <c r="AM116" s="228">
        <v>-15.6</v>
      </c>
      <c r="AN116" s="228">
        <v>-12.5</v>
      </c>
      <c r="AO116" s="229">
        <v>-3.5799999999999998E-2</v>
      </c>
      <c r="AP116" s="228">
        <v>773.48</v>
      </c>
      <c r="AQ116" s="228">
        <v>758.67</v>
      </c>
      <c r="AR116" s="228">
        <v>0</v>
      </c>
      <c r="AS116" s="228">
        <v>414</v>
      </c>
      <c r="AT116" s="228">
        <v>546</v>
      </c>
      <c r="AU116" s="228">
        <v>-132</v>
      </c>
      <c r="AV116" s="229">
        <v>-0.2412</v>
      </c>
      <c r="AW116" s="228">
        <v>189</v>
      </c>
      <c r="AX116" s="228">
        <v>256</v>
      </c>
      <c r="AY116" s="228">
        <v>-66</v>
      </c>
      <c r="AZ116" s="229">
        <v>-0.2586</v>
      </c>
      <c r="BA116" s="228">
        <v>218</v>
      </c>
      <c r="BB116" s="228">
        <v>286</v>
      </c>
      <c r="BC116" s="228">
        <v>-67</v>
      </c>
      <c r="BD116" s="229">
        <v>-0.23580000000000001</v>
      </c>
      <c r="BE116" s="228">
        <v>6</v>
      </c>
      <c r="BF116" s="228">
        <v>4</v>
      </c>
      <c r="BG116" s="228">
        <v>2</v>
      </c>
      <c r="BH116" s="229">
        <v>0.42220000000000002</v>
      </c>
      <c r="BI116" s="228">
        <v>739</v>
      </c>
      <c r="BJ116" s="228">
        <v>976</v>
      </c>
      <c r="BK116" s="228">
        <v>-237</v>
      </c>
      <c r="BL116" s="229">
        <v>-0.24279999999999999</v>
      </c>
      <c r="BM116" s="228">
        <v>176</v>
      </c>
      <c r="BN116" s="228">
        <v>278</v>
      </c>
      <c r="BO116" s="228">
        <v>-101</v>
      </c>
      <c r="BP116" s="229">
        <v>-0.36499999999999999</v>
      </c>
      <c r="BQ116" s="230">
        <v>1330</v>
      </c>
      <c r="BR116" s="230">
        <v>1800</v>
      </c>
      <c r="BS116" s="228">
        <v>-470</v>
      </c>
      <c r="BT116" s="229">
        <v>-0.26119999999999999</v>
      </c>
      <c r="BU116" s="230">
        <v>2321133</v>
      </c>
      <c r="BV116" s="230">
        <v>1645356</v>
      </c>
      <c r="BW116" s="230">
        <v>675777</v>
      </c>
      <c r="BX116" s="229">
        <v>0.41070000000000001</v>
      </c>
      <c r="BY116" s="228">
        <v>622</v>
      </c>
      <c r="BZ116" s="228">
        <v>707</v>
      </c>
      <c r="CA116" s="228">
        <v>-85</v>
      </c>
      <c r="CB116" s="229">
        <v>-0.1205</v>
      </c>
      <c r="CC116" s="228">
        <v>89</v>
      </c>
      <c r="CD116" s="228">
        <v>96</v>
      </c>
      <c r="CE116" s="228">
        <v>-7</v>
      </c>
      <c r="CF116" s="229">
        <v>-7.2999999999999995E-2</v>
      </c>
      <c r="CG116" s="228">
        <v>598</v>
      </c>
      <c r="CH116" s="228">
        <v>591</v>
      </c>
      <c r="CI116" s="228">
        <v>7</v>
      </c>
      <c r="CJ116" s="229">
        <v>1.26E-2</v>
      </c>
      <c r="CK116" s="228">
        <v>24</v>
      </c>
      <c r="CL116" s="228">
        <v>21</v>
      </c>
      <c r="CM116" s="228">
        <v>3</v>
      </c>
      <c r="CN116" s="229">
        <v>0.14990000000000001</v>
      </c>
      <c r="CO116" s="228">
        <v>168</v>
      </c>
      <c r="CP116" s="228">
        <v>442</v>
      </c>
      <c r="CQ116" s="228">
        <v>-274</v>
      </c>
      <c r="CR116" s="229">
        <v>-0.62009999999999998</v>
      </c>
      <c r="CS116" s="228">
        <v>108</v>
      </c>
      <c r="CT116" s="228">
        <v>244</v>
      </c>
      <c r="CU116" s="228">
        <v>-137</v>
      </c>
      <c r="CV116" s="229">
        <v>-0.56010000000000004</v>
      </c>
      <c r="CW116" s="228">
        <v>897</v>
      </c>
      <c r="CX116" s="230">
        <v>1394</v>
      </c>
      <c r="CY116" s="228">
        <v>-496</v>
      </c>
      <c r="CZ116" s="229">
        <v>-0.35610000000000003</v>
      </c>
      <c r="DA116" s="228">
        <v>39.06</v>
      </c>
      <c r="DB116" s="228">
        <v>40.840000000000003</v>
      </c>
      <c r="DC116" s="228">
        <v>-1.78</v>
      </c>
      <c r="DD116" s="228">
        <v>-1.78</v>
      </c>
      <c r="DE116" s="228">
        <v>44.58</v>
      </c>
      <c r="DF116" s="228">
        <v>44.56</v>
      </c>
      <c r="DG116" s="228">
        <v>-5.52</v>
      </c>
      <c r="DH116" s="228">
        <v>0.02</v>
      </c>
      <c r="DI116" s="228">
        <v>39.46</v>
      </c>
      <c r="DJ116" s="228">
        <v>41.21</v>
      </c>
      <c r="DK116" s="228">
        <v>-1.75</v>
      </c>
      <c r="DL116" s="228">
        <v>-1.75</v>
      </c>
      <c r="DM116" s="228">
        <v>38.08</v>
      </c>
      <c r="DN116" s="228">
        <v>39.46</v>
      </c>
      <c r="DO116" s="228">
        <v>-1.38</v>
      </c>
      <c r="DP116" s="228">
        <v>-1.38</v>
      </c>
      <c r="DQ116" s="228">
        <v>0.64</v>
      </c>
      <c r="DR116" s="228">
        <v>0.55000000000000004</v>
      </c>
      <c r="DS116" s="228">
        <v>0.09</v>
      </c>
      <c r="DT116" s="229">
        <v>0.1636</v>
      </c>
      <c r="DU116" s="228">
        <v>800</v>
      </c>
      <c r="DV116" s="228">
        <v>700</v>
      </c>
      <c r="DW116" s="228">
        <v>0.24</v>
      </c>
      <c r="DX116" s="228">
        <v>0.28000000000000003</v>
      </c>
      <c r="DY116" s="228">
        <v>-0.04</v>
      </c>
      <c r="DZ116" s="229">
        <v>-0.1429</v>
      </c>
      <c r="EA116" s="229">
        <v>0.87509999999999999</v>
      </c>
      <c r="EB116" s="230">
        <v>7994150</v>
      </c>
      <c r="EC116" s="229">
        <v>-2.6499999999999999E-2</v>
      </c>
      <c r="ED116" s="229">
        <v>0.87509999999999999</v>
      </c>
      <c r="EE116" s="228">
        <v>-14.81</v>
      </c>
      <c r="EF116" s="229">
        <v>-1.9099999999999999E-2</v>
      </c>
      <c r="EG116" s="230">
        <v>1001701</v>
      </c>
      <c r="EH116" s="230">
        <v>602872</v>
      </c>
      <c r="EI116" s="229">
        <v>0.66149999999999998</v>
      </c>
      <c r="EJ116" s="229">
        <v>0.43159999999999998</v>
      </c>
      <c r="EK116" s="228">
        <v>769.27</v>
      </c>
      <c r="EL116" s="228">
        <v>173.25</v>
      </c>
      <c r="EM116" s="228">
        <v>419.53</v>
      </c>
      <c r="EN116" s="228">
        <v>137.35</v>
      </c>
      <c r="EO116" s="231">
        <v>1362.05</v>
      </c>
      <c r="EP116" s="231">
        <v>1821.76</v>
      </c>
      <c r="EQ116" s="228">
        <v>-459.71</v>
      </c>
      <c r="ER116" s="229">
        <v>-0.25230000000000002</v>
      </c>
      <c r="ES116" s="228">
        <v>173.35</v>
      </c>
      <c r="ET116" s="228">
        <v>101.63</v>
      </c>
      <c r="EU116" s="228">
        <v>621.70000000000005</v>
      </c>
      <c r="EV116" s="231">
        <v>24611073</v>
      </c>
      <c r="EW116" s="228">
        <v>896.69</v>
      </c>
      <c r="EX116" s="231">
        <v>1369.49</v>
      </c>
      <c r="EY116" s="228">
        <v>-472.8</v>
      </c>
      <c r="EZ116" s="229">
        <v>-0.34520000000000001</v>
      </c>
      <c r="FA116" s="229">
        <v>0.4768</v>
      </c>
      <c r="FB116" s="227" t="s">
        <v>691</v>
      </c>
      <c r="FC116">
        <f t="shared" si="1"/>
        <v>533</v>
      </c>
    </row>
    <row r="117" spans="1:159" ht="17.25" thickBot="1" x14ac:dyDescent="0.3">
      <c r="A117" s="226">
        <v>46168</v>
      </c>
      <c r="B117" s="227" t="s">
        <v>170</v>
      </c>
      <c r="C117" s="227" t="s">
        <v>535</v>
      </c>
      <c r="D117" s="228">
        <v>850</v>
      </c>
      <c r="E117" s="228">
        <v>0</v>
      </c>
      <c r="F117" s="231">
        <v>1381</v>
      </c>
      <c r="G117" s="231">
        <v>1368.2</v>
      </c>
      <c r="H117" s="228">
        <v>12.8</v>
      </c>
      <c r="I117" s="229">
        <v>9.4000000000000004E-3</v>
      </c>
      <c r="J117" s="231">
        <v>1373.9</v>
      </c>
      <c r="K117" s="231">
        <v>1356.3</v>
      </c>
      <c r="L117" s="228">
        <v>17.600000000000001</v>
      </c>
      <c r="M117" s="229">
        <v>1.2999999999999999E-2</v>
      </c>
      <c r="N117" s="231">
        <v>1375.6</v>
      </c>
      <c r="O117" s="231">
        <v>1357.4</v>
      </c>
      <c r="P117" s="228">
        <v>18.2</v>
      </c>
      <c r="Q117" s="229">
        <v>1.34E-2</v>
      </c>
      <c r="R117" s="231">
        <v>1381</v>
      </c>
      <c r="S117" s="231">
        <v>1368.2</v>
      </c>
      <c r="T117" s="228">
        <v>12.8</v>
      </c>
      <c r="U117" s="229">
        <v>9.4000000000000004E-3</v>
      </c>
      <c r="V117" s="231">
        <v>1389.9</v>
      </c>
      <c r="W117" s="231">
        <v>1376</v>
      </c>
      <c r="X117" s="228">
        <v>13.9</v>
      </c>
      <c r="Y117" s="229">
        <v>1.01E-2</v>
      </c>
      <c r="Z117" s="228">
        <v>7.1</v>
      </c>
      <c r="AA117" s="228">
        <v>1.1000000000000001</v>
      </c>
      <c r="AB117" s="228">
        <v>6</v>
      </c>
      <c r="AC117" s="229">
        <v>5.1999999999999998E-3</v>
      </c>
      <c r="AD117" s="228">
        <v>1.7</v>
      </c>
      <c r="AE117" s="228">
        <v>1.1000000000000001</v>
      </c>
      <c r="AF117" s="228">
        <v>0.6</v>
      </c>
      <c r="AG117" s="229">
        <v>1.1999999999999999E-3</v>
      </c>
      <c r="AH117" s="228">
        <v>7.1</v>
      </c>
      <c r="AI117" s="228">
        <v>11.9</v>
      </c>
      <c r="AJ117" s="228">
        <v>-4.8</v>
      </c>
      <c r="AK117" s="229">
        <v>5.1999999999999998E-3</v>
      </c>
      <c r="AL117" s="228">
        <v>16</v>
      </c>
      <c r="AM117" s="228">
        <v>19.7</v>
      </c>
      <c r="AN117" s="228">
        <v>-3.7</v>
      </c>
      <c r="AO117" s="229">
        <v>1.1599999999999999E-2</v>
      </c>
      <c r="AP117" s="231">
        <v>1367.4</v>
      </c>
      <c r="AQ117" s="231">
        <v>1377.08</v>
      </c>
      <c r="AR117" s="228">
        <v>0</v>
      </c>
      <c r="AS117" s="230">
        <v>1041</v>
      </c>
      <c r="AT117" s="230">
        <v>1525</v>
      </c>
      <c r="AU117" s="228">
        <v>-484</v>
      </c>
      <c r="AV117" s="229">
        <v>-0.31709999999999999</v>
      </c>
      <c r="AW117" s="228">
        <v>434</v>
      </c>
      <c r="AX117" s="228">
        <v>738</v>
      </c>
      <c r="AY117" s="228">
        <v>-303</v>
      </c>
      <c r="AZ117" s="229">
        <v>-0.41110000000000002</v>
      </c>
      <c r="BA117" s="228">
        <v>598</v>
      </c>
      <c r="BB117" s="228">
        <v>766</v>
      </c>
      <c r="BC117" s="228">
        <v>-168</v>
      </c>
      <c r="BD117" s="229">
        <v>-0.21940000000000001</v>
      </c>
      <c r="BE117" s="228">
        <v>9</v>
      </c>
      <c r="BF117" s="228">
        <v>22</v>
      </c>
      <c r="BG117" s="228">
        <v>-12</v>
      </c>
      <c r="BH117" s="229">
        <v>-0.56759999999999999</v>
      </c>
      <c r="BI117" s="230">
        <v>1003</v>
      </c>
      <c r="BJ117" s="228">
        <v>930</v>
      </c>
      <c r="BK117" s="228">
        <v>73</v>
      </c>
      <c r="BL117" s="229">
        <v>7.8899999999999998E-2</v>
      </c>
      <c r="BM117" s="228">
        <v>819</v>
      </c>
      <c r="BN117" s="228">
        <v>848</v>
      </c>
      <c r="BO117" s="228">
        <v>-29</v>
      </c>
      <c r="BP117" s="229">
        <v>-3.4299999999999997E-2</v>
      </c>
      <c r="BQ117" s="230">
        <v>2863</v>
      </c>
      <c r="BR117" s="230">
        <v>3303</v>
      </c>
      <c r="BS117" s="228">
        <v>-439</v>
      </c>
      <c r="BT117" s="229">
        <v>-0.13300000000000001</v>
      </c>
      <c r="BU117" s="230">
        <v>1815943</v>
      </c>
      <c r="BV117" s="230">
        <v>1660957</v>
      </c>
      <c r="BW117" s="230">
        <v>154986</v>
      </c>
      <c r="BX117" s="229">
        <v>9.3299999999999994E-2</v>
      </c>
      <c r="BY117" s="230">
        <v>2504</v>
      </c>
      <c r="BZ117" s="230">
        <v>2653</v>
      </c>
      <c r="CA117" s="228">
        <v>-149</v>
      </c>
      <c r="CB117" s="229">
        <v>-5.6099999999999997E-2</v>
      </c>
      <c r="CC117" s="228">
        <v>155</v>
      </c>
      <c r="CD117" s="228">
        <v>312</v>
      </c>
      <c r="CE117" s="228">
        <v>-157</v>
      </c>
      <c r="CF117" s="229">
        <v>-0.50239999999999996</v>
      </c>
      <c r="CG117" s="230">
        <v>2458</v>
      </c>
      <c r="CH117" s="230">
        <v>2298</v>
      </c>
      <c r="CI117" s="228">
        <v>161</v>
      </c>
      <c r="CJ117" s="229">
        <v>6.9900000000000004E-2</v>
      </c>
      <c r="CK117" s="228">
        <v>46</v>
      </c>
      <c r="CL117" s="228">
        <v>44</v>
      </c>
      <c r="CM117" s="228">
        <v>2</v>
      </c>
      <c r="CN117" s="229">
        <v>5.6599999999999998E-2</v>
      </c>
      <c r="CO117" s="228">
        <v>430</v>
      </c>
      <c r="CP117" s="230">
        <v>1015</v>
      </c>
      <c r="CQ117" s="228">
        <v>-585</v>
      </c>
      <c r="CR117" s="229">
        <v>-0.57640000000000002</v>
      </c>
      <c r="CS117" s="228">
        <v>440</v>
      </c>
      <c r="CT117" s="230">
        <v>1067</v>
      </c>
      <c r="CU117" s="228">
        <v>-627</v>
      </c>
      <c r="CV117" s="229">
        <v>-0.58750000000000002</v>
      </c>
      <c r="CW117" s="230">
        <v>3374</v>
      </c>
      <c r="CX117" s="230">
        <v>4735</v>
      </c>
      <c r="CY117" s="230">
        <v>-1360</v>
      </c>
      <c r="CZ117" s="229">
        <v>-0.2873</v>
      </c>
      <c r="DA117" s="228">
        <v>25.69</v>
      </c>
      <c r="DB117" s="228">
        <v>25.99</v>
      </c>
      <c r="DC117" s="228">
        <v>-0.3</v>
      </c>
      <c r="DD117" s="228">
        <v>-0.3</v>
      </c>
      <c r="DE117" s="228">
        <v>39.119999999999997</v>
      </c>
      <c r="DF117" s="228">
        <v>39.18</v>
      </c>
      <c r="DG117" s="228">
        <v>-13.43</v>
      </c>
      <c r="DH117" s="228">
        <v>-0.06</v>
      </c>
      <c r="DI117" s="228">
        <v>25.18</v>
      </c>
      <c r="DJ117" s="228">
        <v>24.84</v>
      </c>
      <c r="DK117" s="228">
        <v>0.34</v>
      </c>
      <c r="DL117" s="228">
        <v>0.34</v>
      </c>
      <c r="DM117" s="228">
        <v>26.47</v>
      </c>
      <c r="DN117" s="228">
        <v>27.71</v>
      </c>
      <c r="DO117" s="228">
        <v>-1.24</v>
      </c>
      <c r="DP117" s="228">
        <v>-1.24</v>
      </c>
      <c r="DQ117" s="228">
        <v>1.02</v>
      </c>
      <c r="DR117" s="228">
        <v>1.05</v>
      </c>
      <c r="DS117" s="228">
        <v>-0.03</v>
      </c>
      <c r="DT117" s="229">
        <v>-2.86E-2</v>
      </c>
      <c r="DU117" s="231">
        <v>1400</v>
      </c>
      <c r="DV117" s="231">
        <v>1300</v>
      </c>
      <c r="DW117" s="228">
        <v>0.82</v>
      </c>
      <c r="DX117" s="228">
        <v>0.91</v>
      </c>
      <c r="DY117" s="228">
        <v>-0.09</v>
      </c>
      <c r="DZ117" s="229">
        <v>-9.8900000000000002E-2</v>
      </c>
      <c r="EA117" s="229">
        <v>0.94159999999999999</v>
      </c>
      <c r="EB117" s="230">
        <v>16952400</v>
      </c>
      <c r="EC117" s="229">
        <v>3.8999999999999998E-3</v>
      </c>
      <c r="ED117" s="229">
        <v>0.94159999999999999</v>
      </c>
      <c r="EE117" s="228">
        <v>9.68</v>
      </c>
      <c r="EF117" s="229">
        <v>7.1000000000000004E-3</v>
      </c>
      <c r="EG117" s="230">
        <v>1008499</v>
      </c>
      <c r="EH117" s="230">
        <v>1139925</v>
      </c>
      <c r="EI117" s="229">
        <v>-0.1153</v>
      </c>
      <c r="EJ117" s="229">
        <v>0.5554</v>
      </c>
      <c r="EK117" s="231">
        <v>1016.65</v>
      </c>
      <c r="EL117" s="228">
        <v>778.58</v>
      </c>
      <c r="EM117" s="231">
        <v>1035.48</v>
      </c>
      <c r="EN117" s="228">
        <v>103.67</v>
      </c>
      <c r="EO117" s="231">
        <v>2830.71</v>
      </c>
      <c r="EP117" s="231">
        <v>3237.48</v>
      </c>
      <c r="EQ117" s="228">
        <v>-406.76</v>
      </c>
      <c r="ER117" s="229">
        <v>-0.12559999999999999</v>
      </c>
      <c r="ES117" s="228">
        <v>417.15</v>
      </c>
      <c r="ET117" s="228">
        <v>411.75</v>
      </c>
      <c r="EU117" s="231">
        <v>2504.59</v>
      </c>
      <c r="EV117" s="231">
        <v>58713729</v>
      </c>
      <c r="EW117" s="231">
        <v>3333.49</v>
      </c>
      <c r="EX117" s="231">
        <v>4526.04</v>
      </c>
      <c r="EY117" s="231">
        <v>-1192.55</v>
      </c>
      <c r="EZ117" s="229">
        <v>-0.26350000000000001</v>
      </c>
      <c r="FA117" s="229">
        <v>0.41620000000000001</v>
      </c>
      <c r="FB117" s="227" t="s">
        <v>691</v>
      </c>
      <c r="FC117">
        <f t="shared" si="1"/>
        <v>2349</v>
      </c>
    </row>
    <row r="118" spans="1:159" ht="17.25" thickBot="1" x14ac:dyDescent="0.3">
      <c r="A118" s="226">
        <v>46168</v>
      </c>
      <c r="B118" s="227" t="s">
        <v>175</v>
      </c>
      <c r="C118" s="227" t="s">
        <v>248</v>
      </c>
      <c r="D118" s="228">
        <v>1000</v>
      </c>
      <c r="E118" s="228">
        <v>0</v>
      </c>
      <c r="F118" s="228">
        <v>548.45000000000005</v>
      </c>
      <c r="G118" s="228">
        <v>547.15</v>
      </c>
      <c r="H118" s="228">
        <v>1.3</v>
      </c>
      <c r="I118" s="229">
        <v>2.3999999999999998E-3</v>
      </c>
      <c r="J118" s="228">
        <v>544.15</v>
      </c>
      <c r="K118" s="228">
        <v>543.45000000000005</v>
      </c>
      <c r="L118" s="228">
        <v>0.7</v>
      </c>
      <c r="M118" s="229">
        <v>1.2999999999999999E-3</v>
      </c>
      <c r="N118" s="228">
        <v>544.70000000000005</v>
      </c>
      <c r="O118" s="228">
        <v>543.4</v>
      </c>
      <c r="P118" s="228">
        <v>1.3</v>
      </c>
      <c r="Q118" s="229">
        <v>2.3999999999999998E-3</v>
      </c>
      <c r="R118" s="228">
        <v>548.45000000000005</v>
      </c>
      <c r="S118" s="228">
        <v>547.15</v>
      </c>
      <c r="T118" s="228">
        <v>1.3</v>
      </c>
      <c r="U118" s="229">
        <v>2.3999999999999998E-3</v>
      </c>
      <c r="V118" s="228">
        <v>552.20000000000005</v>
      </c>
      <c r="W118" s="228">
        <v>550.20000000000005</v>
      </c>
      <c r="X118" s="228">
        <v>2</v>
      </c>
      <c r="Y118" s="229">
        <v>3.5999999999999999E-3</v>
      </c>
      <c r="Z118" s="228">
        <v>4.3</v>
      </c>
      <c r="AA118" s="228">
        <v>-0.05</v>
      </c>
      <c r="AB118" s="228">
        <v>4.3499999999999996</v>
      </c>
      <c r="AC118" s="229">
        <v>7.9000000000000008E-3</v>
      </c>
      <c r="AD118" s="228">
        <v>0.55000000000000004</v>
      </c>
      <c r="AE118" s="228">
        <v>-0.05</v>
      </c>
      <c r="AF118" s="228">
        <v>0.6</v>
      </c>
      <c r="AG118" s="229">
        <v>1E-3</v>
      </c>
      <c r="AH118" s="228">
        <v>4.3</v>
      </c>
      <c r="AI118" s="228">
        <v>3.7</v>
      </c>
      <c r="AJ118" s="228">
        <v>0.6</v>
      </c>
      <c r="AK118" s="229">
        <v>7.9000000000000008E-3</v>
      </c>
      <c r="AL118" s="228">
        <v>8.0500000000000007</v>
      </c>
      <c r="AM118" s="228">
        <v>6.75</v>
      </c>
      <c r="AN118" s="228">
        <v>1.3</v>
      </c>
      <c r="AO118" s="229">
        <v>1.4800000000000001E-2</v>
      </c>
      <c r="AP118" s="228">
        <v>543.66999999999996</v>
      </c>
      <c r="AQ118" s="228">
        <v>547.27</v>
      </c>
      <c r="AR118" s="228">
        <v>0</v>
      </c>
      <c r="AS118" s="228">
        <v>608</v>
      </c>
      <c r="AT118" s="230">
        <v>1449</v>
      </c>
      <c r="AU118" s="228">
        <v>-841</v>
      </c>
      <c r="AV118" s="229">
        <v>-0.58009999999999995</v>
      </c>
      <c r="AW118" s="228">
        <v>283</v>
      </c>
      <c r="AX118" s="228">
        <v>700</v>
      </c>
      <c r="AY118" s="228">
        <v>-417</v>
      </c>
      <c r="AZ118" s="229">
        <v>-0.59540000000000004</v>
      </c>
      <c r="BA118" s="228">
        <v>322</v>
      </c>
      <c r="BB118" s="228">
        <v>745</v>
      </c>
      <c r="BC118" s="228">
        <v>-424</v>
      </c>
      <c r="BD118" s="229">
        <v>-0.56820000000000004</v>
      </c>
      <c r="BE118" s="228">
        <v>3</v>
      </c>
      <c r="BF118" s="228">
        <v>4</v>
      </c>
      <c r="BG118" s="228">
        <v>0</v>
      </c>
      <c r="BH118" s="229">
        <v>-0.1014</v>
      </c>
      <c r="BI118" s="228">
        <v>207</v>
      </c>
      <c r="BJ118" s="228">
        <v>355</v>
      </c>
      <c r="BK118" s="228">
        <v>-148</v>
      </c>
      <c r="BL118" s="229">
        <v>-0.41670000000000001</v>
      </c>
      <c r="BM118" s="228">
        <v>140</v>
      </c>
      <c r="BN118" s="228">
        <v>184</v>
      </c>
      <c r="BO118" s="228">
        <v>-44</v>
      </c>
      <c r="BP118" s="229">
        <v>-0.24</v>
      </c>
      <c r="BQ118" s="228">
        <v>955</v>
      </c>
      <c r="BR118" s="230">
        <v>1988</v>
      </c>
      <c r="BS118" s="230">
        <v>-1033</v>
      </c>
      <c r="BT118" s="229">
        <v>-0.51939999999999997</v>
      </c>
      <c r="BU118" s="230">
        <v>693560</v>
      </c>
      <c r="BV118" s="230">
        <v>1117688</v>
      </c>
      <c r="BW118" s="230">
        <v>-424128</v>
      </c>
      <c r="BX118" s="229">
        <v>-0.3795</v>
      </c>
      <c r="BY118" s="230">
        <v>1599</v>
      </c>
      <c r="BZ118" s="230">
        <v>1644</v>
      </c>
      <c r="CA118" s="228">
        <v>-45</v>
      </c>
      <c r="CB118" s="229">
        <v>-2.7099999999999999E-2</v>
      </c>
      <c r="CC118" s="228">
        <v>50</v>
      </c>
      <c r="CD118" s="228">
        <v>286</v>
      </c>
      <c r="CE118" s="228">
        <v>-236</v>
      </c>
      <c r="CF118" s="229">
        <v>-0.82630000000000003</v>
      </c>
      <c r="CG118" s="230">
        <v>1587</v>
      </c>
      <c r="CH118" s="230">
        <v>1348</v>
      </c>
      <c r="CI118" s="228">
        <v>239</v>
      </c>
      <c r="CJ118" s="229">
        <v>0.1774</v>
      </c>
      <c r="CK118" s="228">
        <v>12</v>
      </c>
      <c r="CL118" s="228">
        <v>10</v>
      </c>
      <c r="CM118" s="228">
        <v>2</v>
      </c>
      <c r="CN118" s="229">
        <v>0.25</v>
      </c>
      <c r="CO118" s="228">
        <v>178</v>
      </c>
      <c r="CP118" s="228">
        <v>496</v>
      </c>
      <c r="CQ118" s="228">
        <v>-318</v>
      </c>
      <c r="CR118" s="229">
        <v>-0.64190000000000003</v>
      </c>
      <c r="CS118" s="228">
        <v>175</v>
      </c>
      <c r="CT118" s="228">
        <v>330</v>
      </c>
      <c r="CU118" s="228">
        <v>-154</v>
      </c>
      <c r="CV118" s="229">
        <v>-0.46860000000000002</v>
      </c>
      <c r="CW118" s="230">
        <v>1952</v>
      </c>
      <c r="CX118" s="230">
        <v>2470</v>
      </c>
      <c r="CY118" s="228">
        <v>-517</v>
      </c>
      <c r="CZ118" s="229">
        <v>-0.20949999999999999</v>
      </c>
      <c r="DA118" s="228">
        <v>23.41</v>
      </c>
      <c r="DB118" s="228">
        <v>24.24</v>
      </c>
      <c r="DC118" s="228">
        <v>-0.83</v>
      </c>
      <c r="DD118" s="228">
        <v>-0.83</v>
      </c>
      <c r="DE118" s="228">
        <v>34.19</v>
      </c>
      <c r="DF118" s="228">
        <v>34.28</v>
      </c>
      <c r="DG118" s="228">
        <v>-10.78</v>
      </c>
      <c r="DH118" s="228">
        <v>-0.09</v>
      </c>
      <c r="DI118" s="228">
        <v>23.58</v>
      </c>
      <c r="DJ118" s="228">
        <v>24.58</v>
      </c>
      <c r="DK118" s="228">
        <v>-1</v>
      </c>
      <c r="DL118" s="228">
        <v>-1</v>
      </c>
      <c r="DM118" s="228">
        <v>23.19</v>
      </c>
      <c r="DN118" s="228">
        <v>23.67</v>
      </c>
      <c r="DO118" s="228">
        <v>-0.48</v>
      </c>
      <c r="DP118" s="228">
        <v>-0.48</v>
      </c>
      <c r="DQ118" s="228">
        <v>0.99</v>
      </c>
      <c r="DR118" s="228">
        <v>0.66</v>
      </c>
      <c r="DS118" s="228">
        <v>0.33</v>
      </c>
      <c r="DT118" s="229">
        <v>0.5</v>
      </c>
      <c r="DU118" s="228">
        <v>570</v>
      </c>
      <c r="DV118" s="228">
        <v>520</v>
      </c>
      <c r="DW118" s="228">
        <v>0.68</v>
      </c>
      <c r="DX118" s="228">
        <v>0.52</v>
      </c>
      <c r="DY118" s="228">
        <v>0.16</v>
      </c>
      <c r="DZ118" s="229">
        <v>0.30769999999999997</v>
      </c>
      <c r="EA118" s="229">
        <v>0.96989999999999998</v>
      </c>
      <c r="EB118" s="230">
        <v>24755000</v>
      </c>
      <c r="EC118" s="229">
        <v>6.8999999999999999E-3</v>
      </c>
      <c r="ED118" s="229">
        <v>0.96989999999999998</v>
      </c>
      <c r="EE118" s="228">
        <v>3.6</v>
      </c>
      <c r="EF118" s="229">
        <v>6.6E-3</v>
      </c>
      <c r="EG118" s="230">
        <v>281542</v>
      </c>
      <c r="EH118" s="230">
        <v>423354</v>
      </c>
      <c r="EI118" s="229">
        <v>-0.33500000000000002</v>
      </c>
      <c r="EJ118" s="229">
        <v>0.40589999999999998</v>
      </c>
      <c r="EK118" s="228">
        <v>214.64</v>
      </c>
      <c r="EL118" s="228">
        <v>140.52000000000001</v>
      </c>
      <c r="EM118" s="228">
        <v>605.30999999999995</v>
      </c>
      <c r="EN118" s="228">
        <v>119.68</v>
      </c>
      <c r="EO118" s="228">
        <v>960.47</v>
      </c>
      <c r="EP118" s="231">
        <v>1989.51</v>
      </c>
      <c r="EQ118" s="231">
        <v>-1029.04</v>
      </c>
      <c r="ER118" s="229">
        <v>-0.51719999999999999</v>
      </c>
      <c r="ES118" s="228">
        <v>185.29</v>
      </c>
      <c r="ET118" s="228">
        <v>171.51</v>
      </c>
      <c r="EU118" s="231">
        <v>1599.31</v>
      </c>
      <c r="EV118" s="231">
        <v>45183075</v>
      </c>
      <c r="EW118" s="231">
        <v>1956.11</v>
      </c>
      <c r="EX118" s="231">
        <v>2483.79</v>
      </c>
      <c r="EY118" s="228">
        <v>-527.67999999999995</v>
      </c>
      <c r="EZ118" s="229">
        <v>-0.21240000000000001</v>
      </c>
      <c r="FA118" s="229">
        <v>0.78779999999999994</v>
      </c>
      <c r="FB118" s="227" t="s">
        <v>691</v>
      </c>
      <c r="FC118">
        <f t="shared" si="1"/>
        <v>1549</v>
      </c>
    </row>
    <row r="119" spans="1:159" ht="17.25" thickBot="1" x14ac:dyDescent="0.3">
      <c r="A119" s="226">
        <v>46168</v>
      </c>
      <c r="B119" s="227" t="s">
        <v>175</v>
      </c>
      <c r="C119" s="227" t="s">
        <v>606</v>
      </c>
      <c r="D119" s="228">
        <v>700</v>
      </c>
      <c r="E119" s="228">
        <v>0</v>
      </c>
      <c r="F119" s="228">
        <v>861.25</v>
      </c>
      <c r="G119" s="228">
        <v>842.35</v>
      </c>
      <c r="H119" s="228">
        <v>18.899999999999999</v>
      </c>
      <c r="I119" s="229">
        <v>2.24E-2</v>
      </c>
      <c r="J119" s="228">
        <v>854.9</v>
      </c>
      <c r="K119" s="228">
        <v>837.35</v>
      </c>
      <c r="L119" s="228">
        <v>17.55</v>
      </c>
      <c r="M119" s="229">
        <v>2.1000000000000001E-2</v>
      </c>
      <c r="N119" s="228">
        <v>853.1</v>
      </c>
      <c r="O119" s="228">
        <v>837.35</v>
      </c>
      <c r="P119" s="228">
        <v>15.75</v>
      </c>
      <c r="Q119" s="229">
        <v>1.8800000000000001E-2</v>
      </c>
      <c r="R119" s="228">
        <v>861.25</v>
      </c>
      <c r="S119" s="228">
        <v>842.35</v>
      </c>
      <c r="T119" s="228">
        <v>18.899999999999999</v>
      </c>
      <c r="U119" s="229">
        <v>2.24E-2</v>
      </c>
      <c r="V119" s="228">
        <v>864.25</v>
      </c>
      <c r="W119" s="228">
        <v>845.75</v>
      </c>
      <c r="X119" s="228">
        <v>18.5</v>
      </c>
      <c r="Y119" s="229">
        <v>2.1899999999999999E-2</v>
      </c>
      <c r="Z119" s="228">
        <v>6.35</v>
      </c>
      <c r="AA119" s="228">
        <v>0</v>
      </c>
      <c r="AB119" s="228">
        <v>6.35</v>
      </c>
      <c r="AC119" s="229">
        <v>7.4000000000000003E-3</v>
      </c>
      <c r="AD119" s="228">
        <v>-1.8</v>
      </c>
      <c r="AE119" s="228">
        <v>0</v>
      </c>
      <c r="AF119" s="228">
        <v>-1.8</v>
      </c>
      <c r="AG119" s="229">
        <v>-2.0999999999999999E-3</v>
      </c>
      <c r="AH119" s="228">
        <v>6.35</v>
      </c>
      <c r="AI119" s="228">
        <v>5</v>
      </c>
      <c r="AJ119" s="228">
        <v>1.35</v>
      </c>
      <c r="AK119" s="229">
        <v>7.4000000000000003E-3</v>
      </c>
      <c r="AL119" s="228">
        <v>9.35</v>
      </c>
      <c r="AM119" s="228">
        <v>8.4</v>
      </c>
      <c r="AN119" s="228">
        <v>0.95</v>
      </c>
      <c r="AO119" s="229">
        <v>1.09E-2</v>
      </c>
      <c r="AP119" s="228">
        <v>849.13</v>
      </c>
      <c r="AQ119" s="228">
        <v>856.17</v>
      </c>
      <c r="AR119" s="228">
        <v>0</v>
      </c>
      <c r="AS119" s="228">
        <v>581</v>
      </c>
      <c r="AT119" s="230">
        <v>1059</v>
      </c>
      <c r="AU119" s="228">
        <v>-478</v>
      </c>
      <c r="AV119" s="229">
        <v>-0.45150000000000001</v>
      </c>
      <c r="AW119" s="228">
        <v>199</v>
      </c>
      <c r="AX119" s="228">
        <v>471</v>
      </c>
      <c r="AY119" s="228">
        <v>-272</v>
      </c>
      <c r="AZ119" s="229">
        <v>-0.57799999999999996</v>
      </c>
      <c r="BA119" s="228">
        <v>371</v>
      </c>
      <c r="BB119" s="228">
        <v>565</v>
      </c>
      <c r="BC119" s="228">
        <v>-194</v>
      </c>
      <c r="BD119" s="229">
        <v>-0.34360000000000002</v>
      </c>
      <c r="BE119" s="228">
        <v>11</v>
      </c>
      <c r="BF119" s="228">
        <v>23</v>
      </c>
      <c r="BG119" s="228">
        <v>-12</v>
      </c>
      <c r="BH119" s="229">
        <v>-0.51719999999999999</v>
      </c>
      <c r="BI119" s="230">
        <v>1389</v>
      </c>
      <c r="BJ119" s="230">
        <v>3209</v>
      </c>
      <c r="BK119" s="230">
        <v>-1820</v>
      </c>
      <c r="BL119" s="229">
        <v>-0.56710000000000005</v>
      </c>
      <c r="BM119" s="228">
        <v>477</v>
      </c>
      <c r="BN119" s="230">
        <v>1081</v>
      </c>
      <c r="BO119" s="228">
        <v>-604</v>
      </c>
      <c r="BP119" s="229">
        <v>-0.55869999999999997</v>
      </c>
      <c r="BQ119" s="230">
        <v>2447</v>
      </c>
      <c r="BR119" s="230">
        <v>5349</v>
      </c>
      <c r="BS119" s="230">
        <v>-2902</v>
      </c>
      <c r="BT119" s="229">
        <v>-0.54249999999999998</v>
      </c>
      <c r="BU119" s="230">
        <v>4331621</v>
      </c>
      <c r="BV119" s="230">
        <v>5353081</v>
      </c>
      <c r="BW119" s="230">
        <v>-1021460</v>
      </c>
      <c r="BX119" s="229">
        <v>-0.1908</v>
      </c>
      <c r="BY119" s="228">
        <v>891</v>
      </c>
      <c r="BZ119" s="228">
        <v>978</v>
      </c>
      <c r="CA119" s="228">
        <v>-87</v>
      </c>
      <c r="CB119" s="229">
        <v>-8.8700000000000001E-2</v>
      </c>
      <c r="CC119" s="228">
        <v>99</v>
      </c>
      <c r="CD119" s="228">
        <v>169</v>
      </c>
      <c r="CE119" s="228">
        <v>-70</v>
      </c>
      <c r="CF119" s="229">
        <v>-0.4143</v>
      </c>
      <c r="CG119" s="228">
        <v>848</v>
      </c>
      <c r="CH119" s="228">
        <v>767</v>
      </c>
      <c r="CI119" s="228">
        <v>81</v>
      </c>
      <c r="CJ119" s="229">
        <v>0.106</v>
      </c>
      <c r="CK119" s="228">
        <v>43</v>
      </c>
      <c r="CL119" s="228">
        <v>42</v>
      </c>
      <c r="CM119" s="228">
        <v>1</v>
      </c>
      <c r="CN119" s="229">
        <v>1.7299999999999999E-2</v>
      </c>
      <c r="CO119" s="228">
        <v>383</v>
      </c>
      <c r="CP119" s="228">
        <v>822</v>
      </c>
      <c r="CQ119" s="228">
        <v>-440</v>
      </c>
      <c r="CR119" s="229">
        <v>-0.53480000000000005</v>
      </c>
      <c r="CS119" s="228">
        <v>264</v>
      </c>
      <c r="CT119" s="228">
        <v>461</v>
      </c>
      <c r="CU119" s="228">
        <v>-197</v>
      </c>
      <c r="CV119" s="229">
        <v>-0.42720000000000002</v>
      </c>
      <c r="CW119" s="230">
        <v>1538</v>
      </c>
      <c r="CX119" s="230">
        <v>2261</v>
      </c>
      <c r="CY119" s="228">
        <v>-723</v>
      </c>
      <c r="CZ119" s="229">
        <v>-0.31990000000000002</v>
      </c>
      <c r="DA119" s="228">
        <v>24.52</v>
      </c>
      <c r="DB119" s="228">
        <v>24.3</v>
      </c>
      <c r="DC119" s="228">
        <v>0.22</v>
      </c>
      <c r="DD119" s="228">
        <v>0.22</v>
      </c>
      <c r="DE119" s="228">
        <v>32.71</v>
      </c>
      <c r="DF119" s="228">
        <v>32.659999999999997</v>
      </c>
      <c r="DG119" s="228">
        <v>-8.19</v>
      </c>
      <c r="DH119" s="228">
        <v>0.05</v>
      </c>
      <c r="DI119" s="228">
        <v>24.46</v>
      </c>
      <c r="DJ119" s="228">
        <v>24.35</v>
      </c>
      <c r="DK119" s="228">
        <v>0.11</v>
      </c>
      <c r="DL119" s="228">
        <v>0.11</v>
      </c>
      <c r="DM119" s="228">
        <v>24.65</v>
      </c>
      <c r="DN119" s="228">
        <v>24.18</v>
      </c>
      <c r="DO119" s="228">
        <v>0.47</v>
      </c>
      <c r="DP119" s="228">
        <v>0.47</v>
      </c>
      <c r="DQ119" s="228">
        <v>0.69</v>
      </c>
      <c r="DR119" s="228">
        <v>0.56000000000000005</v>
      </c>
      <c r="DS119" s="228">
        <v>0.13</v>
      </c>
      <c r="DT119" s="229">
        <v>0.2321</v>
      </c>
      <c r="DU119" s="228">
        <v>900</v>
      </c>
      <c r="DV119" s="228">
        <v>800</v>
      </c>
      <c r="DW119" s="228">
        <v>0.34</v>
      </c>
      <c r="DX119" s="228">
        <v>0.34</v>
      </c>
      <c r="DY119" s="228">
        <v>0</v>
      </c>
      <c r="DZ119" s="229">
        <v>0</v>
      </c>
      <c r="EA119" s="229">
        <v>0.90010000000000001</v>
      </c>
      <c r="EB119" s="230">
        <v>9392600</v>
      </c>
      <c r="EC119" s="229">
        <v>9.5999999999999992E-3</v>
      </c>
      <c r="ED119" s="229">
        <v>0.90010000000000001</v>
      </c>
      <c r="EE119" s="228">
        <v>7.04</v>
      </c>
      <c r="EF119" s="229">
        <v>8.3000000000000001E-3</v>
      </c>
      <c r="EG119" s="230">
        <v>2008307</v>
      </c>
      <c r="EH119" s="230">
        <v>2357087</v>
      </c>
      <c r="EI119" s="229">
        <v>-0.14799999999999999</v>
      </c>
      <c r="EJ119" s="229">
        <v>0.46360000000000001</v>
      </c>
      <c r="EK119" s="231">
        <v>1415.7</v>
      </c>
      <c r="EL119" s="228">
        <v>460.99</v>
      </c>
      <c r="EM119" s="228">
        <v>575.79</v>
      </c>
      <c r="EN119" s="228">
        <v>133.80000000000001</v>
      </c>
      <c r="EO119" s="231">
        <v>2452.48</v>
      </c>
      <c r="EP119" s="231">
        <v>5263.27</v>
      </c>
      <c r="EQ119" s="231">
        <v>-2810.79</v>
      </c>
      <c r="ER119" s="229">
        <v>-0.53400000000000003</v>
      </c>
      <c r="ES119" s="228">
        <v>383.93</v>
      </c>
      <c r="ET119" s="228">
        <v>244.19</v>
      </c>
      <c r="EU119" s="228">
        <v>891.14</v>
      </c>
      <c r="EV119" s="231">
        <v>33206238</v>
      </c>
      <c r="EW119" s="231">
        <v>1519.26</v>
      </c>
      <c r="EX119" s="231">
        <v>2197.9299999999998</v>
      </c>
      <c r="EY119" s="228">
        <v>-678.67</v>
      </c>
      <c r="EZ119" s="229">
        <v>-0.30880000000000002</v>
      </c>
      <c r="FA119" s="229">
        <v>0.53769999999999996</v>
      </c>
      <c r="FB119" s="227" t="s">
        <v>691</v>
      </c>
      <c r="FC119">
        <f t="shared" si="1"/>
        <v>792</v>
      </c>
    </row>
    <row r="120" spans="1:159" ht="17.25" thickBot="1" x14ac:dyDescent="0.3">
      <c r="A120" s="226">
        <v>46168</v>
      </c>
      <c r="B120" s="227" t="s">
        <v>206</v>
      </c>
      <c r="C120" s="227" t="s">
        <v>587</v>
      </c>
      <c r="D120" s="228">
        <v>450</v>
      </c>
      <c r="E120" s="228">
        <v>0</v>
      </c>
      <c r="F120" s="228">
        <v>908.85</v>
      </c>
      <c r="G120" s="228">
        <v>911.4</v>
      </c>
      <c r="H120" s="228">
        <v>-2.5499999999999998</v>
      </c>
      <c r="I120" s="229">
        <v>-2.8E-3</v>
      </c>
      <c r="J120" s="228">
        <v>903.7</v>
      </c>
      <c r="K120" s="228">
        <v>906.85</v>
      </c>
      <c r="L120" s="228">
        <v>-3.15</v>
      </c>
      <c r="M120" s="229">
        <v>-3.5000000000000001E-3</v>
      </c>
      <c r="N120" s="228">
        <v>905.4</v>
      </c>
      <c r="O120" s="228">
        <v>906</v>
      </c>
      <c r="P120" s="228">
        <v>-0.6</v>
      </c>
      <c r="Q120" s="229">
        <v>-6.9999999999999999E-4</v>
      </c>
      <c r="R120" s="228">
        <v>908.85</v>
      </c>
      <c r="S120" s="228">
        <v>911.4</v>
      </c>
      <c r="T120" s="228">
        <v>-2.5499999999999998</v>
      </c>
      <c r="U120" s="229">
        <v>-2.8E-3</v>
      </c>
      <c r="V120" s="228">
        <v>915.3</v>
      </c>
      <c r="W120" s="228">
        <v>916.6</v>
      </c>
      <c r="X120" s="228">
        <v>-1.3</v>
      </c>
      <c r="Y120" s="229">
        <v>-1.4E-3</v>
      </c>
      <c r="Z120" s="228">
        <v>5.15</v>
      </c>
      <c r="AA120" s="228">
        <v>-0.85</v>
      </c>
      <c r="AB120" s="228">
        <v>6</v>
      </c>
      <c r="AC120" s="229">
        <v>5.7000000000000002E-3</v>
      </c>
      <c r="AD120" s="228">
        <v>1.7</v>
      </c>
      <c r="AE120" s="228">
        <v>-0.85</v>
      </c>
      <c r="AF120" s="228">
        <v>2.5499999999999998</v>
      </c>
      <c r="AG120" s="229">
        <v>1.9E-3</v>
      </c>
      <c r="AH120" s="228">
        <v>5.15</v>
      </c>
      <c r="AI120" s="228">
        <v>4.55</v>
      </c>
      <c r="AJ120" s="228">
        <v>0.6</v>
      </c>
      <c r="AK120" s="229">
        <v>5.7000000000000002E-3</v>
      </c>
      <c r="AL120" s="228">
        <v>11.6</v>
      </c>
      <c r="AM120" s="228">
        <v>9.75</v>
      </c>
      <c r="AN120" s="228">
        <v>1.85</v>
      </c>
      <c r="AO120" s="229">
        <v>1.2800000000000001E-2</v>
      </c>
      <c r="AP120" s="228">
        <v>904.04</v>
      </c>
      <c r="AQ120" s="228">
        <v>909.52</v>
      </c>
      <c r="AR120" s="228">
        <v>0</v>
      </c>
      <c r="AS120" s="228">
        <v>381</v>
      </c>
      <c r="AT120" s="228">
        <v>886</v>
      </c>
      <c r="AU120" s="228">
        <v>-505</v>
      </c>
      <c r="AV120" s="229">
        <v>-0.56989999999999996</v>
      </c>
      <c r="AW120" s="228">
        <v>142</v>
      </c>
      <c r="AX120" s="228">
        <v>446</v>
      </c>
      <c r="AY120" s="228">
        <v>-304</v>
      </c>
      <c r="AZ120" s="229">
        <v>-0.68159999999999998</v>
      </c>
      <c r="BA120" s="228">
        <v>237</v>
      </c>
      <c r="BB120" s="228">
        <v>438</v>
      </c>
      <c r="BC120" s="228">
        <v>-202</v>
      </c>
      <c r="BD120" s="229">
        <v>-0.45989999999999998</v>
      </c>
      <c r="BE120" s="228">
        <v>2</v>
      </c>
      <c r="BF120" s="228">
        <v>2</v>
      </c>
      <c r="BG120" s="228">
        <v>1</v>
      </c>
      <c r="BH120" s="229">
        <v>0.54049999999999998</v>
      </c>
      <c r="BI120" s="228">
        <v>187</v>
      </c>
      <c r="BJ120" s="228">
        <v>458</v>
      </c>
      <c r="BK120" s="228">
        <v>-271</v>
      </c>
      <c r="BL120" s="229">
        <v>-0.5917</v>
      </c>
      <c r="BM120" s="228">
        <v>70</v>
      </c>
      <c r="BN120" s="228">
        <v>237</v>
      </c>
      <c r="BO120" s="228">
        <v>-167</v>
      </c>
      <c r="BP120" s="229">
        <v>-0.70420000000000005</v>
      </c>
      <c r="BQ120" s="228">
        <v>638</v>
      </c>
      <c r="BR120" s="230">
        <v>1581</v>
      </c>
      <c r="BS120" s="228">
        <v>-943</v>
      </c>
      <c r="BT120" s="229">
        <v>-0.59630000000000005</v>
      </c>
      <c r="BU120" s="230">
        <v>2489687</v>
      </c>
      <c r="BV120" s="230">
        <v>1388043</v>
      </c>
      <c r="BW120" s="230">
        <v>1101644</v>
      </c>
      <c r="BX120" s="229">
        <v>0.79369999999999996</v>
      </c>
      <c r="BY120" s="230">
        <v>1125</v>
      </c>
      <c r="BZ120" s="230">
        <v>1215</v>
      </c>
      <c r="CA120" s="228">
        <v>-90</v>
      </c>
      <c r="CB120" s="229">
        <v>-7.4200000000000002E-2</v>
      </c>
      <c r="CC120" s="228">
        <v>23</v>
      </c>
      <c r="CD120" s="228">
        <v>114</v>
      </c>
      <c r="CE120" s="228">
        <v>-92</v>
      </c>
      <c r="CF120" s="229">
        <v>-0.80079999999999996</v>
      </c>
      <c r="CG120" s="230">
        <v>1118</v>
      </c>
      <c r="CH120" s="230">
        <v>1095</v>
      </c>
      <c r="CI120" s="228">
        <v>22</v>
      </c>
      <c r="CJ120" s="229">
        <v>2.0400000000000001E-2</v>
      </c>
      <c r="CK120" s="228">
        <v>7</v>
      </c>
      <c r="CL120" s="228">
        <v>5</v>
      </c>
      <c r="CM120" s="228">
        <v>2</v>
      </c>
      <c r="CN120" s="229">
        <v>0.37209999999999999</v>
      </c>
      <c r="CO120" s="228">
        <v>68</v>
      </c>
      <c r="CP120" s="228">
        <v>279</v>
      </c>
      <c r="CQ120" s="228">
        <v>-211</v>
      </c>
      <c r="CR120" s="229">
        <v>-0.75560000000000005</v>
      </c>
      <c r="CS120" s="228">
        <v>63</v>
      </c>
      <c r="CT120" s="228">
        <v>254</v>
      </c>
      <c r="CU120" s="228">
        <v>-191</v>
      </c>
      <c r="CV120" s="229">
        <v>-0.75160000000000005</v>
      </c>
      <c r="CW120" s="230">
        <v>1256</v>
      </c>
      <c r="CX120" s="230">
        <v>1748</v>
      </c>
      <c r="CY120" s="228">
        <v>-492</v>
      </c>
      <c r="CZ120" s="229">
        <v>-0.28160000000000002</v>
      </c>
      <c r="DA120" s="228">
        <v>36.94</v>
      </c>
      <c r="DB120" s="228">
        <v>37.58</v>
      </c>
      <c r="DC120" s="228">
        <v>-0.64</v>
      </c>
      <c r="DD120" s="228">
        <v>-0.64</v>
      </c>
      <c r="DE120" s="228">
        <v>47.84</v>
      </c>
      <c r="DF120" s="228">
        <v>47.96</v>
      </c>
      <c r="DG120" s="228">
        <v>-10.9</v>
      </c>
      <c r="DH120" s="228">
        <v>-0.12</v>
      </c>
      <c r="DI120" s="228">
        <v>36.200000000000003</v>
      </c>
      <c r="DJ120" s="228">
        <v>37.49</v>
      </c>
      <c r="DK120" s="228">
        <v>-1.29</v>
      </c>
      <c r="DL120" s="228">
        <v>-1.29</v>
      </c>
      <c r="DM120" s="228">
        <v>38.24</v>
      </c>
      <c r="DN120" s="228">
        <v>37.770000000000003</v>
      </c>
      <c r="DO120" s="228">
        <v>0.47</v>
      </c>
      <c r="DP120" s="228">
        <v>0.47</v>
      </c>
      <c r="DQ120" s="228">
        <v>0.92</v>
      </c>
      <c r="DR120" s="228">
        <v>0.91</v>
      </c>
      <c r="DS120" s="228">
        <v>0.01</v>
      </c>
      <c r="DT120" s="229">
        <v>1.0999999999999999E-2</v>
      </c>
      <c r="DU120" s="228">
        <v>930</v>
      </c>
      <c r="DV120" s="228">
        <v>860</v>
      </c>
      <c r="DW120" s="228">
        <v>0.38</v>
      </c>
      <c r="DX120" s="228">
        <v>0.52</v>
      </c>
      <c r="DY120" s="228">
        <v>-0.14000000000000001</v>
      </c>
      <c r="DZ120" s="229">
        <v>-0.26919999999999999</v>
      </c>
      <c r="EA120" s="229">
        <v>0.98009999999999997</v>
      </c>
      <c r="EB120" s="230">
        <v>12107000</v>
      </c>
      <c r="EC120" s="229">
        <v>3.8E-3</v>
      </c>
      <c r="ED120" s="229">
        <v>0.98009999999999997</v>
      </c>
      <c r="EE120" s="228">
        <v>5.48</v>
      </c>
      <c r="EF120" s="229">
        <v>6.1000000000000004E-3</v>
      </c>
      <c r="EG120" s="230">
        <v>1579989</v>
      </c>
      <c r="EH120" s="230">
        <v>790904</v>
      </c>
      <c r="EI120" s="229">
        <v>0.99770000000000003</v>
      </c>
      <c r="EJ120" s="229">
        <v>0.63460000000000005</v>
      </c>
      <c r="EK120" s="228">
        <v>194.58</v>
      </c>
      <c r="EL120" s="228">
        <v>68.5</v>
      </c>
      <c r="EM120" s="228">
        <v>381.36</v>
      </c>
      <c r="EN120" s="228">
        <v>132.31</v>
      </c>
      <c r="EO120" s="228">
        <v>644.44000000000005</v>
      </c>
      <c r="EP120" s="231">
        <v>1575.64</v>
      </c>
      <c r="EQ120" s="228">
        <v>-931.2</v>
      </c>
      <c r="ER120" s="229">
        <v>-0.59099999999999997</v>
      </c>
      <c r="ES120" s="228">
        <v>69.180000000000007</v>
      </c>
      <c r="ET120" s="228">
        <v>60.34</v>
      </c>
      <c r="EU120" s="231">
        <v>1124.58</v>
      </c>
      <c r="EV120" s="231">
        <v>42165698</v>
      </c>
      <c r="EW120" s="231">
        <v>1254.0999999999999</v>
      </c>
      <c r="EX120" s="231">
        <v>1742.33</v>
      </c>
      <c r="EY120" s="228">
        <v>-488.23</v>
      </c>
      <c r="EZ120" s="229">
        <v>-0.2802</v>
      </c>
      <c r="FA120" s="229">
        <v>0.32769999999999999</v>
      </c>
      <c r="FB120" s="227" t="s">
        <v>567</v>
      </c>
      <c r="FC120">
        <f t="shared" si="1"/>
        <v>1102</v>
      </c>
    </row>
    <row r="121" spans="1:159" ht="17.25" thickBot="1" x14ac:dyDescent="0.3">
      <c r="A121" s="226">
        <v>46168</v>
      </c>
      <c r="B121" s="227" t="s">
        <v>184</v>
      </c>
      <c r="C121" s="227" t="s">
        <v>249</v>
      </c>
      <c r="D121" s="228">
        <v>175</v>
      </c>
      <c r="E121" s="228">
        <v>0</v>
      </c>
      <c r="F121" s="231">
        <v>4057.7</v>
      </c>
      <c r="G121" s="231">
        <v>4057.4</v>
      </c>
      <c r="H121" s="228">
        <v>0.3</v>
      </c>
      <c r="I121" s="229">
        <v>1E-4</v>
      </c>
      <c r="J121" s="231">
        <v>4037.8</v>
      </c>
      <c r="K121" s="231">
        <v>4033.4</v>
      </c>
      <c r="L121" s="228">
        <v>4.4000000000000004</v>
      </c>
      <c r="M121" s="229">
        <v>1.1000000000000001E-3</v>
      </c>
      <c r="N121" s="231">
        <v>4027.2</v>
      </c>
      <c r="O121" s="231">
        <v>4034.2</v>
      </c>
      <c r="P121" s="228">
        <v>-7</v>
      </c>
      <c r="Q121" s="229">
        <v>-1.6999999999999999E-3</v>
      </c>
      <c r="R121" s="231">
        <v>4057.7</v>
      </c>
      <c r="S121" s="231">
        <v>4057.4</v>
      </c>
      <c r="T121" s="228">
        <v>0.3</v>
      </c>
      <c r="U121" s="229">
        <v>1E-4</v>
      </c>
      <c r="V121" s="231">
        <v>4080.1</v>
      </c>
      <c r="W121" s="231">
        <v>4078.2</v>
      </c>
      <c r="X121" s="228">
        <v>1.9</v>
      </c>
      <c r="Y121" s="229">
        <v>5.0000000000000001E-4</v>
      </c>
      <c r="Z121" s="228">
        <v>19.899999999999999</v>
      </c>
      <c r="AA121" s="228">
        <v>0.8</v>
      </c>
      <c r="AB121" s="228">
        <v>19.100000000000001</v>
      </c>
      <c r="AC121" s="229">
        <v>4.8999999999999998E-3</v>
      </c>
      <c r="AD121" s="228">
        <v>-10.6</v>
      </c>
      <c r="AE121" s="228">
        <v>0.8</v>
      </c>
      <c r="AF121" s="228">
        <v>-11.4</v>
      </c>
      <c r="AG121" s="229">
        <v>-2.5999999999999999E-3</v>
      </c>
      <c r="AH121" s="228">
        <v>19.899999999999999</v>
      </c>
      <c r="AI121" s="228">
        <v>24</v>
      </c>
      <c r="AJ121" s="228">
        <v>-4.0999999999999996</v>
      </c>
      <c r="AK121" s="229">
        <v>4.8999999999999998E-3</v>
      </c>
      <c r="AL121" s="228">
        <v>42.3</v>
      </c>
      <c r="AM121" s="228">
        <v>44.8</v>
      </c>
      <c r="AN121" s="228">
        <v>-2.5</v>
      </c>
      <c r="AO121" s="229">
        <v>1.0500000000000001E-2</v>
      </c>
      <c r="AP121" s="231">
        <v>4031.16</v>
      </c>
      <c r="AQ121" s="231">
        <v>4056.37</v>
      </c>
      <c r="AR121" s="228">
        <v>0</v>
      </c>
      <c r="AS121" s="230">
        <v>2259</v>
      </c>
      <c r="AT121" s="230">
        <v>4186</v>
      </c>
      <c r="AU121" s="230">
        <v>-1927</v>
      </c>
      <c r="AV121" s="229">
        <v>-0.46039999999999998</v>
      </c>
      <c r="AW121" s="228">
        <v>912</v>
      </c>
      <c r="AX121" s="230">
        <v>1976</v>
      </c>
      <c r="AY121" s="230">
        <v>-1064</v>
      </c>
      <c r="AZ121" s="229">
        <v>-0.53849999999999998</v>
      </c>
      <c r="BA121" s="230">
        <v>1321</v>
      </c>
      <c r="BB121" s="230">
        <v>2167</v>
      </c>
      <c r="BC121" s="228">
        <v>-846</v>
      </c>
      <c r="BD121" s="229">
        <v>-0.39040000000000002</v>
      </c>
      <c r="BE121" s="228">
        <v>26</v>
      </c>
      <c r="BF121" s="228">
        <v>43</v>
      </c>
      <c r="BG121" s="228">
        <v>-17</v>
      </c>
      <c r="BH121" s="229">
        <v>-0.4</v>
      </c>
      <c r="BI121" s="230">
        <v>3585</v>
      </c>
      <c r="BJ121" s="230">
        <v>7790</v>
      </c>
      <c r="BK121" s="230">
        <v>-4205</v>
      </c>
      <c r="BL121" s="229">
        <v>-0.53979999999999995</v>
      </c>
      <c r="BM121" s="230">
        <v>1900</v>
      </c>
      <c r="BN121" s="230">
        <v>4034</v>
      </c>
      <c r="BO121" s="230">
        <v>-2134</v>
      </c>
      <c r="BP121" s="229">
        <v>-0.52900000000000003</v>
      </c>
      <c r="BQ121" s="230">
        <v>7743</v>
      </c>
      <c r="BR121" s="230">
        <v>16010</v>
      </c>
      <c r="BS121" s="230">
        <v>-8267</v>
      </c>
      <c r="BT121" s="229">
        <v>-0.51629999999999998</v>
      </c>
      <c r="BU121" s="230">
        <v>1601961</v>
      </c>
      <c r="BV121" s="230">
        <v>2272973</v>
      </c>
      <c r="BW121" s="230">
        <v>-671012</v>
      </c>
      <c r="BX121" s="229">
        <v>-0.29520000000000002</v>
      </c>
      <c r="BY121" s="230">
        <v>5917</v>
      </c>
      <c r="BZ121" s="230">
        <v>6545</v>
      </c>
      <c r="CA121" s="228">
        <v>-629</v>
      </c>
      <c r="CB121" s="229">
        <v>-9.6100000000000005E-2</v>
      </c>
      <c r="CC121" s="228">
        <v>358</v>
      </c>
      <c r="CD121" s="228">
        <v>951</v>
      </c>
      <c r="CE121" s="228">
        <v>-593</v>
      </c>
      <c r="CF121" s="229">
        <v>-0.62360000000000004</v>
      </c>
      <c r="CG121" s="230">
        <v>5562</v>
      </c>
      <c r="CH121" s="230">
        <v>5243</v>
      </c>
      <c r="CI121" s="228">
        <v>319</v>
      </c>
      <c r="CJ121" s="229">
        <v>6.08E-2</v>
      </c>
      <c r="CK121" s="228">
        <v>355</v>
      </c>
      <c r="CL121" s="228">
        <v>352</v>
      </c>
      <c r="CM121" s="228">
        <v>3</v>
      </c>
      <c r="CN121" s="229">
        <v>9.1000000000000004E-3</v>
      </c>
      <c r="CO121" s="230">
        <v>1035</v>
      </c>
      <c r="CP121" s="230">
        <v>3051</v>
      </c>
      <c r="CQ121" s="230">
        <v>-2016</v>
      </c>
      <c r="CR121" s="229">
        <v>-0.66080000000000005</v>
      </c>
      <c r="CS121" s="230">
        <v>1373</v>
      </c>
      <c r="CT121" s="230">
        <v>2392</v>
      </c>
      <c r="CU121" s="230">
        <v>-1018</v>
      </c>
      <c r="CV121" s="229">
        <v>-0.42580000000000001</v>
      </c>
      <c r="CW121" s="230">
        <v>8325</v>
      </c>
      <c r="CX121" s="230">
        <v>11988</v>
      </c>
      <c r="CY121" s="230">
        <v>-3663</v>
      </c>
      <c r="CZ121" s="229">
        <v>-0.30559999999999998</v>
      </c>
      <c r="DA121" s="228">
        <v>21.47</v>
      </c>
      <c r="DB121" s="228">
        <v>22.84</v>
      </c>
      <c r="DC121" s="228">
        <v>-1.37</v>
      </c>
      <c r="DD121" s="228">
        <v>-1.37</v>
      </c>
      <c r="DE121" s="228">
        <v>32.880000000000003</v>
      </c>
      <c r="DF121" s="228">
        <v>32.97</v>
      </c>
      <c r="DG121" s="228">
        <v>-11.41</v>
      </c>
      <c r="DH121" s="228">
        <v>-0.09</v>
      </c>
      <c r="DI121" s="228">
        <v>21.31</v>
      </c>
      <c r="DJ121" s="228">
        <v>22.7</v>
      </c>
      <c r="DK121" s="228">
        <v>-1.39</v>
      </c>
      <c r="DL121" s="228">
        <v>-1.39</v>
      </c>
      <c r="DM121" s="228">
        <v>21.74</v>
      </c>
      <c r="DN121" s="228">
        <v>23.09</v>
      </c>
      <c r="DO121" s="228">
        <v>-1.35</v>
      </c>
      <c r="DP121" s="228">
        <v>-1.35</v>
      </c>
      <c r="DQ121" s="228">
        <v>1.33</v>
      </c>
      <c r="DR121" s="228">
        <v>0.78</v>
      </c>
      <c r="DS121" s="228">
        <v>0.55000000000000004</v>
      </c>
      <c r="DT121" s="229">
        <v>0.70509999999999995</v>
      </c>
      <c r="DU121" s="231">
        <v>4000</v>
      </c>
      <c r="DV121" s="231">
        <v>4000</v>
      </c>
      <c r="DW121" s="228">
        <v>0.53</v>
      </c>
      <c r="DX121" s="228">
        <v>0.52</v>
      </c>
      <c r="DY121" s="228">
        <v>0.01</v>
      </c>
      <c r="DZ121" s="229">
        <v>1.9199999999999998E-2</v>
      </c>
      <c r="EA121" s="229">
        <v>0.94299999999999995</v>
      </c>
      <c r="EB121" s="230">
        <v>13787375</v>
      </c>
      <c r="EC121" s="229">
        <v>7.6E-3</v>
      </c>
      <c r="ED121" s="229">
        <v>0.94299999999999995</v>
      </c>
      <c r="EE121" s="228">
        <v>25.21</v>
      </c>
      <c r="EF121" s="229">
        <v>6.3E-3</v>
      </c>
      <c r="EG121" s="230">
        <v>871465</v>
      </c>
      <c r="EH121" s="230">
        <v>1366500</v>
      </c>
      <c r="EI121" s="229">
        <v>-0.36230000000000001</v>
      </c>
      <c r="EJ121" s="229">
        <v>0.54400000000000004</v>
      </c>
      <c r="EK121" s="231">
        <v>3648.93</v>
      </c>
      <c r="EL121" s="231">
        <v>1872.95</v>
      </c>
      <c r="EM121" s="231">
        <v>2252.34</v>
      </c>
      <c r="EN121" s="228">
        <v>359.06</v>
      </c>
      <c r="EO121" s="231">
        <v>7774.22</v>
      </c>
      <c r="EP121" s="231">
        <v>15987.55</v>
      </c>
      <c r="EQ121" s="231">
        <v>-8213.33</v>
      </c>
      <c r="ER121" s="229">
        <v>-0.51370000000000005</v>
      </c>
      <c r="ES121" s="231">
        <v>1049.6600000000001</v>
      </c>
      <c r="ET121" s="231">
        <v>1322.53</v>
      </c>
      <c r="EU121" s="231">
        <v>5918.49</v>
      </c>
      <c r="EV121" s="231">
        <v>136099497</v>
      </c>
      <c r="EW121" s="231">
        <v>8290.69</v>
      </c>
      <c r="EX121" s="231">
        <v>11947</v>
      </c>
      <c r="EY121" s="231">
        <v>-3656.31</v>
      </c>
      <c r="EZ121" s="229">
        <v>-0.30599999999999999</v>
      </c>
      <c r="FA121" s="229">
        <v>0.1507</v>
      </c>
      <c r="FB121" s="227" t="s">
        <v>691</v>
      </c>
      <c r="FC121">
        <f t="shared" si="1"/>
        <v>5559</v>
      </c>
    </row>
    <row r="122" spans="1:159" ht="17.25" thickBot="1" x14ac:dyDescent="0.3">
      <c r="A122" s="226">
        <v>46168</v>
      </c>
      <c r="B122" s="227" t="s">
        <v>175</v>
      </c>
      <c r="C122" s="227" t="s">
        <v>564</v>
      </c>
      <c r="D122" s="228">
        <v>2250</v>
      </c>
      <c r="E122" s="228">
        <v>0</v>
      </c>
      <c r="F122" s="228">
        <v>283.64999999999998</v>
      </c>
      <c r="G122" s="228">
        <v>280.05</v>
      </c>
      <c r="H122" s="228">
        <v>3.6</v>
      </c>
      <c r="I122" s="229">
        <v>1.29E-2</v>
      </c>
      <c r="J122" s="228">
        <v>282.7</v>
      </c>
      <c r="K122" s="228">
        <v>279.35000000000002</v>
      </c>
      <c r="L122" s="228">
        <v>3.35</v>
      </c>
      <c r="M122" s="229">
        <v>1.2E-2</v>
      </c>
      <c r="N122" s="228">
        <v>282.3</v>
      </c>
      <c r="O122" s="228">
        <v>279.45</v>
      </c>
      <c r="P122" s="228">
        <v>2.85</v>
      </c>
      <c r="Q122" s="229">
        <v>1.0200000000000001E-2</v>
      </c>
      <c r="R122" s="228">
        <v>283.64999999999998</v>
      </c>
      <c r="S122" s="228">
        <v>280.05</v>
      </c>
      <c r="T122" s="228">
        <v>3.6</v>
      </c>
      <c r="U122" s="229">
        <v>1.29E-2</v>
      </c>
      <c r="V122" s="228">
        <v>283.7</v>
      </c>
      <c r="W122" s="228">
        <v>280.7</v>
      </c>
      <c r="X122" s="228">
        <v>3</v>
      </c>
      <c r="Y122" s="229">
        <v>1.0699999999999999E-2</v>
      </c>
      <c r="Z122" s="228">
        <v>0.95</v>
      </c>
      <c r="AA122" s="228">
        <v>0.1</v>
      </c>
      <c r="AB122" s="228">
        <v>0.85</v>
      </c>
      <c r="AC122" s="229">
        <v>3.3999999999999998E-3</v>
      </c>
      <c r="AD122" s="228">
        <v>-0.4</v>
      </c>
      <c r="AE122" s="228">
        <v>0.1</v>
      </c>
      <c r="AF122" s="228">
        <v>-0.5</v>
      </c>
      <c r="AG122" s="229">
        <v>-1.4E-3</v>
      </c>
      <c r="AH122" s="228">
        <v>0.95</v>
      </c>
      <c r="AI122" s="228">
        <v>0.7</v>
      </c>
      <c r="AJ122" s="228">
        <v>0.25</v>
      </c>
      <c r="AK122" s="229">
        <v>3.3999999999999998E-3</v>
      </c>
      <c r="AL122" s="228">
        <v>1</v>
      </c>
      <c r="AM122" s="228">
        <v>1.35</v>
      </c>
      <c r="AN122" s="228">
        <v>-0.35</v>
      </c>
      <c r="AO122" s="229">
        <v>3.5000000000000001E-3</v>
      </c>
      <c r="AP122" s="228">
        <v>282.05</v>
      </c>
      <c r="AQ122" s="228">
        <v>283.22000000000003</v>
      </c>
      <c r="AR122" s="228">
        <v>0</v>
      </c>
      <c r="AS122" s="228">
        <v>477</v>
      </c>
      <c r="AT122" s="228">
        <v>968</v>
      </c>
      <c r="AU122" s="228">
        <v>-491</v>
      </c>
      <c r="AV122" s="229">
        <v>-0.50700000000000001</v>
      </c>
      <c r="AW122" s="228">
        <v>162</v>
      </c>
      <c r="AX122" s="228">
        <v>427</v>
      </c>
      <c r="AY122" s="228">
        <v>-266</v>
      </c>
      <c r="AZ122" s="229">
        <v>-0.62170000000000003</v>
      </c>
      <c r="BA122" s="228">
        <v>312</v>
      </c>
      <c r="BB122" s="228">
        <v>535</v>
      </c>
      <c r="BC122" s="228">
        <v>-224</v>
      </c>
      <c r="BD122" s="229">
        <v>-0.41820000000000002</v>
      </c>
      <c r="BE122" s="228">
        <v>4</v>
      </c>
      <c r="BF122" s="228">
        <v>5</v>
      </c>
      <c r="BG122" s="228">
        <v>-1</v>
      </c>
      <c r="BH122" s="229">
        <v>-0.22220000000000001</v>
      </c>
      <c r="BI122" s="228">
        <v>623</v>
      </c>
      <c r="BJ122" s="228">
        <v>888</v>
      </c>
      <c r="BK122" s="228">
        <v>-265</v>
      </c>
      <c r="BL122" s="229">
        <v>-0.2989</v>
      </c>
      <c r="BM122" s="228">
        <v>207</v>
      </c>
      <c r="BN122" s="228">
        <v>547</v>
      </c>
      <c r="BO122" s="228">
        <v>-340</v>
      </c>
      <c r="BP122" s="229">
        <v>-0.62190000000000001</v>
      </c>
      <c r="BQ122" s="230">
        <v>1307</v>
      </c>
      <c r="BR122" s="230">
        <v>2404</v>
      </c>
      <c r="BS122" s="230">
        <v>-1097</v>
      </c>
      <c r="BT122" s="229">
        <v>-0.45629999999999998</v>
      </c>
      <c r="BU122" s="230">
        <v>4767576</v>
      </c>
      <c r="BV122" s="230">
        <v>5600492</v>
      </c>
      <c r="BW122" s="230">
        <v>-832916</v>
      </c>
      <c r="BX122" s="229">
        <v>-0.1487</v>
      </c>
      <c r="BY122" s="230">
        <v>1157</v>
      </c>
      <c r="BZ122" s="230">
        <v>1271</v>
      </c>
      <c r="CA122" s="228">
        <v>-114</v>
      </c>
      <c r="CB122" s="229">
        <v>-8.9499999999999996E-2</v>
      </c>
      <c r="CC122" s="228">
        <v>116</v>
      </c>
      <c r="CD122" s="228">
        <v>203</v>
      </c>
      <c r="CE122" s="228">
        <v>-87</v>
      </c>
      <c r="CF122" s="229">
        <v>-0.42849999999999999</v>
      </c>
      <c r="CG122" s="230">
        <v>1143</v>
      </c>
      <c r="CH122" s="230">
        <v>1054</v>
      </c>
      <c r="CI122" s="228">
        <v>89</v>
      </c>
      <c r="CJ122" s="229">
        <v>8.4900000000000003E-2</v>
      </c>
      <c r="CK122" s="228">
        <v>14</v>
      </c>
      <c r="CL122" s="228">
        <v>14</v>
      </c>
      <c r="CM122" s="228">
        <v>0</v>
      </c>
      <c r="CN122" s="229">
        <v>4.7000000000000002E-3</v>
      </c>
      <c r="CO122" s="228">
        <v>241</v>
      </c>
      <c r="CP122" s="228">
        <v>623</v>
      </c>
      <c r="CQ122" s="228">
        <v>-382</v>
      </c>
      <c r="CR122" s="229">
        <v>-0.61309999999999998</v>
      </c>
      <c r="CS122" s="228">
        <v>221</v>
      </c>
      <c r="CT122" s="228">
        <v>431</v>
      </c>
      <c r="CU122" s="228">
        <v>-210</v>
      </c>
      <c r="CV122" s="229">
        <v>-0.48759999999999998</v>
      </c>
      <c r="CW122" s="230">
        <v>1619</v>
      </c>
      <c r="CX122" s="230">
        <v>2325</v>
      </c>
      <c r="CY122" s="228">
        <v>-706</v>
      </c>
      <c r="CZ122" s="229">
        <v>-0.30359999999999998</v>
      </c>
      <c r="DA122" s="228">
        <v>32.590000000000003</v>
      </c>
      <c r="DB122" s="228">
        <v>32.67</v>
      </c>
      <c r="DC122" s="228">
        <v>-0.08</v>
      </c>
      <c r="DD122" s="228">
        <v>-0.08</v>
      </c>
      <c r="DE122" s="228">
        <v>40.880000000000003</v>
      </c>
      <c r="DF122" s="228">
        <v>40.94</v>
      </c>
      <c r="DG122" s="228">
        <v>-8.2899999999999991</v>
      </c>
      <c r="DH122" s="228">
        <v>-0.06</v>
      </c>
      <c r="DI122" s="228">
        <v>32.56</v>
      </c>
      <c r="DJ122" s="228">
        <v>33.369999999999997</v>
      </c>
      <c r="DK122" s="228">
        <v>-0.81</v>
      </c>
      <c r="DL122" s="228">
        <v>-0.81</v>
      </c>
      <c r="DM122" s="228">
        <v>32.72</v>
      </c>
      <c r="DN122" s="228">
        <v>31.75</v>
      </c>
      <c r="DO122" s="228">
        <v>0.97</v>
      </c>
      <c r="DP122" s="228">
        <v>0.97</v>
      </c>
      <c r="DQ122" s="228">
        <v>0.92</v>
      </c>
      <c r="DR122" s="228">
        <v>0.69</v>
      </c>
      <c r="DS122" s="228">
        <v>0.23</v>
      </c>
      <c r="DT122" s="229">
        <v>0.33329999999999999</v>
      </c>
      <c r="DU122" s="228">
        <v>300</v>
      </c>
      <c r="DV122" s="228">
        <v>290</v>
      </c>
      <c r="DW122" s="228">
        <v>0.33</v>
      </c>
      <c r="DX122" s="228">
        <v>0.62</v>
      </c>
      <c r="DY122" s="228">
        <v>-0.28999999999999998</v>
      </c>
      <c r="DZ122" s="229">
        <v>-0.4677</v>
      </c>
      <c r="EA122" s="229">
        <v>0.90880000000000005</v>
      </c>
      <c r="EB122" s="230">
        <v>37631250</v>
      </c>
      <c r="EC122" s="229">
        <v>4.7999999999999996E-3</v>
      </c>
      <c r="ED122" s="229">
        <v>0.90880000000000005</v>
      </c>
      <c r="EE122" s="228">
        <v>1.17</v>
      </c>
      <c r="EF122" s="229">
        <v>4.1000000000000003E-3</v>
      </c>
      <c r="EG122" s="230">
        <v>2543812</v>
      </c>
      <c r="EH122" s="230">
        <v>2632572</v>
      </c>
      <c r="EI122" s="229">
        <v>-3.3700000000000001E-2</v>
      </c>
      <c r="EJ122" s="229">
        <v>0.53359999999999996</v>
      </c>
      <c r="EK122" s="228">
        <v>649.97</v>
      </c>
      <c r="EL122" s="228">
        <v>203.76</v>
      </c>
      <c r="EM122" s="228">
        <v>475.79</v>
      </c>
      <c r="EN122" s="228">
        <v>120.89</v>
      </c>
      <c r="EO122" s="231">
        <v>1329.53</v>
      </c>
      <c r="EP122" s="231">
        <v>2409.7800000000002</v>
      </c>
      <c r="EQ122" s="231">
        <v>-1080.26</v>
      </c>
      <c r="ER122" s="229">
        <v>-0.44829999999999998</v>
      </c>
      <c r="ES122" s="228">
        <v>248.78</v>
      </c>
      <c r="ET122" s="228">
        <v>216.59</v>
      </c>
      <c r="EU122" s="231">
        <v>1156.8900000000001</v>
      </c>
      <c r="EV122" s="231">
        <v>127514625</v>
      </c>
      <c r="EW122" s="231">
        <v>1622.25</v>
      </c>
      <c r="EX122" s="231">
        <v>2328.91</v>
      </c>
      <c r="EY122" s="228">
        <v>-706.66</v>
      </c>
      <c r="EZ122" s="229">
        <v>-0.3034</v>
      </c>
      <c r="FA122" s="229">
        <v>0.4476</v>
      </c>
      <c r="FB122" s="227" t="s">
        <v>691</v>
      </c>
      <c r="FC122">
        <f t="shared" si="1"/>
        <v>1041</v>
      </c>
    </row>
    <row r="123" spans="1:159" ht="17.25" thickBot="1" x14ac:dyDescent="0.3">
      <c r="A123" s="226">
        <v>46168</v>
      </c>
      <c r="B123" s="227" t="s">
        <v>221</v>
      </c>
      <c r="C123" s="227" t="s">
        <v>690</v>
      </c>
      <c r="D123" s="228">
        <v>150</v>
      </c>
      <c r="E123" s="228">
        <v>0</v>
      </c>
      <c r="F123" s="231">
        <v>3972.6</v>
      </c>
      <c r="G123" s="231">
        <v>3934.4</v>
      </c>
      <c r="H123" s="228">
        <v>38.200000000000003</v>
      </c>
      <c r="I123" s="229">
        <v>9.7000000000000003E-3</v>
      </c>
      <c r="J123" s="231">
        <v>3970.4</v>
      </c>
      <c r="K123" s="231">
        <v>3991.6</v>
      </c>
      <c r="L123" s="228">
        <v>-21.2</v>
      </c>
      <c r="M123" s="229">
        <v>-5.3E-3</v>
      </c>
      <c r="N123" s="231">
        <v>3973.5</v>
      </c>
      <c r="O123" s="231">
        <v>3991.8</v>
      </c>
      <c r="P123" s="228">
        <v>-18.3</v>
      </c>
      <c r="Q123" s="229">
        <v>-4.5999999999999999E-3</v>
      </c>
      <c r="R123" s="231">
        <v>3972.6</v>
      </c>
      <c r="S123" s="231">
        <v>3934.4</v>
      </c>
      <c r="T123" s="228">
        <v>38.200000000000003</v>
      </c>
      <c r="U123" s="229">
        <v>9.7000000000000003E-3</v>
      </c>
      <c r="V123" s="231">
        <v>3957.2</v>
      </c>
      <c r="W123" s="231">
        <v>3922</v>
      </c>
      <c r="X123" s="228">
        <v>35.200000000000003</v>
      </c>
      <c r="Y123" s="229">
        <v>8.9999999999999993E-3</v>
      </c>
      <c r="Z123" s="228">
        <v>2.2000000000000002</v>
      </c>
      <c r="AA123" s="228">
        <v>0.2</v>
      </c>
      <c r="AB123" s="228">
        <v>2</v>
      </c>
      <c r="AC123" s="229">
        <v>5.9999999999999995E-4</v>
      </c>
      <c r="AD123" s="228">
        <v>3.1</v>
      </c>
      <c r="AE123" s="228">
        <v>0.2</v>
      </c>
      <c r="AF123" s="228">
        <v>2.9</v>
      </c>
      <c r="AG123" s="229">
        <v>8.0000000000000004E-4</v>
      </c>
      <c r="AH123" s="228">
        <v>2.2000000000000002</v>
      </c>
      <c r="AI123" s="228">
        <v>-57.2</v>
      </c>
      <c r="AJ123" s="228">
        <v>59.4</v>
      </c>
      <c r="AK123" s="229">
        <v>5.9999999999999995E-4</v>
      </c>
      <c r="AL123" s="228">
        <v>-13.2</v>
      </c>
      <c r="AM123" s="228">
        <v>-69.599999999999994</v>
      </c>
      <c r="AN123" s="228">
        <v>56.4</v>
      </c>
      <c r="AO123" s="229">
        <v>-3.3E-3</v>
      </c>
      <c r="AP123" s="231">
        <v>4001.51</v>
      </c>
      <c r="AQ123" s="231">
        <v>3964.54</v>
      </c>
      <c r="AR123" s="228">
        <v>0</v>
      </c>
      <c r="AS123" s="228">
        <v>558</v>
      </c>
      <c r="AT123" s="228">
        <v>932</v>
      </c>
      <c r="AU123" s="228">
        <v>-374</v>
      </c>
      <c r="AV123" s="229">
        <v>-0.40150000000000002</v>
      </c>
      <c r="AW123" s="228">
        <v>230</v>
      </c>
      <c r="AX123" s="228">
        <v>386</v>
      </c>
      <c r="AY123" s="228">
        <v>-157</v>
      </c>
      <c r="AZ123" s="229">
        <v>-0.40589999999999998</v>
      </c>
      <c r="BA123" s="228">
        <v>316</v>
      </c>
      <c r="BB123" s="228">
        <v>530</v>
      </c>
      <c r="BC123" s="228">
        <v>-214</v>
      </c>
      <c r="BD123" s="229">
        <v>-0.40400000000000003</v>
      </c>
      <c r="BE123" s="228">
        <v>12</v>
      </c>
      <c r="BF123" s="228">
        <v>15</v>
      </c>
      <c r="BG123" s="228">
        <v>-3</v>
      </c>
      <c r="BH123" s="229">
        <v>-0.2046</v>
      </c>
      <c r="BI123" s="228">
        <v>882</v>
      </c>
      <c r="BJ123" s="230">
        <v>1806</v>
      </c>
      <c r="BK123" s="228">
        <v>-923</v>
      </c>
      <c r="BL123" s="229">
        <v>-0.51129999999999998</v>
      </c>
      <c r="BM123" s="228">
        <v>272</v>
      </c>
      <c r="BN123" s="228">
        <v>771</v>
      </c>
      <c r="BO123" s="228">
        <v>-499</v>
      </c>
      <c r="BP123" s="229">
        <v>-0.64780000000000004</v>
      </c>
      <c r="BQ123" s="230">
        <v>1711</v>
      </c>
      <c r="BR123" s="230">
        <v>3508</v>
      </c>
      <c r="BS123" s="230">
        <v>-1797</v>
      </c>
      <c r="BT123" s="229">
        <v>-0.5121</v>
      </c>
      <c r="BU123" s="230">
        <v>333239</v>
      </c>
      <c r="BV123" s="230">
        <v>541005</v>
      </c>
      <c r="BW123" s="230">
        <v>-207766</v>
      </c>
      <c r="BX123" s="229">
        <v>-0.38400000000000001</v>
      </c>
      <c r="BY123" s="230">
        <v>1500</v>
      </c>
      <c r="BZ123" s="230">
        <v>1777</v>
      </c>
      <c r="CA123" s="228">
        <v>-276</v>
      </c>
      <c r="CB123" s="229">
        <v>-0.1555</v>
      </c>
      <c r="CC123" s="228">
        <v>146</v>
      </c>
      <c r="CD123" s="228">
        <v>285</v>
      </c>
      <c r="CE123" s="228">
        <v>-139</v>
      </c>
      <c r="CF123" s="229">
        <v>-0.48670000000000002</v>
      </c>
      <c r="CG123" s="230">
        <v>1464</v>
      </c>
      <c r="CH123" s="230">
        <v>1460</v>
      </c>
      <c r="CI123" s="228">
        <v>4</v>
      </c>
      <c r="CJ123" s="229">
        <v>2.7000000000000001E-3</v>
      </c>
      <c r="CK123" s="228">
        <v>36</v>
      </c>
      <c r="CL123" s="228">
        <v>32</v>
      </c>
      <c r="CM123" s="228">
        <v>5</v>
      </c>
      <c r="CN123" s="229">
        <v>0.1439</v>
      </c>
      <c r="CO123" s="228">
        <v>255</v>
      </c>
      <c r="CP123" s="228">
        <v>711</v>
      </c>
      <c r="CQ123" s="228">
        <v>-457</v>
      </c>
      <c r="CR123" s="229">
        <v>-0.64200000000000002</v>
      </c>
      <c r="CS123" s="228">
        <v>184</v>
      </c>
      <c r="CT123" s="228">
        <v>381</v>
      </c>
      <c r="CU123" s="228">
        <v>-197</v>
      </c>
      <c r="CV123" s="229">
        <v>-0.51700000000000002</v>
      </c>
      <c r="CW123" s="230">
        <v>1939</v>
      </c>
      <c r="CX123" s="230">
        <v>2869</v>
      </c>
      <c r="CY123" s="228">
        <v>-930</v>
      </c>
      <c r="CZ123" s="229">
        <v>-0.32419999999999999</v>
      </c>
      <c r="DA123" s="228">
        <v>31.52</v>
      </c>
      <c r="DB123" s="228">
        <v>32.89</v>
      </c>
      <c r="DC123" s="228">
        <v>-1.37</v>
      </c>
      <c r="DD123" s="228">
        <v>-1.37</v>
      </c>
      <c r="DE123" s="228">
        <v>37.42</v>
      </c>
      <c r="DF123" s="228">
        <v>37.5</v>
      </c>
      <c r="DG123" s="228">
        <v>-5.9</v>
      </c>
      <c r="DH123" s="228">
        <v>-0.08</v>
      </c>
      <c r="DI123" s="228">
        <v>31.76</v>
      </c>
      <c r="DJ123" s="228">
        <v>33.270000000000003</v>
      </c>
      <c r="DK123" s="228">
        <v>-1.51</v>
      </c>
      <c r="DL123" s="228">
        <v>-1.51</v>
      </c>
      <c r="DM123" s="228">
        <v>30.7</v>
      </c>
      <c r="DN123" s="228">
        <v>31.81</v>
      </c>
      <c r="DO123" s="228">
        <v>-1.1100000000000001</v>
      </c>
      <c r="DP123" s="228">
        <v>-1.1100000000000001</v>
      </c>
      <c r="DQ123" s="228">
        <v>0.72</v>
      </c>
      <c r="DR123" s="228">
        <v>0.54</v>
      </c>
      <c r="DS123" s="228">
        <v>0.18</v>
      </c>
      <c r="DT123" s="229">
        <v>0.33329999999999999</v>
      </c>
      <c r="DU123" s="231">
        <v>4000</v>
      </c>
      <c r="DV123" s="231">
        <v>4000</v>
      </c>
      <c r="DW123" s="228">
        <v>0.31</v>
      </c>
      <c r="DX123" s="228">
        <v>0.43</v>
      </c>
      <c r="DY123" s="228">
        <v>-0.12</v>
      </c>
      <c r="DZ123" s="229">
        <v>-0.27910000000000001</v>
      </c>
      <c r="EA123" s="229">
        <v>0.91120000000000001</v>
      </c>
      <c r="EB123" s="230">
        <v>3754950</v>
      </c>
      <c r="EC123" s="229">
        <v>-2.0000000000000001E-4</v>
      </c>
      <c r="ED123" s="229">
        <v>0.91120000000000001</v>
      </c>
      <c r="EE123" s="228">
        <v>-36.97</v>
      </c>
      <c r="EF123" s="229">
        <v>-9.1999999999999998E-3</v>
      </c>
      <c r="EG123" s="230">
        <v>110542</v>
      </c>
      <c r="EH123" s="230">
        <v>164031</v>
      </c>
      <c r="EI123" s="229">
        <v>-0.3261</v>
      </c>
      <c r="EJ123" s="229">
        <v>0.33169999999999999</v>
      </c>
      <c r="EK123" s="228">
        <v>937.61</v>
      </c>
      <c r="EL123" s="228">
        <v>279.2</v>
      </c>
      <c r="EM123" s="228">
        <v>558.52</v>
      </c>
      <c r="EN123" s="228">
        <v>142.29</v>
      </c>
      <c r="EO123" s="231">
        <v>1775.33</v>
      </c>
      <c r="EP123" s="231">
        <v>3593.98</v>
      </c>
      <c r="EQ123" s="231">
        <v>-1818.64</v>
      </c>
      <c r="ER123" s="229">
        <v>-0.50600000000000001</v>
      </c>
      <c r="ES123" s="228">
        <v>270.54000000000002</v>
      </c>
      <c r="ET123" s="228">
        <v>184.44</v>
      </c>
      <c r="EU123" s="231">
        <v>1500.13</v>
      </c>
      <c r="EV123" s="231">
        <v>12564965</v>
      </c>
      <c r="EW123" s="231">
        <v>1955.11</v>
      </c>
      <c r="EX123" s="231">
        <v>2923.51</v>
      </c>
      <c r="EY123" s="228">
        <v>-968.4</v>
      </c>
      <c r="EZ123" s="229">
        <v>-0.33119999999999999</v>
      </c>
      <c r="FA123" s="229">
        <v>0.38850000000000001</v>
      </c>
      <c r="FB123" s="227" t="s">
        <v>691</v>
      </c>
      <c r="FC123">
        <f t="shared" si="1"/>
        <v>1354</v>
      </c>
    </row>
    <row r="124" spans="1:159" ht="17.25" thickBot="1" x14ac:dyDescent="0.3">
      <c r="A124" s="226">
        <v>46168</v>
      </c>
      <c r="B124" s="227" t="s">
        <v>170</v>
      </c>
      <c r="C124" s="227" t="s">
        <v>250</v>
      </c>
      <c r="D124" s="228">
        <v>425</v>
      </c>
      <c r="E124" s="228">
        <v>0</v>
      </c>
      <c r="F124" s="231">
        <v>2279.3000000000002</v>
      </c>
      <c r="G124" s="231">
        <v>2289.4</v>
      </c>
      <c r="H124" s="228">
        <v>-10.1</v>
      </c>
      <c r="I124" s="229">
        <v>-4.4000000000000003E-3</v>
      </c>
      <c r="J124" s="231">
        <v>2266</v>
      </c>
      <c r="K124" s="231">
        <v>2287.1999999999998</v>
      </c>
      <c r="L124" s="228">
        <v>-21.2</v>
      </c>
      <c r="M124" s="229">
        <v>-9.2999999999999992E-3</v>
      </c>
      <c r="N124" s="231">
        <v>2260.1999999999998</v>
      </c>
      <c r="O124" s="231">
        <v>2278.8000000000002</v>
      </c>
      <c r="P124" s="228">
        <v>-18.600000000000001</v>
      </c>
      <c r="Q124" s="229">
        <v>-8.2000000000000007E-3</v>
      </c>
      <c r="R124" s="231">
        <v>2279.3000000000002</v>
      </c>
      <c r="S124" s="231">
        <v>2289.4</v>
      </c>
      <c r="T124" s="228">
        <v>-10.1</v>
      </c>
      <c r="U124" s="229">
        <v>-4.4000000000000003E-3</v>
      </c>
      <c r="V124" s="231">
        <v>2275.1999999999998</v>
      </c>
      <c r="W124" s="231">
        <v>2284.6</v>
      </c>
      <c r="X124" s="228">
        <v>-9.4</v>
      </c>
      <c r="Y124" s="229">
        <v>-4.1000000000000003E-3</v>
      </c>
      <c r="Z124" s="228">
        <v>13.3</v>
      </c>
      <c r="AA124" s="228">
        <v>-8.4</v>
      </c>
      <c r="AB124" s="228">
        <v>21.7</v>
      </c>
      <c r="AC124" s="229">
        <v>5.8999999999999999E-3</v>
      </c>
      <c r="AD124" s="228">
        <v>-5.8</v>
      </c>
      <c r="AE124" s="228">
        <v>-8.4</v>
      </c>
      <c r="AF124" s="228">
        <v>2.6</v>
      </c>
      <c r="AG124" s="229">
        <v>-2.5999999999999999E-3</v>
      </c>
      <c r="AH124" s="228">
        <v>13.3</v>
      </c>
      <c r="AI124" s="228">
        <v>2.2000000000000002</v>
      </c>
      <c r="AJ124" s="228">
        <v>11.1</v>
      </c>
      <c r="AK124" s="229">
        <v>5.8999999999999999E-3</v>
      </c>
      <c r="AL124" s="228">
        <v>9.1999999999999993</v>
      </c>
      <c r="AM124" s="228">
        <v>-2.6</v>
      </c>
      <c r="AN124" s="228">
        <v>11.8</v>
      </c>
      <c r="AO124" s="229">
        <v>4.1000000000000003E-3</v>
      </c>
      <c r="AP124" s="231">
        <v>2257.58</v>
      </c>
      <c r="AQ124" s="231">
        <v>2276.3200000000002</v>
      </c>
      <c r="AR124" s="228">
        <v>0</v>
      </c>
      <c r="AS124" s="230">
        <v>1007</v>
      </c>
      <c r="AT124" s="228">
        <v>948</v>
      </c>
      <c r="AU124" s="228">
        <v>59</v>
      </c>
      <c r="AV124" s="229">
        <v>6.2600000000000003E-2</v>
      </c>
      <c r="AW124" s="228">
        <v>491</v>
      </c>
      <c r="AX124" s="228">
        <v>438</v>
      </c>
      <c r="AY124" s="228">
        <v>53</v>
      </c>
      <c r="AZ124" s="229">
        <v>0.12089999999999999</v>
      </c>
      <c r="BA124" s="228">
        <v>508</v>
      </c>
      <c r="BB124" s="228">
        <v>477</v>
      </c>
      <c r="BC124" s="228">
        <v>30</v>
      </c>
      <c r="BD124" s="229">
        <v>6.3799999999999996E-2</v>
      </c>
      <c r="BE124" s="228">
        <v>9</v>
      </c>
      <c r="BF124" s="228">
        <v>33</v>
      </c>
      <c r="BG124" s="228">
        <v>-24</v>
      </c>
      <c r="BH124" s="229">
        <v>-0.73160000000000003</v>
      </c>
      <c r="BI124" s="228">
        <v>882</v>
      </c>
      <c r="BJ124" s="230">
        <v>1695</v>
      </c>
      <c r="BK124" s="228">
        <v>-814</v>
      </c>
      <c r="BL124" s="229">
        <v>-0.47989999999999999</v>
      </c>
      <c r="BM124" s="228">
        <v>355</v>
      </c>
      <c r="BN124" s="228">
        <v>606</v>
      </c>
      <c r="BO124" s="228">
        <v>-251</v>
      </c>
      <c r="BP124" s="229">
        <v>-0.41339999999999999</v>
      </c>
      <c r="BQ124" s="230">
        <v>2245</v>
      </c>
      <c r="BR124" s="230">
        <v>3249</v>
      </c>
      <c r="BS124" s="230">
        <v>-1005</v>
      </c>
      <c r="BT124" s="229">
        <v>-0.30919999999999997</v>
      </c>
      <c r="BU124" s="230">
        <v>918809</v>
      </c>
      <c r="BV124" s="230">
        <v>788284</v>
      </c>
      <c r="BW124" s="230">
        <v>130525</v>
      </c>
      <c r="BX124" s="229">
        <v>0.1656</v>
      </c>
      <c r="BY124" s="230">
        <v>1581</v>
      </c>
      <c r="BZ124" s="230">
        <v>1868</v>
      </c>
      <c r="CA124" s="228">
        <v>-287</v>
      </c>
      <c r="CB124" s="229">
        <v>-0.1535</v>
      </c>
      <c r="CC124" s="228">
        <v>497</v>
      </c>
      <c r="CD124" s="228">
        <v>505</v>
      </c>
      <c r="CE124" s="228">
        <v>-8</v>
      </c>
      <c r="CF124" s="229">
        <v>-1.5299999999999999E-2</v>
      </c>
      <c r="CG124" s="230">
        <v>1524</v>
      </c>
      <c r="CH124" s="230">
        <v>1310</v>
      </c>
      <c r="CI124" s="228">
        <v>214</v>
      </c>
      <c r="CJ124" s="229">
        <v>0.1633</v>
      </c>
      <c r="CK124" s="228">
        <v>57</v>
      </c>
      <c r="CL124" s="228">
        <v>52</v>
      </c>
      <c r="CM124" s="228">
        <v>4</v>
      </c>
      <c r="CN124" s="229">
        <v>8.3500000000000005E-2</v>
      </c>
      <c r="CO124" s="228">
        <v>263</v>
      </c>
      <c r="CP124" s="230">
        <v>1651</v>
      </c>
      <c r="CQ124" s="230">
        <v>-1388</v>
      </c>
      <c r="CR124" s="229">
        <v>-0.84050000000000002</v>
      </c>
      <c r="CS124" s="228">
        <v>214</v>
      </c>
      <c r="CT124" s="228">
        <v>823</v>
      </c>
      <c r="CU124" s="228">
        <v>-610</v>
      </c>
      <c r="CV124" s="229">
        <v>-0.74050000000000005</v>
      </c>
      <c r="CW124" s="230">
        <v>2058</v>
      </c>
      <c r="CX124" s="230">
        <v>4342</v>
      </c>
      <c r="CY124" s="230">
        <v>-2284</v>
      </c>
      <c r="CZ124" s="229">
        <v>-0.52610000000000001</v>
      </c>
      <c r="DA124" s="228">
        <v>22.78</v>
      </c>
      <c r="DB124" s="228">
        <v>23.13</v>
      </c>
      <c r="DC124" s="228">
        <v>-0.35</v>
      </c>
      <c r="DD124" s="228">
        <v>-0.35</v>
      </c>
      <c r="DE124" s="228">
        <v>28.82</v>
      </c>
      <c r="DF124" s="228">
        <v>28.88</v>
      </c>
      <c r="DG124" s="228">
        <v>-6.04</v>
      </c>
      <c r="DH124" s="228">
        <v>-0.06</v>
      </c>
      <c r="DI124" s="228">
        <v>22.61</v>
      </c>
      <c r="DJ124" s="228">
        <v>22.95</v>
      </c>
      <c r="DK124" s="228">
        <v>-0.34</v>
      </c>
      <c r="DL124" s="228">
        <v>-0.34</v>
      </c>
      <c r="DM124" s="228">
        <v>23.02</v>
      </c>
      <c r="DN124" s="228">
        <v>23.38</v>
      </c>
      <c r="DO124" s="228">
        <v>-0.36</v>
      </c>
      <c r="DP124" s="228">
        <v>-0.36</v>
      </c>
      <c r="DQ124" s="228">
        <v>0.81</v>
      </c>
      <c r="DR124" s="228">
        <v>0.5</v>
      </c>
      <c r="DS124" s="228">
        <v>0.31</v>
      </c>
      <c r="DT124" s="229">
        <v>0.62</v>
      </c>
      <c r="DU124" s="231">
        <v>2500</v>
      </c>
      <c r="DV124" s="231">
        <v>2400</v>
      </c>
      <c r="DW124" s="228">
        <v>0.4</v>
      </c>
      <c r="DX124" s="228">
        <v>0.36</v>
      </c>
      <c r="DY124" s="228">
        <v>0.04</v>
      </c>
      <c r="DZ124" s="229">
        <v>0.1111</v>
      </c>
      <c r="EA124" s="229">
        <v>0.76070000000000004</v>
      </c>
      <c r="EB124" s="230">
        <v>5978050</v>
      </c>
      <c r="EC124" s="229">
        <v>8.5000000000000006E-3</v>
      </c>
      <c r="ED124" s="229">
        <v>0.76070000000000004</v>
      </c>
      <c r="EE124" s="228">
        <v>18.739999999999998</v>
      </c>
      <c r="EF124" s="229">
        <v>8.3000000000000001E-3</v>
      </c>
      <c r="EG124" s="230">
        <v>492078</v>
      </c>
      <c r="EH124" s="230">
        <v>394301</v>
      </c>
      <c r="EI124" s="229">
        <v>0.248</v>
      </c>
      <c r="EJ124" s="229">
        <v>0.53559999999999997</v>
      </c>
      <c r="EK124" s="228">
        <v>929.66</v>
      </c>
      <c r="EL124" s="228">
        <v>358.39</v>
      </c>
      <c r="EM124" s="231">
        <v>1002.08</v>
      </c>
      <c r="EN124" s="228">
        <v>96.03</v>
      </c>
      <c r="EO124" s="231">
        <v>2290.13</v>
      </c>
      <c r="EP124" s="231">
        <v>3311.43</v>
      </c>
      <c r="EQ124" s="231">
        <v>-1021.3</v>
      </c>
      <c r="ER124" s="229">
        <v>-0.30840000000000001</v>
      </c>
      <c r="ES124" s="228">
        <v>274.41000000000003</v>
      </c>
      <c r="ET124" s="228">
        <v>208.51</v>
      </c>
      <c r="EU124" s="231">
        <v>1580.82</v>
      </c>
      <c r="EV124" s="231">
        <v>32222448</v>
      </c>
      <c r="EW124" s="231">
        <v>2063.7399999999998</v>
      </c>
      <c r="EX124" s="231">
        <v>4460.3999999999996</v>
      </c>
      <c r="EY124" s="231">
        <v>-2396.66</v>
      </c>
      <c r="EZ124" s="229">
        <v>-0.5373</v>
      </c>
      <c r="FA124" s="229">
        <v>0.2802</v>
      </c>
      <c r="FB124" s="227" t="s">
        <v>567</v>
      </c>
      <c r="FC124">
        <f t="shared" si="1"/>
        <v>1084</v>
      </c>
    </row>
    <row r="125" spans="1:159" ht="17.25" thickBot="1" x14ac:dyDescent="0.3">
      <c r="A125" s="226">
        <v>46168</v>
      </c>
      <c r="B125" s="227" t="s">
        <v>162</v>
      </c>
      <c r="C125" s="227" t="s">
        <v>251</v>
      </c>
      <c r="D125" s="228">
        <v>200</v>
      </c>
      <c r="E125" s="228">
        <v>0</v>
      </c>
      <c r="F125" s="231">
        <v>3127.8</v>
      </c>
      <c r="G125" s="231">
        <v>3163.9</v>
      </c>
      <c r="H125" s="228">
        <v>-36.1</v>
      </c>
      <c r="I125" s="229">
        <v>-1.14E-2</v>
      </c>
      <c r="J125" s="231">
        <v>3107.3</v>
      </c>
      <c r="K125" s="231">
        <v>3139</v>
      </c>
      <c r="L125" s="228">
        <v>-31.7</v>
      </c>
      <c r="M125" s="229">
        <v>-1.01E-2</v>
      </c>
      <c r="N125" s="231">
        <v>3102.4</v>
      </c>
      <c r="O125" s="231">
        <v>3145.6</v>
      </c>
      <c r="P125" s="228">
        <v>-43.2</v>
      </c>
      <c r="Q125" s="229">
        <v>-1.37E-2</v>
      </c>
      <c r="R125" s="231">
        <v>3127.8</v>
      </c>
      <c r="S125" s="231">
        <v>3163.9</v>
      </c>
      <c r="T125" s="228">
        <v>-36.1</v>
      </c>
      <c r="U125" s="229">
        <v>-1.14E-2</v>
      </c>
      <c r="V125" s="231">
        <v>3114.2</v>
      </c>
      <c r="W125" s="231">
        <v>3149.6</v>
      </c>
      <c r="X125" s="228">
        <v>-35.4</v>
      </c>
      <c r="Y125" s="229">
        <v>-1.12E-2</v>
      </c>
      <c r="Z125" s="228">
        <v>20.5</v>
      </c>
      <c r="AA125" s="228">
        <v>6.6</v>
      </c>
      <c r="AB125" s="228">
        <v>13.9</v>
      </c>
      <c r="AC125" s="229">
        <v>6.6E-3</v>
      </c>
      <c r="AD125" s="228">
        <v>-4.9000000000000004</v>
      </c>
      <c r="AE125" s="228">
        <v>6.6</v>
      </c>
      <c r="AF125" s="228">
        <v>-11.5</v>
      </c>
      <c r="AG125" s="229">
        <v>-1.6000000000000001E-3</v>
      </c>
      <c r="AH125" s="228">
        <v>20.5</v>
      </c>
      <c r="AI125" s="228">
        <v>24.9</v>
      </c>
      <c r="AJ125" s="228">
        <v>-4.4000000000000004</v>
      </c>
      <c r="AK125" s="229">
        <v>6.6E-3</v>
      </c>
      <c r="AL125" s="228">
        <v>6.9</v>
      </c>
      <c r="AM125" s="228">
        <v>10.6</v>
      </c>
      <c r="AN125" s="228">
        <v>-3.7</v>
      </c>
      <c r="AO125" s="229">
        <v>2.2000000000000001E-3</v>
      </c>
      <c r="AP125" s="231">
        <v>3124.23</v>
      </c>
      <c r="AQ125" s="231">
        <v>3144.29</v>
      </c>
      <c r="AR125" s="228">
        <v>0</v>
      </c>
      <c r="AS125" s="230">
        <v>1213</v>
      </c>
      <c r="AT125" s="230">
        <v>2862</v>
      </c>
      <c r="AU125" s="230">
        <v>-1649</v>
      </c>
      <c r="AV125" s="229">
        <v>-0.57609999999999995</v>
      </c>
      <c r="AW125" s="228">
        <v>478</v>
      </c>
      <c r="AX125" s="230">
        <v>1321</v>
      </c>
      <c r="AY125" s="228">
        <v>-843</v>
      </c>
      <c r="AZ125" s="229">
        <v>-0.63800000000000001</v>
      </c>
      <c r="BA125" s="228">
        <v>685</v>
      </c>
      <c r="BB125" s="230">
        <v>1477</v>
      </c>
      <c r="BC125" s="228">
        <v>-792</v>
      </c>
      <c r="BD125" s="229">
        <v>-0.5363</v>
      </c>
      <c r="BE125" s="228">
        <v>50</v>
      </c>
      <c r="BF125" s="228">
        <v>63</v>
      </c>
      <c r="BG125" s="228">
        <v>-14</v>
      </c>
      <c r="BH125" s="229">
        <v>-0.21360000000000001</v>
      </c>
      <c r="BI125" s="230">
        <v>2059</v>
      </c>
      <c r="BJ125" s="230">
        <v>3926</v>
      </c>
      <c r="BK125" s="230">
        <v>-1867</v>
      </c>
      <c r="BL125" s="229">
        <v>-0.47560000000000002</v>
      </c>
      <c r="BM125" s="230">
        <v>1118</v>
      </c>
      <c r="BN125" s="230">
        <v>1925</v>
      </c>
      <c r="BO125" s="228">
        <v>-807</v>
      </c>
      <c r="BP125" s="229">
        <v>-0.41920000000000002</v>
      </c>
      <c r="BQ125" s="230">
        <v>4390</v>
      </c>
      <c r="BR125" s="230">
        <v>8713</v>
      </c>
      <c r="BS125" s="230">
        <v>-4323</v>
      </c>
      <c r="BT125" s="229">
        <v>-0.49619999999999997</v>
      </c>
      <c r="BU125" s="230">
        <v>1894297</v>
      </c>
      <c r="BV125" s="230">
        <v>2792449</v>
      </c>
      <c r="BW125" s="230">
        <v>-898152</v>
      </c>
      <c r="BX125" s="229">
        <v>-0.3216</v>
      </c>
      <c r="BY125" s="230">
        <v>5757</v>
      </c>
      <c r="BZ125" s="230">
        <v>5901</v>
      </c>
      <c r="CA125" s="228">
        <v>-145</v>
      </c>
      <c r="CB125" s="229">
        <v>-2.4500000000000001E-2</v>
      </c>
      <c r="CC125" s="228">
        <v>193</v>
      </c>
      <c r="CD125" s="228">
        <v>472</v>
      </c>
      <c r="CE125" s="228">
        <v>-280</v>
      </c>
      <c r="CF125" s="229">
        <v>-0.59240000000000004</v>
      </c>
      <c r="CG125" s="230">
        <v>5001</v>
      </c>
      <c r="CH125" s="230">
        <v>4707</v>
      </c>
      <c r="CI125" s="228">
        <v>293</v>
      </c>
      <c r="CJ125" s="229">
        <v>6.2300000000000001E-2</v>
      </c>
      <c r="CK125" s="228">
        <v>756</v>
      </c>
      <c r="CL125" s="228">
        <v>721</v>
      </c>
      <c r="CM125" s="228">
        <v>34</v>
      </c>
      <c r="CN125" s="229">
        <v>4.7600000000000003E-2</v>
      </c>
      <c r="CO125" s="228">
        <v>879</v>
      </c>
      <c r="CP125" s="230">
        <v>1824</v>
      </c>
      <c r="CQ125" s="228">
        <v>-946</v>
      </c>
      <c r="CR125" s="229">
        <v>-0.51839999999999997</v>
      </c>
      <c r="CS125" s="228">
        <v>741</v>
      </c>
      <c r="CT125" s="230">
        <v>1610</v>
      </c>
      <c r="CU125" s="228">
        <v>-869</v>
      </c>
      <c r="CV125" s="229">
        <v>-0.53959999999999997</v>
      </c>
      <c r="CW125" s="230">
        <v>7376</v>
      </c>
      <c r="CX125" s="230">
        <v>9336</v>
      </c>
      <c r="CY125" s="230">
        <v>-1959</v>
      </c>
      <c r="CZ125" s="229">
        <v>-0.2099</v>
      </c>
      <c r="DA125" s="228">
        <v>26.62</v>
      </c>
      <c r="DB125" s="228">
        <v>27.54</v>
      </c>
      <c r="DC125" s="228">
        <v>-0.92</v>
      </c>
      <c r="DD125" s="228">
        <v>-0.92</v>
      </c>
      <c r="DE125" s="228">
        <v>35.54</v>
      </c>
      <c r="DF125" s="228">
        <v>35.61</v>
      </c>
      <c r="DG125" s="228">
        <v>-8.92</v>
      </c>
      <c r="DH125" s="228">
        <v>-7.0000000000000007E-2</v>
      </c>
      <c r="DI125" s="228">
        <v>26.54</v>
      </c>
      <c r="DJ125" s="228">
        <v>27.5</v>
      </c>
      <c r="DK125" s="228">
        <v>-0.96</v>
      </c>
      <c r="DL125" s="228">
        <v>-0.96</v>
      </c>
      <c r="DM125" s="228">
        <v>26.8</v>
      </c>
      <c r="DN125" s="228">
        <v>27.61</v>
      </c>
      <c r="DO125" s="228">
        <v>-0.81</v>
      </c>
      <c r="DP125" s="228">
        <v>-0.81</v>
      </c>
      <c r="DQ125" s="228">
        <v>0.84</v>
      </c>
      <c r="DR125" s="228">
        <v>0.88</v>
      </c>
      <c r="DS125" s="228">
        <v>-0.04</v>
      </c>
      <c r="DT125" s="229">
        <v>-4.5499999999999999E-2</v>
      </c>
      <c r="DU125" s="231">
        <v>3200</v>
      </c>
      <c r="DV125" s="231">
        <v>3100</v>
      </c>
      <c r="DW125" s="228">
        <v>0.54</v>
      </c>
      <c r="DX125" s="228">
        <v>0.49</v>
      </c>
      <c r="DY125" s="228">
        <v>0.05</v>
      </c>
      <c r="DZ125" s="229">
        <v>0.10199999999999999</v>
      </c>
      <c r="EA125" s="229">
        <v>0.96760000000000002</v>
      </c>
      <c r="EB125" s="230">
        <v>17357000</v>
      </c>
      <c r="EC125" s="229">
        <v>8.2000000000000007E-3</v>
      </c>
      <c r="ED125" s="229">
        <v>0.96760000000000002</v>
      </c>
      <c r="EE125" s="228">
        <v>20.059999999999999</v>
      </c>
      <c r="EF125" s="229">
        <v>6.4000000000000003E-3</v>
      </c>
      <c r="EG125" s="230">
        <v>1015098</v>
      </c>
      <c r="EH125" s="230">
        <v>1525819</v>
      </c>
      <c r="EI125" s="229">
        <v>-0.3347</v>
      </c>
      <c r="EJ125" s="229">
        <v>0.53590000000000004</v>
      </c>
      <c r="EK125" s="231">
        <v>2151.38</v>
      </c>
      <c r="EL125" s="231">
        <v>1122.5999999999999</v>
      </c>
      <c r="EM125" s="231">
        <v>1216.1300000000001</v>
      </c>
      <c r="EN125" s="228">
        <v>343.37</v>
      </c>
      <c r="EO125" s="231">
        <v>4490.1099999999997</v>
      </c>
      <c r="EP125" s="231">
        <v>8937.84</v>
      </c>
      <c r="EQ125" s="231">
        <v>-4447.7299999999996</v>
      </c>
      <c r="ER125" s="229">
        <v>-0.49759999999999999</v>
      </c>
      <c r="ES125" s="228">
        <v>913.22</v>
      </c>
      <c r="ET125" s="228">
        <v>749.36</v>
      </c>
      <c r="EU125" s="231">
        <v>5753.37</v>
      </c>
      <c r="EV125" s="231">
        <v>120808308</v>
      </c>
      <c r="EW125" s="231">
        <v>7415.95</v>
      </c>
      <c r="EX125" s="231">
        <v>9492.2199999999993</v>
      </c>
      <c r="EY125" s="231">
        <v>-2076.27</v>
      </c>
      <c r="EZ125" s="229">
        <v>-0.21870000000000001</v>
      </c>
      <c r="FA125" s="229">
        <v>0.19520000000000001</v>
      </c>
      <c r="FB125" s="227" t="s">
        <v>567</v>
      </c>
      <c r="FC125">
        <f t="shared" si="1"/>
        <v>5564</v>
      </c>
    </row>
    <row r="126" spans="1:159" ht="17.25" thickBot="1" x14ac:dyDescent="0.3">
      <c r="A126" s="226">
        <v>46168</v>
      </c>
      <c r="B126" s="227" t="s">
        <v>175</v>
      </c>
      <c r="C126" s="227" t="s">
        <v>253</v>
      </c>
      <c r="D126" s="228">
        <v>3000</v>
      </c>
      <c r="E126" s="228">
        <v>0</v>
      </c>
      <c r="F126" s="228">
        <v>332.65</v>
      </c>
      <c r="G126" s="228">
        <v>328.2</v>
      </c>
      <c r="H126" s="228">
        <v>4.45</v>
      </c>
      <c r="I126" s="229">
        <v>1.3599999999999999E-2</v>
      </c>
      <c r="J126" s="228">
        <v>330.25</v>
      </c>
      <c r="K126" s="228">
        <v>325.64999999999998</v>
      </c>
      <c r="L126" s="228">
        <v>4.5999999999999996</v>
      </c>
      <c r="M126" s="229">
        <v>1.41E-2</v>
      </c>
      <c r="N126" s="228">
        <v>330.9</v>
      </c>
      <c r="O126" s="228">
        <v>326.14999999999998</v>
      </c>
      <c r="P126" s="228">
        <v>4.75</v>
      </c>
      <c r="Q126" s="229">
        <v>1.46E-2</v>
      </c>
      <c r="R126" s="228">
        <v>332.65</v>
      </c>
      <c r="S126" s="228">
        <v>328.2</v>
      </c>
      <c r="T126" s="228">
        <v>4.45</v>
      </c>
      <c r="U126" s="229">
        <v>1.3599999999999999E-2</v>
      </c>
      <c r="V126" s="228">
        <v>333.85</v>
      </c>
      <c r="W126" s="228">
        <v>329.85</v>
      </c>
      <c r="X126" s="228">
        <v>4</v>
      </c>
      <c r="Y126" s="229">
        <v>1.21E-2</v>
      </c>
      <c r="Z126" s="228">
        <v>2.4</v>
      </c>
      <c r="AA126" s="228">
        <v>0.5</v>
      </c>
      <c r="AB126" s="228">
        <v>1.9</v>
      </c>
      <c r="AC126" s="229">
        <v>7.3000000000000001E-3</v>
      </c>
      <c r="AD126" s="228">
        <v>0.65</v>
      </c>
      <c r="AE126" s="228">
        <v>0.5</v>
      </c>
      <c r="AF126" s="228">
        <v>0.15</v>
      </c>
      <c r="AG126" s="229">
        <v>2E-3</v>
      </c>
      <c r="AH126" s="228">
        <v>2.4</v>
      </c>
      <c r="AI126" s="228">
        <v>2.5499999999999998</v>
      </c>
      <c r="AJ126" s="228">
        <v>-0.15</v>
      </c>
      <c r="AK126" s="229">
        <v>7.3000000000000001E-3</v>
      </c>
      <c r="AL126" s="228">
        <v>3.6</v>
      </c>
      <c r="AM126" s="228">
        <v>4.2</v>
      </c>
      <c r="AN126" s="228">
        <v>-0.6</v>
      </c>
      <c r="AO126" s="229">
        <v>1.09E-2</v>
      </c>
      <c r="AP126" s="228">
        <v>328.38</v>
      </c>
      <c r="AQ126" s="228">
        <v>330.96</v>
      </c>
      <c r="AR126" s="228">
        <v>0</v>
      </c>
      <c r="AS126" s="228">
        <v>649</v>
      </c>
      <c r="AT126" s="228">
        <v>825</v>
      </c>
      <c r="AU126" s="228">
        <v>-176</v>
      </c>
      <c r="AV126" s="229">
        <v>-0.21290000000000001</v>
      </c>
      <c r="AW126" s="228">
        <v>247</v>
      </c>
      <c r="AX126" s="228">
        <v>402</v>
      </c>
      <c r="AY126" s="228">
        <v>-154</v>
      </c>
      <c r="AZ126" s="229">
        <v>-0.38440000000000002</v>
      </c>
      <c r="BA126" s="228">
        <v>397</v>
      </c>
      <c r="BB126" s="228">
        <v>420</v>
      </c>
      <c r="BC126" s="228">
        <v>-23</v>
      </c>
      <c r="BD126" s="229">
        <v>-5.4399999999999997E-2</v>
      </c>
      <c r="BE126" s="228">
        <v>5</v>
      </c>
      <c r="BF126" s="228">
        <v>3</v>
      </c>
      <c r="BG126" s="228">
        <v>2</v>
      </c>
      <c r="BH126" s="229">
        <v>0.5484</v>
      </c>
      <c r="BI126" s="228">
        <v>488</v>
      </c>
      <c r="BJ126" s="228">
        <v>740</v>
      </c>
      <c r="BK126" s="228">
        <v>-252</v>
      </c>
      <c r="BL126" s="229">
        <v>-0.34079999999999999</v>
      </c>
      <c r="BM126" s="228">
        <v>217</v>
      </c>
      <c r="BN126" s="228">
        <v>334</v>
      </c>
      <c r="BO126" s="228">
        <v>-117</v>
      </c>
      <c r="BP126" s="229">
        <v>-0.34970000000000001</v>
      </c>
      <c r="BQ126" s="230">
        <v>1354</v>
      </c>
      <c r="BR126" s="230">
        <v>1899</v>
      </c>
      <c r="BS126" s="228">
        <v>-545</v>
      </c>
      <c r="BT126" s="229">
        <v>-0.2868</v>
      </c>
      <c r="BU126" s="230">
        <v>1980911</v>
      </c>
      <c r="BV126" s="230">
        <v>3315109</v>
      </c>
      <c r="BW126" s="230">
        <v>-1334198</v>
      </c>
      <c r="BX126" s="229">
        <v>-0.40250000000000002</v>
      </c>
      <c r="BY126" s="230">
        <v>1582</v>
      </c>
      <c r="BZ126" s="230">
        <v>1790</v>
      </c>
      <c r="CA126" s="228">
        <v>-208</v>
      </c>
      <c r="CB126" s="229">
        <v>-0.1163</v>
      </c>
      <c r="CC126" s="228">
        <v>220</v>
      </c>
      <c r="CD126" s="228">
        <v>342</v>
      </c>
      <c r="CE126" s="228">
        <v>-122</v>
      </c>
      <c r="CF126" s="229">
        <v>-0.35730000000000001</v>
      </c>
      <c r="CG126" s="230">
        <v>1575</v>
      </c>
      <c r="CH126" s="230">
        <v>1444</v>
      </c>
      <c r="CI126" s="228">
        <v>132</v>
      </c>
      <c r="CJ126" s="229">
        <v>9.1200000000000003E-2</v>
      </c>
      <c r="CK126" s="228">
        <v>6</v>
      </c>
      <c r="CL126" s="228">
        <v>5</v>
      </c>
      <c r="CM126" s="228">
        <v>2</v>
      </c>
      <c r="CN126" s="229">
        <v>0.41299999999999998</v>
      </c>
      <c r="CO126" s="228">
        <v>248</v>
      </c>
      <c r="CP126" s="228">
        <v>381</v>
      </c>
      <c r="CQ126" s="228">
        <v>-133</v>
      </c>
      <c r="CR126" s="229">
        <v>-0.3498</v>
      </c>
      <c r="CS126" s="228">
        <v>117</v>
      </c>
      <c r="CT126" s="228">
        <v>339</v>
      </c>
      <c r="CU126" s="228">
        <v>-222</v>
      </c>
      <c r="CV126" s="229">
        <v>-0.65549999999999997</v>
      </c>
      <c r="CW126" s="230">
        <v>1947</v>
      </c>
      <c r="CX126" s="230">
        <v>2510</v>
      </c>
      <c r="CY126" s="228">
        <v>-564</v>
      </c>
      <c r="CZ126" s="229">
        <v>-0.22450000000000001</v>
      </c>
      <c r="DA126" s="228">
        <v>30.03</v>
      </c>
      <c r="DB126" s="228">
        <v>33.21</v>
      </c>
      <c r="DC126" s="228">
        <v>-3.18</v>
      </c>
      <c r="DD126" s="228">
        <v>-3.18</v>
      </c>
      <c r="DE126" s="228">
        <v>42.75</v>
      </c>
      <c r="DF126" s="228">
        <v>42.82</v>
      </c>
      <c r="DG126" s="228">
        <v>-12.72</v>
      </c>
      <c r="DH126" s="228">
        <v>-7.0000000000000007E-2</v>
      </c>
      <c r="DI126" s="228">
        <v>29.11</v>
      </c>
      <c r="DJ126" s="228">
        <v>33.229999999999997</v>
      </c>
      <c r="DK126" s="228">
        <v>-4.12</v>
      </c>
      <c r="DL126" s="228">
        <v>-4.12</v>
      </c>
      <c r="DM126" s="228">
        <v>32.61</v>
      </c>
      <c r="DN126" s="228">
        <v>33.15</v>
      </c>
      <c r="DO126" s="228">
        <v>-0.54</v>
      </c>
      <c r="DP126" s="228">
        <v>-0.54</v>
      </c>
      <c r="DQ126" s="228">
        <v>0.47</v>
      </c>
      <c r="DR126" s="228">
        <v>0.89</v>
      </c>
      <c r="DS126" s="228">
        <v>-0.42</v>
      </c>
      <c r="DT126" s="229">
        <v>-0.47189999999999999</v>
      </c>
      <c r="DU126" s="228">
        <v>360</v>
      </c>
      <c r="DV126" s="228">
        <v>270</v>
      </c>
      <c r="DW126" s="228">
        <v>0.45</v>
      </c>
      <c r="DX126" s="228">
        <v>0.45</v>
      </c>
      <c r="DY126" s="228">
        <v>0</v>
      </c>
      <c r="DZ126" s="229">
        <v>0</v>
      </c>
      <c r="EA126" s="229">
        <v>0.878</v>
      </c>
      <c r="EB126" s="230">
        <v>43536000</v>
      </c>
      <c r="EC126" s="229">
        <v>5.3E-3</v>
      </c>
      <c r="ED126" s="229">
        <v>0.878</v>
      </c>
      <c r="EE126" s="228">
        <v>2.58</v>
      </c>
      <c r="EF126" s="229">
        <v>7.9000000000000008E-3</v>
      </c>
      <c r="EG126" s="230">
        <v>656349</v>
      </c>
      <c r="EH126" s="230">
        <v>1202642</v>
      </c>
      <c r="EI126" s="229">
        <v>-0.45419999999999999</v>
      </c>
      <c r="EJ126" s="229">
        <v>0.33129999999999998</v>
      </c>
      <c r="EK126" s="228">
        <v>507.89</v>
      </c>
      <c r="EL126" s="228">
        <v>203.85</v>
      </c>
      <c r="EM126" s="228">
        <v>644.16</v>
      </c>
      <c r="EN126" s="228">
        <v>84.83</v>
      </c>
      <c r="EO126" s="231">
        <v>1355.9</v>
      </c>
      <c r="EP126" s="231">
        <v>1889.52</v>
      </c>
      <c r="EQ126" s="228">
        <v>-533.63</v>
      </c>
      <c r="ER126" s="229">
        <v>-0.28239999999999998</v>
      </c>
      <c r="ES126" s="228">
        <v>253.43</v>
      </c>
      <c r="ET126" s="228">
        <v>108.28</v>
      </c>
      <c r="EU126" s="231">
        <v>1581.87</v>
      </c>
      <c r="EV126" s="231">
        <v>82205057</v>
      </c>
      <c r="EW126" s="231">
        <v>1943.59</v>
      </c>
      <c r="EX126" s="231">
        <v>2431.71</v>
      </c>
      <c r="EY126" s="228">
        <v>-488.12</v>
      </c>
      <c r="EZ126" s="229">
        <v>-0.20069999999999999</v>
      </c>
      <c r="FA126" s="229">
        <v>0.71179999999999999</v>
      </c>
      <c r="FB126" s="227" t="s">
        <v>691</v>
      </c>
      <c r="FC126">
        <f t="shared" si="1"/>
        <v>1362</v>
      </c>
    </row>
    <row r="127" spans="1:159" ht="17.25" thickBot="1" x14ac:dyDescent="0.3">
      <c r="A127" s="226">
        <v>46168</v>
      </c>
      <c r="B127" s="227" t="s">
        <v>170</v>
      </c>
      <c r="C127" s="227" t="s">
        <v>669</v>
      </c>
      <c r="D127" s="228">
        <v>225</v>
      </c>
      <c r="E127" s="228">
        <v>0</v>
      </c>
      <c r="F127" s="231">
        <v>2440.6</v>
      </c>
      <c r="G127" s="231">
        <v>2473.5</v>
      </c>
      <c r="H127" s="228">
        <v>-32.9</v>
      </c>
      <c r="I127" s="229">
        <v>-1.3299999999999999E-2</v>
      </c>
      <c r="J127" s="231">
        <v>2423.6</v>
      </c>
      <c r="K127" s="231">
        <v>2457.5</v>
      </c>
      <c r="L127" s="228">
        <v>-33.9</v>
      </c>
      <c r="M127" s="229">
        <v>-1.38E-2</v>
      </c>
      <c r="N127" s="231">
        <v>2424.9</v>
      </c>
      <c r="O127" s="231">
        <v>2461.4</v>
      </c>
      <c r="P127" s="228">
        <v>-36.5</v>
      </c>
      <c r="Q127" s="229">
        <v>-1.4800000000000001E-2</v>
      </c>
      <c r="R127" s="231">
        <v>2440.6</v>
      </c>
      <c r="S127" s="231">
        <v>2473.5</v>
      </c>
      <c r="T127" s="228">
        <v>-32.9</v>
      </c>
      <c r="U127" s="229">
        <v>-1.3299999999999999E-2</v>
      </c>
      <c r="V127" s="231">
        <v>2438.1</v>
      </c>
      <c r="W127" s="231">
        <v>2463</v>
      </c>
      <c r="X127" s="228">
        <v>-24.9</v>
      </c>
      <c r="Y127" s="229">
        <v>-1.01E-2</v>
      </c>
      <c r="Z127" s="228">
        <v>17</v>
      </c>
      <c r="AA127" s="228">
        <v>3.9</v>
      </c>
      <c r="AB127" s="228">
        <v>13.1</v>
      </c>
      <c r="AC127" s="229">
        <v>7.0000000000000001E-3</v>
      </c>
      <c r="AD127" s="228">
        <v>1.3</v>
      </c>
      <c r="AE127" s="228">
        <v>3.9</v>
      </c>
      <c r="AF127" s="228">
        <v>-2.6</v>
      </c>
      <c r="AG127" s="229">
        <v>5.0000000000000001E-4</v>
      </c>
      <c r="AH127" s="228">
        <v>17</v>
      </c>
      <c r="AI127" s="228">
        <v>16</v>
      </c>
      <c r="AJ127" s="228">
        <v>1</v>
      </c>
      <c r="AK127" s="229">
        <v>7.0000000000000001E-3</v>
      </c>
      <c r="AL127" s="228">
        <v>14.5</v>
      </c>
      <c r="AM127" s="228">
        <v>5.5</v>
      </c>
      <c r="AN127" s="228">
        <v>9</v>
      </c>
      <c r="AO127" s="229">
        <v>6.0000000000000001E-3</v>
      </c>
      <c r="AP127" s="231">
        <v>2427.09</v>
      </c>
      <c r="AQ127" s="231">
        <v>2443.85</v>
      </c>
      <c r="AR127" s="228">
        <v>0</v>
      </c>
      <c r="AS127" s="228">
        <v>270</v>
      </c>
      <c r="AT127" s="228">
        <v>568</v>
      </c>
      <c r="AU127" s="228">
        <v>-299</v>
      </c>
      <c r="AV127" s="229">
        <v>-0.5252</v>
      </c>
      <c r="AW127" s="228">
        <v>112</v>
      </c>
      <c r="AX127" s="228">
        <v>244</v>
      </c>
      <c r="AY127" s="228">
        <v>-132</v>
      </c>
      <c r="AZ127" s="229">
        <v>-0.54210000000000003</v>
      </c>
      <c r="BA127" s="228">
        <v>157</v>
      </c>
      <c r="BB127" s="228">
        <v>324</v>
      </c>
      <c r="BC127" s="228">
        <v>-166</v>
      </c>
      <c r="BD127" s="229">
        <v>-0.51329999999999998</v>
      </c>
      <c r="BE127" s="228">
        <v>1</v>
      </c>
      <c r="BF127" s="228">
        <v>1</v>
      </c>
      <c r="BG127" s="228">
        <v>0</v>
      </c>
      <c r="BH127" s="229">
        <v>-0.1875</v>
      </c>
      <c r="BI127" s="228">
        <v>229</v>
      </c>
      <c r="BJ127" s="228">
        <v>428</v>
      </c>
      <c r="BK127" s="228">
        <v>-199</v>
      </c>
      <c r="BL127" s="229">
        <v>-0.46539999999999998</v>
      </c>
      <c r="BM127" s="228">
        <v>223</v>
      </c>
      <c r="BN127" s="228">
        <v>316</v>
      </c>
      <c r="BO127" s="228">
        <v>-93</v>
      </c>
      <c r="BP127" s="229">
        <v>-0.2928</v>
      </c>
      <c r="BQ127" s="228">
        <v>722</v>
      </c>
      <c r="BR127" s="230">
        <v>1312</v>
      </c>
      <c r="BS127" s="228">
        <v>-590</v>
      </c>
      <c r="BT127" s="229">
        <v>-0.44969999999999999</v>
      </c>
      <c r="BU127" s="230">
        <v>1769252</v>
      </c>
      <c r="BV127" s="230">
        <v>666514</v>
      </c>
      <c r="BW127" s="230">
        <v>1102738</v>
      </c>
      <c r="BX127" s="229">
        <v>1.6545000000000001</v>
      </c>
      <c r="BY127" s="228">
        <v>887</v>
      </c>
      <c r="BZ127" s="228">
        <v>970</v>
      </c>
      <c r="CA127" s="228">
        <v>-84</v>
      </c>
      <c r="CB127" s="229">
        <v>-8.6199999999999999E-2</v>
      </c>
      <c r="CC127" s="228">
        <v>63</v>
      </c>
      <c r="CD127" s="228">
        <v>114</v>
      </c>
      <c r="CE127" s="228">
        <v>-52</v>
      </c>
      <c r="CF127" s="229">
        <v>-0.45219999999999999</v>
      </c>
      <c r="CG127" s="228">
        <v>883</v>
      </c>
      <c r="CH127" s="228">
        <v>853</v>
      </c>
      <c r="CI127" s="228">
        <v>30</v>
      </c>
      <c r="CJ127" s="229">
        <v>3.5000000000000003E-2</v>
      </c>
      <c r="CK127" s="228">
        <v>4</v>
      </c>
      <c r="CL127" s="228">
        <v>3</v>
      </c>
      <c r="CM127" s="228">
        <v>1</v>
      </c>
      <c r="CN127" s="229">
        <v>0.25</v>
      </c>
      <c r="CO127" s="228">
        <v>78</v>
      </c>
      <c r="CP127" s="228">
        <v>317</v>
      </c>
      <c r="CQ127" s="228">
        <v>-239</v>
      </c>
      <c r="CR127" s="229">
        <v>-0.75290000000000001</v>
      </c>
      <c r="CS127" s="228">
        <v>51</v>
      </c>
      <c r="CT127" s="228">
        <v>183</v>
      </c>
      <c r="CU127" s="228">
        <v>-132</v>
      </c>
      <c r="CV127" s="229">
        <v>-0.72270000000000001</v>
      </c>
      <c r="CW127" s="230">
        <v>1016</v>
      </c>
      <c r="CX127" s="230">
        <v>1470</v>
      </c>
      <c r="CY127" s="228">
        <v>-454</v>
      </c>
      <c r="CZ127" s="229">
        <v>-0.30909999999999999</v>
      </c>
      <c r="DA127" s="228">
        <v>29.61</v>
      </c>
      <c r="DB127" s="228">
        <v>30.53</v>
      </c>
      <c r="DC127" s="228">
        <v>-0.92</v>
      </c>
      <c r="DD127" s="228">
        <v>-0.92</v>
      </c>
      <c r="DE127" s="228">
        <v>33.9</v>
      </c>
      <c r="DF127" s="228">
        <v>33.93</v>
      </c>
      <c r="DG127" s="228">
        <v>-4.29</v>
      </c>
      <c r="DH127" s="228">
        <v>-0.03</v>
      </c>
      <c r="DI127" s="228">
        <v>29.77</v>
      </c>
      <c r="DJ127" s="228">
        <v>30.81</v>
      </c>
      <c r="DK127" s="228">
        <v>-1.04</v>
      </c>
      <c r="DL127" s="228">
        <v>-1.04</v>
      </c>
      <c r="DM127" s="228">
        <v>29.36</v>
      </c>
      <c r="DN127" s="228">
        <v>30.08</v>
      </c>
      <c r="DO127" s="228">
        <v>-0.72</v>
      </c>
      <c r="DP127" s="228">
        <v>-0.72</v>
      </c>
      <c r="DQ127" s="228">
        <v>0.65</v>
      </c>
      <c r="DR127" s="228">
        <v>0.57999999999999996</v>
      </c>
      <c r="DS127" s="228">
        <v>7.0000000000000007E-2</v>
      </c>
      <c r="DT127" s="229">
        <v>0.1207</v>
      </c>
      <c r="DU127" s="231">
        <v>2600</v>
      </c>
      <c r="DV127" s="231">
        <v>2300</v>
      </c>
      <c r="DW127" s="228">
        <v>0.98</v>
      </c>
      <c r="DX127" s="228">
        <v>0.74</v>
      </c>
      <c r="DY127" s="228">
        <v>0.24</v>
      </c>
      <c r="DZ127" s="229">
        <v>0.32429999999999998</v>
      </c>
      <c r="EA127" s="229">
        <v>0.93400000000000005</v>
      </c>
      <c r="EB127" s="230">
        <v>3507025</v>
      </c>
      <c r="EC127" s="229">
        <v>6.4999999999999997E-3</v>
      </c>
      <c r="ED127" s="229">
        <v>0.93400000000000005</v>
      </c>
      <c r="EE127" s="228">
        <v>16.760000000000002</v>
      </c>
      <c r="EF127" s="229">
        <v>6.8999999999999999E-3</v>
      </c>
      <c r="EG127" s="230">
        <v>1543040</v>
      </c>
      <c r="EH127" s="230">
        <v>370060</v>
      </c>
      <c r="EI127" s="229">
        <v>3.1697000000000002</v>
      </c>
      <c r="EJ127" s="229">
        <v>0.87209999999999999</v>
      </c>
      <c r="EK127" s="228">
        <v>237.55</v>
      </c>
      <c r="EL127" s="228">
        <v>222.51</v>
      </c>
      <c r="EM127" s="228">
        <v>269.57</v>
      </c>
      <c r="EN127" s="228">
        <v>154.63</v>
      </c>
      <c r="EO127" s="228">
        <v>729.64</v>
      </c>
      <c r="EP127" s="231">
        <v>1342.9</v>
      </c>
      <c r="EQ127" s="228">
        <v>-613.27</v>
      </c>
      <c r="ER127" s="229">
        <v>-0.45669999999999999</v>
      </c>
      <c r="ES127" s="228">
        <v>83.17</v>
      </c>
      <c r="ET127" s="228">
        <v>49.83</v>
      </c>
      <c r="EU127" s="228">
        <v>886.59</v>
      </c>
      <c r="EV127" s="231">
        <v>16926669</v>
      </c>
      <c r="EW127" s="231">
        <v>1019.59</v>
      </c>
      <c r="EX127" s="231">
        <v>1493.62</v>
      </c>
      <c r="EY127" s="228">
        <v>-474.03</v>
      </c>
      <c r="EZ127" s="229">
        <v>-0.31740000000000002</v>
      </c>
      <c r="FA127" s="229">
        <v>0.24579999999999999</v>
      </c>
      <c r="FB127" s="227" t="s">
        <v>567</v>
      </c>
      <c r="FC127">
        <f t="shared" si="1"/>
        <v>824</v>
      </c>
    </row>
    <row r="128" spans="1:159" ht="17.25" thickBot="1" x14ac:dyDescent="0.3">
      <c r="A128" s="226">
        <v>46168</v>
      </c>
      <c r="B128" s="227" t="s">
        <v>168</v>
      </c>
      <c r="C128" s="227" t="s">
        <v>254</v>
      </c>
      <c r="D128" s="228">
        <v>1200</v>
      </c>
      <c r="E128" s="228">
        <v>0</v>
      </c>
      <c r="F128" s="228">
        <v>834.35</v>
      </c>
      <c r="G128" s="228">
        <v>827.8</v>
      </c>
      <c r="H128" s="228">
        <v>6.55</v>
      </c>
      <c r="I128" s="229">
        <v>7.9000000000000008E-3</v>
      </c>
      <c r="J128" s="228">
        <v>830</v>
      </c>
      <c r="K128" s="228">
        <v>823.35</v>
      </c>
      <c r="L128" s="228">
        <v>6.65</v>
      </c>
      <c r="M128" s="229">
        <v>8.0999999999999996E-3</v>
      </c>
      <c r="N128" s="228">
        <v>830.35</v>
      </c>
      <c r="O128" s="228">
        <v>822.35</v>
      </c>
      <c r="P128" s="228">
        <v>8</v>
      </c>
      <c r="Q128" s="229">
        <v>9.7000000000000003E-3</v>
      </c>
      <c r="R128" s="228">
        <v>834.35</v>
      </c>
      <c r="S128" s="228">
        <v>827.8</v>
      </c>
      <c r="T128" s="228">
        <v>6.55</v>
      </c>
      <c r="U128" s="229">
        <v>7.9000000000000008E-3</v>
      </c>
      <c r="V128" s="228">
        <v>839.3</v>
      </c>
      <c r="W128" s="228">
        <v>831.75</v>
      </c>
      <c r="X128" s="228">
        <v>7.55</v>
      </c>
      <c r="Y128" s="229">
        <v>9.1000000000000004E-3</v>
      </c>
      <c r="Z128" s="228">
        <v>4.3499999999999996</v>
      </c>
      <c r="AA128" s="228">
        <v>-1</v>
      </c>
      <c r="AB128" s="228">
        <v>5.35</v>
      </c>
      <c r="AC128" s="229">
        <v>5.1999999999999998E-3</v>
      </c>
      <c r="AD128" s="228">
        <v>0.35</v>
      </c>
      <c r="AE128" s="228">
        <v>-1</v>
      </c>
      <c r="AF128" s="228">
        <v>1.35</v>
      </c>
      <c r="AG128" s="229">
        <v>4.0000000000000002E-4</v>
      </c>
      <c r="AH128" s="228">
        <v>4.3499999999999996</v>
      </c>
      <c r="AI128" s="228">
        <v>4.45</v>
      </c>
      <c r="AJ128" s="228">
        <v>-0.1</v>
      </c>
      <c r="AK128" s="229">
        <v>5.1999999999999998E-3</v>
      </c>
      <c r="AL128" s="228">
        <v>9.3000000000000007</v>
      </c>
      <c r="AM128" s="228">
        <v>8.4</v>
      </c>
      <c r="AN128" s="228">
        <v>0.9</v>
      </c>
      <c r="AO128" s="229">
        <v>1.12E-2</v>
      </c>
      <c r="AP128" s="228">
        <v>829.19</v>
      </c>
      <c r="AQ128" s="228">
        <v>833.11</v>
      </c>
      <c r="AR128" s="228">
        <v>0</v>
      </c>
      <c r="AS128" s="228">
        <v>548</v>
      </c>
      <c r="AT128" s="228">
        <v>878</v>
      </c>
      <c r="AU128" s="228">
        <v>-331</v>
      </c>
      <c r="AV128" s="229">
        <v>-0.3765</v>
      </c>
      <c r="AW128" s="228">
        <v>279</v>
      </c>
      <c r="AX128" s="228">
        <v>452</v>
      </c>
      <c r="AY128" s="228">
        <v>-173</v>
      </c>
      <c r="AZ128" s="229">
        <v>-0.3826</v>
      </c>
      <c r="BA128" s="228">
        <v>268</v>
      </c>
      <c r="BB128" s="228">
        <v>424</v>
      </c>
      <c r="BC128" s="228">
        <v>-156</v>
      </c>
      <c r="BD128" s="229">
        <v>-0.36890000000000001</v>
      </c>
      <c r="BE128" s="228">
        <v>1</v>
      </c>
      <c r="BF128" s="228">
        <v>2</v>
      </c>
      <c r="BG128" s="228">
        <v>-1</v>
      </c>
      <c r="BH128" s="229">
        <v>-0.59089999999999998</v>
      </c>
      <c r="BI128" s="228">
        <v>176</v>
      </c>
      <c r="BJ128" s="228">
        <v>295</v>
      </c>
      <c r="BK128" s="228">
        <v>-120</v>
      </c>
      <c r="BL128" s="229">
        <v>-0.40489999999999998</v>
      </c>
      <c r="BM128" s="228">
        <v>130</v>
      </c>
      <c r="BN128" s="228">
        <v>257</v>
      </c>
      <c r="BO128" s="228">
        <v>-126</v>
      </c>
      <c r="BP128" s="229">
        <v>-0.4914</v>
      </c>
      <c r="BQ128" s="228">
        <v>854</v>
      </c>
      <c r="BR128" s="230">
        <v>1430</v>
      </c>
      <c r="BS128" s="228">
        <v>-576</v>
      </c>
      <c r="BT128" s="229">
        <v>-0.40300000000000002</v>
      </c>
      <c r="BU128" s="230">
        <v>2592553</v>
      </c>
      <c r="BV128" s="230">
        <v>1160606</v>
      </c>
      <c r="BW128" s="230">
        <v>1431947</v>
      </c>
      <c r="BX128" s="229">
        <v>1.2338</v>
      </c>
      <c r="BY128" s="230">
        <v>1473</v>
      </c>
      <c r="BZ128" s="230">
        <v>1509</v>
      </c>
      <c r="CA128" s="228">
        <v>-36</v>
      </c>
      <c r="CB128" s="229">
        <v>-2.3900000000000001E-2</v>
      </c>
      <c r="CC128" s="228">
        <v>54</v>
      </c>
      <c r="CD128" s="228">
        <v>119</v>
      </c>
      <c r="CE128" s="228">
        <v>-65</v>
      </c>
      <c r="CF128" s="229">
        <v>-0.54830000000000001</v>
      </c>
      <c r="CG128" s="230">
        <v>1464</v>
      </c>
      <c r="CH128" s="230">
        <v>1382</v>
      </c>
      <c r="CI128" s="228">
        <v>83</v>
      </c>
      <c r="CJ128" s="229">
        <v>5.9900000000000002E-2</v>
      </c>
      <c r="CK128" s="228">
        <v>9</v>
      </c>
      <c r="CL128" s="228">
        <v>8</v>
      </c>
      <c r="CM128" s="228">
        <v>1</v>
      </c>
      <c r="CN128" s="229">
        <v>6.0999999999999999E-2</v>
      </c>
      <c r="CO128" s="228">
        <v>62</v>
      </c>
      <c r="CP128" s="228">
        <v>469</v>
      </c>
      <c r="CQ128" s="228">
        <v>-407</v>
      </c>
      <c r="CR128" s="229">
        <v>-0.86729999999999996</v>
      </c>
      <c r="CS128" s="228">
        <v>55</v>
      </c>
      <c r="CT128" s="228">
        <v>324</v>
      </c>
      <c r="CU128" s="228">
        <v>-269</v>
      </c>
      <c r="CV128" s="229">
        <v>-0.82920000000000005</v>
      </c>
      <c r="CW128" s="230">
        <v>1591</v>
      </c>
      <c r="CX128" s="230">
        <v>2302</v>
      </c>
      <c r="CY128" s="228">
        <v>-712</v>
      </c>
      <c r="CZ128" s="229">
        <v>-0.30909999999999999</v>
      </c>
      <c r="DA128" s="228">
        <v>19.440000000000001</v>
      </c>
      <c r="DB128" s="228">
        <v>20.07</v>
      </c>
      <c r="DC128" s="228">
        <v>-0.63</v>
      </c>
      <c r="DD128" s="228">
        <v>-0.63</v>
      </c>
      <c r="DE128" s="228">
        <v>24.22</v>
      </c>
      <c r="DF128" s="228">
        <v>24.26</v>
      </c>
      <c r="DG128" s="228">
        <v>-4.78</v>
      </c>
      <c r="DH128" s="228">
        <v>-0.04</v>
      </c>
      <c r="DI128" s="228">
        <v>19.239999999999998</v>
      </c>
      <c r="DJ128" s="228">
        <v>20.100000000000001</v>
      </c>
      <c r="DK128" s="228">
        <v>-0.86</v>
      </c>
      <c r="DL128" s="228">
        <v>-0.86</v>
      </c>
      <c r="DM128" s="228">
        <v>19.71</v>
      </c>
      <c r="DN128" s="228">
        <v>20.04</v>
      </c>
      <c r="DO128" s="228">
        <v>-0.33</v>
      </c>
      <c r="DP128" s="228">
        <v>-0.33</v>
      </c>
      <c r="DQ128" s="228">
        <v>0.89</v>
      </c>
      <c r="DR128" s="228">
        <v>0.69</v>
      </c>
      <c r="DS128" s="228">
        <v>0.2</v>
      </c>
      <c r="DT128" s="229">
        <v>0.28989999999999999</v>
      </c>
      <c r="DU128" s="228">
        <v>870</v>
      </c>
      <c r="DV128" s="228">
        <v>790</v>
      </c>
      <c r="DW128" s="228">
        <v>0.74</v>
      </c>
      <c r="DX128" s="228">
        <v>0.87</v>
      </c>
      <c r="DY128" s="228">
        <v>-0.13</v>
      </c>
      <c r="DZ128" s="229">
        <v>-0.14940000000000001</v>
      </c>
      <c r="EA128" s="229">
        <v>0.9647</v>
      </c>
      <c r="EB128" s="230">
        <v>16657200</v>
      </c>
      <c r="EC128" s="229">
        <v>4.7999999999999996E-3</v>
      </c>
      <c r="ED128" s="229">
        <v>0.9647</v>
      </c>
      <c r="EE128" s="228">
        <v>3.92</v>
      </c>
      <c r="EF128" s="229">
        <v>4.7000000000000002E-3</v>
      </c>
      <c r="EG128" s="230">
        <v>1722825</v>
      </c>
      <c r="EH128" s="230">
        <v>647606</v>
      </c>
      <c r="EI128" s="229">
        <v>1.6603000000000001</v>
      </c>
      <c r="EJ128" s="229">
        <v>0.66449999999999998</v>
      </c>
      <c r="EK128" s="228">
        <v>180.63</v>
      </c>
      <c r="EL128" s="228">
        <v>127.34</v>
      </c>
      <c r="EM128" s="228">
        <v>545.54999999999995</v>
      </c>
      <c r="EN128" s="228">
        <v>67.22</v>
      </c>
      <c r="EO128" s="228">
        <v>853.51</v>
      </c>
      <c r="EP128" s="231">
        <v>1413.49</v>
      </c>
      <c r="EQ128" s="228">
        <v>-559.98</v>
      </c>
      <c r="ER128" s="229">
        <v>-0.3962</v>
      </c>
      <c r="ES128" s="228">
        <v>63.94</v>
      </c>
      <c r="ET128" s="228">
        <v>53.19</v>
      </c>
      <c r="EU128" s="231">
        <v>1473.05</v>
      </c>
      <c r="EV128" s="231">
        <v>77572761</v>
      </c>
      <c r="EW128" s="231">
        <v>1590.18</v>
      </c>
      <c r="EX128" s="231">
        <v>2278.36</v>
      </c>
      <c r="EY128" s="228">
        <v>-688.18</v>
      </c>
      <c r="EZ128" s="229">
        <v>-0.30209999999999998</v>
      </c>
      <c r="FA128" s="229">
        <v>0.24579999999999999</v>
      </c>
      <c r="FB128" s="227" t="s">
        <v>691</v>
      </c>
      <c r="FC128">
        <f t="shared" si="1"/>
        <v>1419</v>
      </c>
    </row>
    <row r="129" spans="1:159" ht="17.25" thickBot="1" x14ac:dyDescent="0.3">
      <c r="A129" s="226">
        <v>46168</v>
      </c>
      <c r="B129" s="227" t="s">
        <v>162</v>
      </c>
      <c r="C129" s="227" t="s">
        <v>255</v>
      </c>
      <c r="D129" s="228">
        <v>50</v>
      </c>
      <c r="E129" s="228">
        <v>0</v>
      </c>
      <c r="F129" s="231">
        <v>13279</v>
      </c>
      <c r="G129" s="231">
        <v>13270</v>
      </c>
      <c r="H129" s="228">
        <v>9</v>
      </c>
      <c r="I129" s="229">
        <v>6.9999999999999999E-4</v>
      </c>
      <c r="J129" s="231">
        <v>13208</v>
      </c>
      <c r="K129" s="231">
        <v>13170</v>
      </c>
      <c r="L129" s="228">
        <v>38</v>
      </c>
      <c r="M129" s="229">
        <v>2.8999999999999998E-3</v>
      </c>
      <c r="N129" s="231">
        <v>13176</v>
      </c>
      <c r="O129" s="231">
        <v>13181</v>
      </c>
      <c r="P129" s="228">
        <v>-5</v>
      </c>
      <c r="Q129" s="229">
        <v>-4.0000000000000002E-4</v>
      </c>
      <c r="R129" s="231">
        <v>13279</v>
      </c>
      <c r="S129" s="231">
        <v>13270</v>
      </c>
      <c r="T129" s="228">
        <v>9</v>
      </c>
      <c r="U129" s="229">
        <v>6.9999999999999999E-4</v>
      </c>
      <c r="V129" s="231">
        <v>13366</v>
      </c>
      <c r="W129" s="231">
        <v>13348</v>
      </c>
      <c r="X129" s="228">
        <v>18</v>
      </c>
      <c r="Y129" s="229">
        <v>1.2999999999999999E-3</v>
      </c>
      <c r="Z129" s="228">
        <v>71</v>
      </c>
      <c r="AA129" s="228">
        <v>11</v>
      </c>
      <c r="AB129" s="228">
        <v>60</v>
      </c>
      <c r="AC129" s="229">
        <v>5.4000000000000003E-3</v>
      </c>
      <c r="AD129" s="228">
        <v>-32</v>
      </c>
      <c r="AE129" s="228">
        <v>11</v>
      </c>
      <c r="AF129" s="228">
        <v>-43</v>
      </c>
      <c r="AG129" s="229">
        <v>-2.3999999999999998E-3</v>
      </c>
      <c r="AH129" s="228">
        <v>71</v>
      </c>
      <c r="AI129" s="228">
        <v>100</v>
      </c>
      <c r="AJ129" s="228">
        <v>-29</v>
      </c>
      <c r="AK129" s="229">
        <v>5.4000000000000003E-3</v>
      </c>
      <c r="AL129" s="228">
        <v>158</v>
      </c>
      <c r="AM129" s="228">
        <v>178</v>
      </c>
      <c r="AN129" s="228">
        <v>-20</v>
      </c>
      <c r="AO129" s="229">
        <v>1.2E-2</v>
      </c>
      <c r="AP129" s="231">
        <v>13223.23</v>
      </c>
      <c r="AQ129" s="231">
        <v>13331.49</v>
      </c>
      <c r="AR129" s="228">
        <v>0</v>
      </c>
      <c r="AS129" s="228">
        <v>888</v>
      </c>
      <c r="AT129" s="230">
        <v>2287</v>
      </c>
      <c r="AU129" s="230">
        <v>-1400</v>
      </c>
      <c r="AV129" s="229">
        <v>-0.6119</v>
      </c>
      <c r="AW129" s="228">
        <v>366</v>
      </c>
      <c r="AX129" s="230">
        <v>1073</v>
      </c>
      <c r="AY129" s="228">
        <v>-708</v>
      </c>
      <c r="AZ129" s="229">
        <v>-0.6593</v>
      </c>
      <c r="BA129" s="228">
        <v>513</v>
      </c>
      <c r="BB129" s="230">
        <v>1201</v>
      </c>
      <c r="BC129" s="228">
        <v>-689</v>
      </c>
      <c r="BD129" s="229">
        <v>-0.57310000000000005</v>
      </c>
      <c r="BE129" s="228">
        <v>9</v>
      </c>
      <c r="BF129" s="228">
        <v>12</v>
      </c>
      <c r="BG129" s="228">
        <v>-3</v>
      </c>
      <c r="BH129" s="229">
        <v>-0.27660000000000001</v>
      </c>
      <c r="BI129" s="230">
        <v>3904</v>
      </c>
      <c r="BJ129" s="230">
        <v>5978</v>
      </c>
      <c r="BK129" s="230">
        <v>-2074</v>
      </c>
      <c r="BL129" s="229">
        <v>-0.34689999999999999</v>
      </c>
      <c r="BM129" s="230">
        <v>1756</v>
      </c>
      <c r="BN129" s="230">
        <v>2843</v>
      </c>
      <c r="BO129" s="230">
        <v>-1087</v>
      </c>
      <c r="BP129" s="229">
        <v>-0.38240000000000002</v>
      </c>
      <c r="BQ129" s="230">
        <v>6548</v>
      </c>
      <c r="BR129" s="230">
        <v>11109</v>
      </c>
      <c r="BS129" s="230">
        <v>-4561</v>
      </c>
      <c r="BT129" s="229">
        <v>-0.41060000000000002</v>
      </c>
      <c r="BU129" s="230">
        <v>272017</v>
      </c>
      <c r="BV129" s="230">
        <v>305602</v>
      </c>
      <c r="BW129" s="230">
        <v>-33585</v>
      </c>
      <c r="BX129" s="229">
        <v>-0.1099</v>
      </c>
      <c r="BY129" s="230">
        <v>4134</v>
      </c>
      <c r="BZ129" s="230">
        <v>4299</v>
      </c>
      <c r="CA129" s="228">
        <v>-165</v>
      </c>
      <c r="CB129" s="229">
        <v>-3.8399999999999997E-2</v>
      </c>
      <c r="CC129" s="228">
        <v>242</v>
      </c>
      <c r="CD129" s="228">
        <v>362</v>
      </c>
      <c r="CE129" s="228">
        <v>-119</v>
      </c>
      <c r="CF129" s="229">
        <v>-0.32929999999999998</v>
      </c>
      <c r="CG129" s="230">
        <v>3782</v>
      </c>
      <c r="CH129" s="230">
        <v>3588</v>
      </c>
      <c r="CI129" s="228">
        <v>195</v>
      </c>
      <c r="CJ129" s="229">
        <v>5.4199999999999998E-2</v>
      </c>
      <c r="CK129" s="228">
        <v>351</v>
      </c>
      <c r="CL129" s="228">
        <v>349</v>
      </c>
      <c r="CM129" s="228">
        <v>2</v>
      </c>
      <c r="CN129" s="229">
        <v>5.4999999999999997E-3</v>
      </c>
      <c r="CO129" s="228">
        <v>716</v>
      </c>
      <c r="CP129" s="230">
        <v>3319</v>
      </c>
      <c r="CQ129" s="230">
        <v>-2603</v>
      </c>
      <c r="CR129" s="229">
        <v>-0.78420000000000001</v>
      </c>
      <c r="CS129" s="228">
        <v>514</v>
      </c>
      <c r="CT129" s="230">
        <v>1413</v>
      </c>
      <c r="CU129" s="228">
        <v>-899</v>
      </c>
      <c r="CV129" s="229">
        <v>-0.63590000000000002</v>
      </c>
      <c r="CW129" s="230">
        <v>5364</v>
      </c>
      <c r="CX129" s="230">
        <v>9031</v>
      </c>
      <c r="CY129" s="230">
        <v>-3667</v>
      </c>
      <c r="CZ129" s="229">
        <v>-0.40600000000000003</v>
      </c>
      <c r="DA129" s="228">
        <v>22.99</v>
      </c>
      <c r="DB129" s="228">
        <v>23.75</v>
      </c>
      <c r="DC129" s="228">
        <v>-0.76</v>
      </c>
      <c r="DD129" s="228">
        <v>-0.76</v>
      </c>
      <c r="DE129" s="228">
        <v>28.52</v>
      </c>
      <c r="DF129" s="228">
        <v>28.59</v>
      </c>
      <c r="DG129" s="228">
        <v>-5.53</v>
      </c>
      <c r="DH129" s="228">
        <v>-7.0000000000000007E-2</v>
      </c>
      <c r="DI129" s="228">
        <v>22.54</v>
      </c>
      <c r="DJ129" s="228">
        <v>23.68</v>
      </c>
      <c r="DK129" s="228">
        <v>-1.1399999999999999</v>
      </c>
      <c r="DL129" s="228">
        <v>-1.1399999999999999</v>
      </c>
      <c r="DM129" s="228">
        <v>23.96</v>
      </c>
      <c r="DN129" s="228">
        <v>23.89</v>
      </c>
      <c r="DO129" s="228">
        <v>7.0000000000000007E-2</v>
      </c>
      <c r="DP129" s="228">
        <v>7.0000000000000007E-2</v>
      </c>
      <c r="DQ129" s="228">
        <v>0.72</v>
      </c>
      <c r="DR129" s="228">
        <v>0.43</v>
      </c>
      <c r="DS129" s="228">
        <v>0.28999999999999998</v>
      </c>
      <c r="DT129" s="229">
        <v>0.6744</v>
      </c>
      <c r="DU129" s="231">
        <v>13500</v>
      </c>
      <c r="DV129" s="231">
        <v>12500</v>
      </c>
      <c r="DW129" s="228">
        <v>0.45</v>
      </c>
      <c r="DX129" s="228">
        <v>0.48</v>
      </c>
      <c r="DY129" s="228">
        <v>-0.03</v>
      </c>
      <c r="DZ129" s="229">
        <v>-6.25E-2</v>
      </c>
      <c r="EA129" s="229">
        <v>0.9446</v>
      </c>
      <c r="EB129" s="230">
        <v>2964850</v>
      </c>
      <c r="EC129" s="229">
        <v>7.7999999999999996E-3</v>
      </c>
      <c r="ED129" s="229">
        <v>0.9446</v>
      </c>
      <c r="EE129" s="228">
        <v>108.26</v>
      </c>
      <c r="EF129" s="229">
        <v>8.2000000000000007E-3</v>
      </c>
      <c r="EG129" s="230">
        <v>136287</v>
      </c>
      <c r="EH129" s="230">
        <v>161508</v>
      </c>
      <c r="EI129" s="229">
        <v>-0.15620000000000001</v>
      </c>
      <c r="EJ129" s="229">
        <v>0.501</v>
      </c>
      <c r="EK129" s="231">
        <v>4017.09</v>
      </c>
      <c r="EL129" s="231">
        <v>1725.07</v>
      </c>
      <c r="EM129" s="228">
        <v>888.09</v>
      </c>
      <c r="EN129" s="228">
        <v>223.72</v>
      </c>
      <c r="EO129" s="231">
        <v>6630.25</v>
      </c>
      <c r="EP129" s="231">
        <v>11177.8</v>
      </c>
      <c r="EQ129" s="231">
        <v>-4547.55</v>
      </c>
      <c r="ER129" s="229">
        <v>-0.40679999999999999</v>
      </c>
      <c r="ES129" s="228">
        <v>745.35</v>
      </c>
      <c r="ET129" s="228">
        <v>501.5</v>
      </c>
      <c r="EU129" s="231">
        <v>4135.8500000000004</v>
      </c>
      <c r="EV129" s="231">
        <v>19673414</v>
      </c>
      <c r="EW129" s="231">
        <v>5382.71</v>
      </c>
      <c r="EX129" s="231">
        <v>9141.07</v>
      </c>
      <c r="EY129" s="231">
        <v>-3758.36</v>
      </c>
      <c r="EZ129" s="229">
        <v>-0.41120000000000001</v>
      </c>
      <c r="FA129" s="229">
        <v>0.20530000000000001</v>
      </c>
      <c r="FB129" s="227" t="s">
        <v>691</v>
      </c>
      <c r="FC129">
        <f t="shared" si="1"/>
        <v>3892</v>
      </c>
    </row>
    <row r="130" spans="1:159" ht="17.25" thickBot="1" x14ac:dyDescent="0.3">
      <c r="A130" s="226">
        <v>46168</v>
      </c>
      <c r="B130" s="227" t="s">
        <v>170</v>
      </c>
      <c r="C130" s="227" t="s">
        <v>602</v>
      </c>
      <c r="D130" s="228">
        <v>525</v>
      </c>
      <c r="E130" s="228">
        <v>0</v>
      </c>
      <c r="F130" s="231">
        <v>1000</v>
      </c>
      <c r="G130" s="231">
        <v>1008.25</v>
      </c>
      <c r="H130" s="228">
        <v>-8.25</v>
      </c>
      <c r="I130" s="229">
        <v>-8.2000000000000007E-3</v>
      </c>
      <c r="J130" s="228">
        <v>993.95</v>
      </c>
      <c r="K130" s="231">
        <v>1000.85</v>
      </c>
      <c r="L130" s="228">
        <v>-6.9</v>
      </c>
      <c r="M130" s="229">
        <v>-6.8999999999999999E-3</v>
      </c>
      <c r="N130" s="228">
        <v>996.9</v>
      </c>
      <c r="O130" s="231">
        <v>1004.35</v>
      </c>
      <c r="P130" s="228">
        <v>-7.45</v>
      </c>
      <c r="Q130" s="229">
        <v>-7.4000000000000003E-3</v>
      </c>
      <c r="R130" s="231">
        <v>1000</v>
      </c>
      <c r="S130" s="231">
        <v>1008.25</v>
      </c>
      <c r="T130" s="228">
        <v>-8.25</v>
      </c>
      <c r="U130" s="229">
        <v>-8.2000000000000007E-3</v>
      </c>
      <c r="V130" s="231">
        <v>1004.15</v>
      </c>
      <c r="W130" s="231">
        <v>1012.35</v>
      </c>
      <c r="X130" s="228">
        <v>-8.1999999999999993</v>
      </c>
      <c r="Y130" s="229">
        <v>-8.0999999999999996E-3</v>
      </c>
      <c r="Z130" s="228">
        <v>6.05</v>
      </c>
      <c r="AA130" s="228">
        <v>3.5</v>
      </c>
      <c r="AB130" s="228">
        <v>2.5499999999999998</v>
      </c>
      <c r="AC130" s="229">
        <v>6.1000000000000004E-3</v>
      </c>
      <c r="AD130" s="228">
        <v>2.95</v>
      </c>
      <c r="AE130" s="228">
        <v>3.5</v>
      </c>
      <c r="AF130" s="228">
        <v>-0.55000000000000004</v>
      </c>
      <c r="AG130" s="229">
        <v>3.0000000000000001E-3</v>
      </c>
      <c r="AH130" s="228">
        <v>6.05</v>
      </c>
      <c r="AI130" s="228">
        <v>7.4</v>
      </c>
      <c r="AJ130" s="228">
        <v>-1.35</v>
      </c>
      <c r="AK130" s="229">
        <v>6.1000000000000004E-3</v>
      </c>
      <c r="AL130" s="228">
        <v>10.199999999999999</v>
      </c>
      <c r="AM130" s="228">
        <v>11.5</v>
      </c>
      <c r="AN130" s="228">
        <v>-1.3</v>
      </c>
      <c r="AO130" s="229">
        <v>1.03E-2</v>
      </c>
      <c r="AP130" s="228">
        <v>995.85</v>
      </c>
      <c r="AQ130" s="231">
        <v>1001.54</v>
      </c>
      <c r="AR130" s="228">
        <v>0</v>
      </c>
      <c r="AS130" s="228">
        <v>399</v>
      </c>
      <c r="AT130" s="228">
        <v>795</v>
      </c>
      <c r="AU130" s="228">
        <v>-395</v>
      </c>
      <c r="AV130" s="229">
        <v>-0.49769999999999998</v>
      </c>
      <c r="AW130" s="228">
        <v>133</v>
      </c>
      <c r="AX130" s="228">
        <v>342</v>
      </c>
      <c r="AY130" s="228">
        <v>-209</v>
      </c>
      <c r="AZ130" s="229">
        <v>-0.61109999999999998</v>
      </c>
      <c r="BA130" s="228">
        <v>262</v>
      </c>
      <c r="BB130" s="228">
        <v>445</v>
      </c>
      <c r="BC130" s="228">
        <v>-184</v>
      </c>
      <c r="BD130" s="229">
        <v>-0.4123</v>
      </c>
      <c r="BE130" s="228">
        <v>5</v>
      </c>
      <c r="BF130" s="228">
        <v>8</v>
      </c>
      <c r="BG130" s="228">
        <v>-3</v>
      </c>
      <c r="BH130" s="229">
        <v>-0.40939999999999999</v>
      </c>
      <c r="BI130" s="228">
        <v>697</v>
      </c>
      <c r="BJ130" s="230">
        <v>1958</v>
      </c>
      <c r="BK130" s="230">
        <v>-1262</v>
      </c>
      <c r="BL130" s="229">
        <v>-0.64429999999999998</v>
      </c>
      <c r="BM130" s="228">
        <v>384</v>
      </c>
      <c r="BN130" s="230">
        <v>1213</v>
      </c>
      <c r="BO130" s="228">
        <v>-830</v>
      </c>
      <c r="BP130" s="229">
        <v>-0.68359999999999999</v>
      </c>
      <c r="BQ130" s="230">
        <v>1480</v>
      </c>
      <c r="BR130" s="230">
        <v>3966</v>
      </c>
      <c r="BS130" s="230">
        <v>-2487</v>
      </c>
      <c r="BT130" s="229">
        <v>-0.62690000000000001</v>
      </c>
      <c r="BU130" s="230">
        <v>2672933</v>
      </c>
      <c r="BV130" s="230">
        <v>4327985</v>
      </c>
      <c r="BW130" s="230">
        <v>-1655052</v>
      </c>
      <c r="BX130" s="229">
        <v>-0.38240000000000002</v>
      </c>
      <c r="BY130" s="230">
        <v>1374</v>
      </c>
      <c r="BZ130" s="230">
        <v>1469</v>
      </c>
      <c r="CA130" s="228">
        <v>-95</v>
      </c>
      <c r="CB130" s="229">
        <v>-6.4699999999999994E-2</v>
      </c>
      <c r="CC130" s="228">
        <v>124</v>
      </c>
      <c r="CD130" s="228">
        <v>190</v>
      </c>
      <c r="CE130" s="228">
        <v>-66</v>
      </c>
      <c r="CF130" s="229">
        <v>-0.34560000000000002</v>
      </c>
      <c r="CG130" s="230">
        <v>1359</v>
      </c>
      <c r="CH130" s="230">
        <v>1266</v>
      </c>
      <c r="CI130" s="228">
        <v>92</v>
      </c>
      <c r="CJ130" s="229">
        <v>7.2999999999999995E-2</v>
      </c>
      <c r="CK130" s="228">
        <v>16</v>
      </c>
      <c r="CL130" s="228">
        <v>13</v>
      </c>
      <c r="CM130" s="228">
        <v>2</v>
      </c>
      <c r="CN130" s="229">
        <v>0.15179999999999999</v>
      </c>
      <c r="CO130" s="228">
        <v>454</v>
      </c>
      <c r="CP130" s="228">
        <v>793</v>
      </c>
      <c r="CQ130" s="228">
        <v>-339</v>
      </c>
      <c r="CR130" s="229">
        <v>-0.4274</v>
      </c>
      <c r="CS130" s="228">
        <v>193</v>
      </c>
      <c r="CT130" s="228">
        <v>368</v>
      </c>
      <c r="CU130" s="228">
        <v>-175</v>
      </c>
      <c r="CV130" s="229">
        <v>-0.47549999999999998</v>
      </c>
      <c r="CW130" s="230">
        <v>2021</v>
      </c>
      <c r="CX130" s="230">
        <v>2630</v>
      </c>
      <c r="CY130" s="228">
        <v>-609</v>
      </c>
      <c r="CZ130" s="229">
        <v>-0.23150000000000001</v>
      </c>
      <c r="DA130" s="228">
        <v>27.78</v>
      </c>
      <c r="DB130" s="228">
        <v>29.08</v>
      </c>
      <c r="DC130" s="228">
        <v>-1.3</v>
      </c>
      <c r="DD130" s="228">
        <v>-1.3</v>
      </c>
      <c r="DE130" s="228">
        <v>36.04</v>
      </c>
      <c r="DF130" s="228">
        <v>36.119999999999997</v>
      </c>
      <c r="DG130" s="228">
        <v>-8.26</v>
      </c>
      <c r="DH130" s="228">
        <v>-0.08</v>
      </c>
      <c r="DI130" s="228">
        <v>27.61</v>
      </c>
      <c r="DJ130" s="228">
        <v>28.98</v>
      </c>
      <c r="DK130" s="228">
        <v>-1.37</v>
      </c>
      <c r="DL130" s="228">
        <v>-1.37</v>
      </c>
      <c r="DM130" s="228">
        <v>28.16</v>
      </c>
      <c r="DN130" s="228">
        <v>29.29</v>
      </c>
      <c r="DO130" s="228">
        <v>-1.1299999999999999</v>
      </c>
      <c r="DP130" s="228">
        <v>-1.1299999999999999</v>
      </c>
      <c r="DQ130" s="228">
        <v>0.42</v>
      </c>
      <c r="DR130" s="228">
        <v>0.46</v>
      </c>
      <c r="DS130" s="228">
        <v>-0.04</v>
      </c>
      <c r="DT130" s="229">
        <v>-8.6999999999999994E-2</v>
      </c>
      <c r="DU130" s="231">
        <v>1100</v>
      </c>
      <c r="DV130" s="231">
        <v>1000</v>
      </c>
      <c r="DW130" s="228">
        <v>0.55000000000000004</v>
      </c>
      <c r="DX130" s="228">
        <v>0.62</v>
      </c>
      <c r="DY130" s="228">
        <v>-7.0000000000000007E-2</v>
      </c>
      <c r="DZ130" s="229">
        <v>-0.1129</v>
      </c>
      <c r="EA130" s="229">
        <v>0.91720000000000002</v>
      </c>
      <c r="EB130" s="230">
        <v>12796875</v>
      </c>
      <c r="EC130" s="229">
        <v>3.0999999999999999E-3</v>
      </c>
      <c r="ED130" s="229">
        <v>0.91720000000000002</v>
      </c>
      <c r="EE130" s="228">
        <v>5.69</v>
      </c>
      <c r="EF130" s="229">
        <v>5.7000000000000002E-3</v>
      </c>
      <c r="EG130" s="230">
        <v>1336197</v>
      </c>
      <c r="EH130" s="230">
        <v>2093691</v>
      </c>
      <c r="EI130" s="229">
        <v>-0.36180000000000001</v>
      </c>
      <c r="EJ130" s="229">
        <v>0.49990000000000001</v>
      </c>
      <c r="EK130" s="228">
        <v>736.82</v>
      </c>
      <c r="EL130" s="228">
        <v>385.74</v>
      </c>
      <c r="EM130" s="228">
        <v>398.98</v>
      </c>
      <c r="EN130" s="228">
        <v>148.75</v>
      </c>
      <c r="EO130" s="231">
        <v>1521.54</v>
      </c>
      <c r="EP130" s="231">
        <v>4078.33</v>
      </c>
      <c r="EQ130" s="231">
        <v>-2556.79</v>
      </c>
      <c r="ER130" s="229">
        <v>-0.62690000000000001</v>
      </c>
      <c r="ES130" s="228">
        <v>485.56</v>
      </c>
      <c r="ET130" s="228">
        <v>193.39</v>
      </c>
      <c r="EU130" s="231">
        <v>1374.2</v>
      </c>
      <c r="EV130" s="231">
        <v>111298748</v>
      </c>
      <c r="EW130" s="231">
        <v>2053.15</v>
      </c>
      <c r="EX130" s="231">
        <v>2710.04</v>
      </c>
      <c r="EY130" s="228">
        <v>-656.89</v>
      </c>
      <c r="EZ130" s="229">
        <v>-0.2424</v>
      </c>
      <c r="FA130" s="229">
        <v>0.18160000000000001</v>
      </c>
      <c r="FB130" s="227" t="s">
        <v>567</v>
      </c>
      <c r="FC130">
        <f t="shared" si="1"/>
        <v>1250</v>
      </c>
    </row>
    <row r="131" spans="1:159" ht="17.25" thickBot="1" x14ac:dyDescent="0.3">
      <c r="A131" s="226">
        <v>46168</v>
      </c>
      <c r="B131" s="227" t="s">
        <v>215</v>
      </c>
      <c r="C131" s="227" t="s">
        <v>670</v>
      </c>
      <c r="D131" s="228">
        <v>200</v>
      </c>
      <c r="E131" s="228">
        <v>0</v>
      </c>
      <c r="F131" s="231">
        <v>2473.5</v>
      </c>
      <c r="G131" s="231">
        <v>2452</v>
      </c>
      <c r="H131" s="228">
        <v>21.5</v>
      </c>
      <c r="I131" s="229">
        <v>8.8000000000000005E-3</v>
      </c>
      <c r="J131" s="231">
        <v>2460.1</v>
      </c>
      <c r="K131" s="231">
        <v>2470.1999999999998</v>
      </c>
      <c r="L131" s="228">
        <v>-10.1</v>
      </c>
      <c r="M131" s="229">
        <v>-4.1000000000000003E-3</v>
      </c>
      <c r="N131" s="231">
        <v>2456.1999999999998</v>
      </c>
      <c r="O131" s="231">
        <v>2468.9</v>
      </c>
      <c r="P131" s="228">
        <v>-12.7</v>
      </c>
      <c r="Q131" s="229">
        <v>-5.1000000000000004E-3</v>
      </c>
      <c r="R131" s="231">
        <v>2473.5</v>
      </c>
      <c r="S131" s="231">
        <v>2452</v>
      </c>
      <c r="T131" s="228">
        <v>21.5</v>
      </c>
      <c r="U131" s="229">
        <v>8.8000000000000005E-3</v>
      </c>
      <c r="V131" s="231">
        <v>2481.8000000000002</v>
      </c>
      <c r="W131" s="231">
        <v>2458.9</v>
      </c>
      <c r="X131" s="228">
        <v>22.9</v>
      </c>
      <c r="Y131" s="229">
        <v>9.2999999999999992E-3</v>
      </c>
      <c r="Z131" s="228">
        <v>13.4</v>
      </c>
      <c r="AA131" s="228">
        <v>-1.3</v>
      </c>
      <c r="AB131" s="228">
        <v>14.7</v>
      </c>
      <c r="AC131" s="229">
        <v>5.4000000000000003E-3</v>
      </c>
      <c r="AD131" s="228">
        <v>-3.9</v>
      </c>
      <c r="AE131" s="228">
        <v>-1.3</v>
      </c>
      <c r="AF131" s="228">
        <v>-2.6</v>
      </c>
      <c r="AG131" s="229">
        <v>-1.6000000000000001E-3</v>
      </c>
      <c r="AH131" s="228">
        <v>13.4</v>
      </c>
      <c r="AI131" s="228">
        <v>-18.2</v>
      </c>
      <c r="AJ131" s="228">
        <v>31.6</v>
      </c>
      <c r="AK131" s="229">
        <v>5.4000000000000003E-3</v>
      </c>
      <c r="AL131" s="228">
        <v>21.7</v>
      </c>
      <c r="AM131" s="228">
        <v>-11.3</v>
      </c>
      <c r="AN131" s="228">
        <v>33</v>
      </c>
      <c r="AO131" s="229">
        <v>8.8000000000000005E-3</v>
      </c>
      <c r="AP131" s="231">
        <v>2465.85</v>
      </c>
      <c r="AQ131" s="231">
        <v>2469.65</v>
      </c>
      <c r="AR131" s="228">
        <v>0</v>
      </c>
      <c r="AS131" s="228">
        <v>744</v>
      </c>
      <c r="AT131" s="228">
        <v>954</v>
      </c>
      <c r="AU131" s="228">
        <v>-210</v>
      </c>
      <c r="AV131" s="229">
        <v>-0.22009999999999999</v>
      </c>
      <c r="AW131" s="228">
        <v>361</v>
      </c>
      <c r="AX131" s="228">
        <v>458</v>
      </c>
      <c r="AY131" s="228">
        <v>-96</v>
      </c>
      <c r="AZ131" s="229">
        <v>-0.2107</v>
      </c>
      <c r="BA131" s="228">
        <v>373</v>
      </c>
      <c r="BB131" s="228">
        <v>485</v>
      </c>
      <c r="BC131" s="228">
        <v>-112</v>
      </c>
      <c r="BD131" s="229">
        <v>-0.2306</v>
      </c>
      <c r="BE131" s="228">
        <v>9</v>
      </c>
      <c r="BF131" s="228">
        <v>11</v>
      </c>
      <c r="BG131" s="228">
        <v>-2</v>
      </c>
      <c r="BH131" s="229">
        <v>-0.14480000000000001</v>
      </c>
      <c r="BI131" s="228">
        <v>766</v>
      </c>
      <c r="BJ131" s="228">
        <v>929</v>
      </c>
      <c r="BK131" s="228">
        <v>-163</v>
      </c>
      <c r="BL131" s="229">
        <v>-0.1759</v>
      </c>
      <c r="BM131" s="228">
        <v>379</v>
      </c>
      <c r="BN131" s="228">
        <v>310</v>
      </c>
      <c r="BO131" s="228">
        <v>69</v>
      </c>
      <c r="BP131" s="229">
        <v>0.2223</v>
      </c>
      <c r="BQ131" s="230">
        <v>1889</v>
      </c>
      <c r="BR131" s="230">
        <v>2193</v>
      </c>
      <c r="BS131" s="228">
        <v>-304</v>
      </c>
      <c r="BT131" s="229">
        <v>-0.13880000000000001</v>
      </c>
      <c r="BU131" s="230">
        <v>685792</v>
      </c>
      <c r="BV131" s="230">
        <v>850325</v>
      </c>
      <c r="BW131" s="230">
        <v>-164533</v>
      </c>
      <c r="BX131" s="229">
        <v>-0.19350000000000001</v>
      </c>
      <c r="BY131" s="230">
        <v>1043</v>
      </c>
      <c r="BZ131" s="230">
        <v>1250</v>
      </c>
      <c r="CA131" s="228">
        <v>-207</v>
      </c>
      <c r="CB131" s="229">
        <v>-0.16539999999999999</v>
      </c>
      <c r="CC131" s="228">
        <v>109</v>
      </c>
      <c r="CD131" s="228">
        <v>283</v>
      </c>
      <c r="CE131" s="228">
        <v>-173</v>
      </c>
      <c r="CF131" s="229">
        <v>-0.6129</v>
      </c>
      <c r="CG131" s="230">
        <v>1005</v>
      </c>
      <c r="CH131" s="228">
        <v>934</v>
      </c>
      <c r="CI131" s="228">
        <v>71</v>
      </c>
      <c r="CJ131" s="229">
        <v>7.6100000000000001E-2</v>
      </c>
      <c r="CK131" s="228">
        <v>38</v>
      </c>
      <c r="CL131" s="228">
        <v>33</v>
      </c>
      <c r="CM131" s="228">
        <v>5</v>
      </c>
      <c r="CN131" s="229">
        <v>0.14810000000000001</v>
      </c>
      <c r="CO131" s="228">
        <v>217</v>
      </c>
      <c r="CP131" s="230">
        <v>1143</v>
      </c>
      <c r="CQ131" s="228">
        <v>-926</v>
      </c>
      <c r="CR131" s="229">
        <v>-0.81</v>
      </c>
      <c r="CS131" s="228">
        <v>165</v>
      </c>
      <c r="CT131" s="228">
        <v>521</v>
      </c>
      <c r="CU131" s="228">
        <v>-356</v>
      </c>
      <c r="CV131" s="229">
        <v>-0.68340000000000001</v>
      </c>
      <c r="CW131" s="230">
        <v>1425</v>
      </c>
      <c r="CX131" s="230">
        <v>2914</v>
      </c>
      <c r="CY131" s="230">
        <v>-1489</v>
      </c>
      <c r="CZ131" s="229">
        <v>-0.51090000000000002</v>
      </c>
      <c r="DA131" s="228">
        <v>33.64</v>
      </c>
      <c r="DB131" s="228">
        <v>36.46</v>
      </c>
      <c r="DC131" s="228">
        <v>-2.82</v>
      </c>
      <c r="DD131" s="228">
        <v>-2.82</v>
      </c>
      <c r="DE131" s="228">
        <v>54.1</v>
      </c>
      <c r="DF131" s="228">
        <v>54.23</v>
      </c>
      <c r="DG131" s="228">
        <v>-20.46</v>
      </c>
      <c r="DH131" s="228">
        <v>-0.13</v>
      </c>
      <c r="DI131" s="228">
        <v>33.14</v>
      </c>
      <c r="DJ131" s="228">
        <v>36.340000000000003</v>
      </c>
      <c r="DK131" s="228">
        <v>-3.2</v>
      </c>
      <c r="DL131" s="228">
        <v>-3.2</v>
      </c>
      <c r="DM131" s="228">
        <v>34.590000000000003</v>
      </c>
      <c r="DN131" s="228">
        <v>36.659999999999997</v>
      </c>
      <c r="DO131" s="228">
        <v>-2.0699999999999998</v>
      </c>
      <c r="DP131" s="228">
        <v>-2.0699999999999998</v>
      </c>
      <c r="DQ131" s="228">
        <v>0.76</v>
      </c>
      <c r="DR131" s="228">
        <v>0.46</v>
      </c>
      <c r="DS131" s="228">
        <v>0.3</v>
      </c>
      <c r="DT131" s="229">
        <v>0.6522</v>
      </c>
      <c r="DU131" s="231">
        <v>2800</v>
      </c>
      <c r="DV131" s="231">
        <v>2400</v>
      </c>
      <c r="DW131" s="228">
        <v>0.5</v>
      </c>
      <c r="DX131" s="228">
        <v>0.33</v>
      </c>
      <c r="DY131" s="228">
        <v>0.17</v>
      </c>
      <c r="DZ131" s="229">
        <v>0.51519999999999999</v>
      </c>
      <c r="EA131" s="229">
        <v>0.90500000000000003</v>
      </c>
      <c r="EB131" s="230">
        <v>3908850</v>
      </c>
      <c r="EC131" s="229">
        <v>7.0000000000000001E-3</v>
      </c>
      <c r="ED131" s="229">
        <v>0.90500000000000003</v>
      </c>
      <c r="EE131" s="228">
        <v>3.8</v>
      </c>
      <c r="EF131" s="229">
        <v>1.5E-3</v>
      </c>
      <c r="EG131" s="230">
        <v>217697</v>
      </c>
      <c r="EH131" s="230">
        <v>327560</v>
      </c>
      <c r="EI131" s="229">
        <v>-0.33539999999999998</v>
      </c>
      <c r="EJ131" s="229">
        <v>0.31740000000000002</v>
      </c>
      <c r="EK131" s="228">
        <v>814.89</v>
      </c>
      <c r="EL131" s="228">
        <v>378.45</v>
      </c>
      <c r="EM131" s="228">
        <v>743.22</v>
      </c>
      <c r="EN131" s="228">
        <v>128.31</v>
      </c>
      <c r="EO131" s="231">
        <v>1936.55</v>
      </c>
      <c r="EP131" s="231">
        <v>2248.77</v>
      </c>
      <c r="EQ131" s="228">
        <v>-312.22000000000003</v>
      </c>
      <c r="ER131" s="229">
        <v>-0.13880000000000001</v>
      </c>
      <c r="ES131" s="228">
        <v>229.54</v>
      </c>
      <c r="ET131" s="228">
        <v>159.72999999999999</v>
      </c>
      <c r="EU131" s="231">
        <v>1042.97</v>
      </c>
      <c r="EV131" s="231">
        <v>11364224</v>
      </c>
      <c r="EW131" s="231">
        <v>1432.24</v>
      </c>
      <c r="EX131" s="231">
        <v>3017.84</v>
      </c>
      <c r="EY131" s="231">
        <v>-1585.6</v>
      </c>
      <c r="EZ131" s="229">
        <v>-0.52539999999999998</v>
      </c>
      <c r="FA131" s="229">
        <v>0.50700000000000001</v>
      </c>
      <c r="FB131" s="227" t="s">
        <v>691</v>
      </c>
      <c r="FC131">
        <f t="shared" ref="FC131:FC147" si="2">BY131-CC131</f>
        <v>934</v>
      </c>
    </row>
    <row r="132" spans="1:159" ht="17.25" thickBot="1" x14ac:dyDescent="0.3">
      <c r="A132" s="226">
        <v>46168</v>
      </c>
      <c r="B132" s="227" t="s">
        <v>175</v>
      </c>
      <c r="C132" s="227" t="s">
        <v>517</v>
      </c>
      <c r="D132" s="228">
        <v>625</v>
      </c>
      <c r="E132" s="228">
        <v>0</v>
      </c>
      <c r="F132" s="231">
        <v>3321.6</v>
      </c>
      <c r="G132" s="231">
        <v>3331.8</v>
      </c>
      <c r="H132" s="228">
        <v>-10.199999999999999</v>
      </c>
      <c r="I132" s="229">
        <v>-3.0999999999999999E-3</v>
      </c>
      <c r="J132" s="231">
        <v>3307.3</v>
      </c>
      <c r="K132" s="231">
        <v>3313.9</v>
      </c>
      <c r="L132" s="228">
        <v>-6.6</v>
      </c>
      <c r="M132" s="229">
        <v>-2E-3</v>
      </c>
      <c r="N132" s="231">
        <v>3303.6</v>
      </c>
      <c r="O132" s="231">
        <v>3311.1</v>
      </c>
      <c r="P132" s="228">
        <v>-7.5</v>
      </c>
      <c r="Q132" s="229">
        <v>-2.3E-3</v>
      </c>
      <c r="R132" s="231">
        <v>3321.6</v>
      </c>
      <c r="S132" s="231">
        <v>3331.8</v>
      </c>
      <c r="T132" s="228">
        <v>-10.199999999999999</v>
      </c>
      <c r="U132" s="229">
        <v>-3.0999999999999999E-3</v>
      </c>
      <c r="V132" s="231">
        <v>3337.9</v>
      </c>
      <c r="W132" s="231">
        <v>3342.6</v>
      </c>
      <c r="X132" s="228">
        <v>-4.7</v>
      </c>
      <c r="Y132" s="229">
        <v>-1.4E-3</v>
      </c>
      <c r="Z132" s="228">
        <v>14.3</v>
      </c>
      <c r="AA132" s="228">
        <v>-2.8</v>
      </c>
      <c r="AB132" s="228">
        <v>17.100000000000001</v>
      </c>
      <c r="AC132" s="229">
        <v>4.3E-3</v>
      </c>
      <c r="AD132" s="228">
        <v>-3.7</v>
      </c>
      <c r="AE132" s="228">
        <v>-2.8</v>
      </c>
      <c r="AF132" s="228">
        <v>-0.9</v>
      </c>
      <c r="AG132" s="229">
        <v>-1.1000000000000001E-3</v>
      </c>
      <c r="AH132" s="228">
        <v>14.3</v>
      </c>
      <c r="AI132" s="228">
        <v>17.899999999999999</v>
      </c>
      <c r="AJ132" s="228">
        <v>-3.6</v>
      </c>
      <c r="AK132" s="229">
        <v>4.3E-3</v>
      </c>
      <c r="AL132" s="228">
        <v>30.6</v>
      </c>
      <c r="AM132" s="228">
        <v>28.7</v>
      </c>
      <c r="AN132" s="228">
        <v>1.9</v>
      </c>
      <c r="AO132" s="229">
        <v>9.2999999999999992E-3</v>
      </c>
      <c r="AP132" s="231">
        <v>3305.79</v>
      </c>
      <c r="AQ132" s="231">
        <v>3323.37</v>
      </c>
      <c r="AR132" s="228">
        <v>0</v>
      </c>
      <c r="AS132" s="230">
        <v>1548</v>
      </c>
      <c r="AT132" s="230">
        <v>2612</v>
      </c>
      <c r="AU132" s="230">
        <v>-1064</v>
      </c>
      <c r="AV132" s="229">
        <v>-0.40720000000000001</v>
      </c>
      <c r="AW132" s="228">
        <v>554</v>
      </c>
      <c r="AX132" s="230">
        <v>1109</v>
      </c>
      <c r="AY132" s="228">
        <v>-554</v>
      </c>
      <c r="AZ132" s="229">
        <v>-0.50009999999999999</v>
      </c>
      <c r="BA132" s="228">
        <v>916</v>
      </c>
      <c r="BB132" s="230">
        <v>1424</v>
      </c>
      <c r="BC132" s="228">
        <v>-508</v>
      </c>
      <c r="BD132" s="229">
        <v>-0.35670000000000002</v>
      </c>
      <c r="BE132" s="228">
        <v>78</v>
      </c>
      <c r="BF132" s="228">
        <v>79</v>
      </c>
      <c r="BG132" s="228">
        <v>-1</v>
      </c>
      <c r="BH132" s="229">
        <v>-1.32E-2</v>
      </c>
      <c r="BI132" s="230">
        <v>4343</v>
      </c>
      <c r="BJ132" s="230">
        <v>9231</v>
      </c>
      <c r="BK132" s="230">
        <v>-4888</v>
      </c>
      <c r="BL132" s="229">
        <v>-0.52959999999999996</v>
      </c>
      <c r="BM132" s="230">
        <v>2228</v>
      </c>
      <c r="BN132" s="230">
        <v>4186</v>
      </c>
      <c r="BO132" s="230">
        <v>-1957</v>
      </c>
      <c r="BP132" s="229">
        <v>-0.46760000000000002</v>
      </c>
      <c r="BQ132" s="230">
        <v>8119</v>
      </c>
      <c r="BR132" s="230">
        <v>16028</v>
      </c>
      <c r="BS132" s="230">
        <v>-7909</v>
      </c>
      <c r="BT132" s="229">
        <v>-0.49340000000000001</v>
      </c>
      <c r="BU132" s="230">
        <v>2027966</v>
      </c>
      <c r="BV132" s="230">
        <v>2634913</v>
      </c>
      <c r="BW132" s="230">
        <v>-606947</v>
      </c>
      <c r="BX132" s="229">
        <v>-0.2303</v>
      </c>
      <c r="BY132" s="230">
        <v>3482</v>
      </c>
      <c r="BZ132" s="230">
        <v>3753</v>
      </c>
      <c r="CA132" s="228">
        <v>-272</v>
      </c>
      <c r="CB132" s="229">
        <v>-7.2400000000000006E-2</v>
      </c>
      <c r="CC132" s="228">
        <v>287</v>
      </c>
      <c r="CD132" s="228">
        <v>572</v>
      </c>
      <c r="CE132" s="228">
        <v>-285</v>
      </c>
      <c r="CF132" s="229">
        <v>-0.498</v>
      </c>
      <c r="CG132" s="230">
        <v>3412</v>
      </c>
      <c r="CH132" s="230">
        <v>3124</v>
      </c>
      <c r="CI132" s="228">
        <v>288</v>
      </c>
      <c r="CJ132" s="229">
        <v>9.2299999999999993E-2</v>
      </c>
      <c r="CK132" s="228">
        <v>70</v>
      </c>
      <c r="CL132" s="228">
        <v>57</v>
      </c>
      <c r="CM132" s="228">
        <v>13</v>
      </c>
      <c r="CN132" s="229">
        <v>0.22059999999999999</v>
      </c>
      <c r="CO132" s="230">
        <v>1342</v>
      </c>
      <c r="CP132" s="230">
        <v>2652</v>
      </c>
      <c r="CQ132" s="230">
        <v>-1311</v>
      </c>
      <c r="CR132" s="229">
        <v>-0.49409999999999998</v>
      </c>
      <c r="CS132" s="228">
        <v>894</v>
      </c>
      <c r="CT132" s="230">
        <v>1953</v>
      </c>
      <c r="CU132" s="230">
        <v>-1060</v>
      </c>
      <c r="CV132" s="229">
        <v>-0.54239999999999999</v>
      </c>
      <c r="CW132" s="230">
        <v>5717</v>
      </c>
      <c r="CX132" s="230">
        <v>8359</v>
      </c>
      <c r="CY132" s="230">
        <v>-2642</v>
      </c>
      <c r="CZ132" s="229">
        <v>-0.316</v>
      </c>
      <c r="DA132" s="228">
        <v>35.659999999999997</v>
      </c>
      <c r="DB132" s="228">
        <v>37.6</v>
      </c>
      <c r="DC132" s="228">
        <v>-1.94</v>
      </c>
      <c r="DD132" s="228">
        <v>-1.94</v>
      </c>
      <c r="DE132" s="228">
        <v>48.49</v>
      </c>
      <c r="DF132" s="228">
        <v>48.61</v>
      </c>
      <c r="DG132" s="228">
        <v>-12.83</v>
      </c>
      <c r="DH132" s="228">
        <v>-0.12</v>
      </c>
      <c r="DI132" s="228">
        <v>35.51</v>
      </c>
      <c r="DJ132" s="228">
        <v>37.520000000000003</v>
      </c>
      <c r="DK132" s="228">
        <v>-2.0099999999999998</v>
      </c>
      <c r="DL132" s="228">
        <v>-2.0099999999999998</v>
      </c>
      <c r="DM132" s="228">
        <v>35.96</v>
      </c>
      <c r="DN132" s="228">
        <v>37.81</v>
      </c>
      <c r="DO132" s="228">
        <v>-1.85</v>
      </c>
      <c r="DP132" s="228">
        <v>-1.85</v>
      </c>
      <c r="DQ132" s="228">
        <v>0.67</v>
      </c>
      <c r="DR132" s="228">
        <v>0.74</v>
      </c>
      <c r="DS132" s="228">
        <v>-7.0000000000000007E-2</v>
      </c>
      <c r="DT132" s="229">
        <v>-9.4600000000000004E-2</v>
      </c>
      <c r="DU132" s="231">
        <v>3400</v>
      </c>
      <c r="DV132" s="231">
        <v>3000</v>
      </c>
      <c r="DW132" s="228">
        <v>0.51</v>
      </c>
      <c r="DX132" s="228">
        <v>0.45</v>
      </c>
      <c r="DY132" s="228">
        <v>0.06</v>
      </c>
      <c r="DZ132" s="229">
        <v>0.1333</v>
      </c>
      <c r="EA132" s="229">
        <v>0.92379999999999995</v>
      </c>
      <c r="EB132" s="230">
        <v>9576100</v>
      </c>
      <c r="EC132" s="229">
        <v>5.4000000000000003E-3</v>
      </c>
      <c r="ED132" s="229">
        <v>0.92379999999999995</v>
      </c>
      <c r="EE132" s="228">
        <v>17.579999999999998</v>
      </c>
      <c r="EF132" s="229">
        <v>5.3E-3</v>
      </c>
      <c r="EG132" s="230">
        <v>942631</v>
      </c>
      <c r="EH132" s="230">
        <v>1112417</v>
      </c>
      <c r="EI132" s="229">
        <v>-0.15260000000000001</v>
      </c>
      <c r="EJ132" s="229">
        <v>0.46479999999999999</v>
      </c>
      <c r="EK132" s="231">
        <v>4533.3500000000004</v>
      </c>
      <c r="EL132" s="231">
        <v>2135.5500000000002</v>
      </c>
      <c r="EM132" s="231">
        <v>1496.43</v>
      </c>
      <c r="EN132" s="228">
        <v>109.57</v>
      </c>
      <c r="EO132" s="231">
        <v>8165.33</v>
      </c>
      <c r="EP132" s="231">
        <v>16226.73</v>
      </c>
      <c r="EQ132" s="231">
        <v>-8061.39</v>
      </c>
      <c r="ER132" s="229">
        <v>-0.49680000000000002</v>
      </c>
      <c r="ES132" s="231">
        <v>1378.03</v>
      </c>
      <c r="ET132" s="228">
        <v>828.69</v>
      </c>
      <c r="EU132" s="231">
        <v>3481.92</v>
      </c>
      <c r="EV132" s="231">
        <v>38177113</v>
      </c>
      <c r="EW132" s="231">
        <v>5688.64</v>
      </c>
      <c r="EX132" s="231">
        <v>8223.5300000000007</v>
      </c>
      <c r="EY132" s="231">
        <v>-2534.89</v>
      </c>
      <c r="EZ132" s="229">
        <v>-0.30819999999999997</v>
      </c>
      <c r="FA132" s="229">
        <v>0.45079999999999998</v>
      </c>
      <c r="FB132" s="227" t="s">
        <v>567</v>
      </c>
      <c r="FC132">
        <f t="shared" si="2"/>
        <v>3195</v>
      </c>
    </row>
    <row r="133" spans="1:159" ht="17.25" thickBot="1" x14ac:dyDescent="0.3">
      <c r="A133" s="226">
        <v>46168</v>
      </c>
      <c r="B133" s="227" t="s">
        <v>175</v>
      </c>
      <c r="C133" s="227" t="s">
        <v>257</v>
      </c>
      <c r="D133" s="228">
        <v>400</v>
      </c>
      <c r="E133" s="228">
        <v>0</v>
      </c>
      <c r="F133" s="231">
        <v>1739</v>
      </c>
      <c r="G133" s="231">
        <v>1737.4</v>
      </c>
      <c r="H133" s="228">
        <v>1.6</v>
      </c>
      <c r="I133" s="229">
        <v>8.9999999999999998E-4</v>
      </c>
      <c r="J133" s="231">
        <v>1725.6</v>
      </c>
      <c r="K133" s="231">
        <v>1726.8</v>
      </c>
      <c r="L133" s="228">
        <v>-1.2</v>
      </c>
      <c r="M133" s="229">
        <v>-6.9999999999999999E-4</v>
      </c>
      <c r="N133" s="231">
        <v>1729.3</v>
      </c>
      <c r="O133" s="231">
        <v>1726</v>
      </c>
      <c r="P133" s="228">
        <v>3.3</v>
      </c>
      <c r="Q133" s="229">
        <v>1.9E-3</v>
      </c>
      <c r="R133" s="231">
        <v>1739</v>
      </c>
      <c r="S133" s="231">
        <v>1737.4</v>
      </c>
      <c r="T133" s="228">
        <v>1.6</v>
      </c>
      <c r="U133" s="229">
        <v>8.9999999999999998E-4</v>
      </c>
      <c r="V133" s="231">
        <v>1741.9</v>
      </c>
      <c r="W133" s="231">
        <v>1747.9</v>
      </c>
      <c r="X133" s="228">
        <v>-6</v>
      </c>
      <c r="Y133" s="229">
        <v>-3.3999999999999998E-3</v>
      </c>
      <c r="Z133" s="228">
        <v>13.4</v>
      </c>
      <c r="AA133" s="228">
        <v>-0.8</v>
      </c>
      <c r="AB133" s="228">
        <v>14.2</v>
      </c>
      <c r="AC133" s="229">
        <v>7.7999999999999996E-3</v>
      </c>
      <c r="AD133" s="228">
        <v>3.7</v>
      </c>
      <c r="AE133" s="228">
        <v>-0.8</v>
      </c>
      <c r="AF133" s="228">
        <v>4.5</v>
      </c>
      <c r="AG133" s="229">
        <v>2.0999999999999999E-3</v>
      </c>
      <c r="AH133" s="228">
        <v>13.4</v>
      </c>
      <c r="AI133" s="228">
        <v>10.6</v>
      </c>
      <c r="AJ133" s="228">
        <v>2.8</v>
      </c>
      <c r="AK133" s="229">
        <v>7.7999999999999996E-3</v>
      </c>
      <c r="AL133" s="228">
        <v>16.3</v>
      </c>
      <c r="AM133" s="228">
        <v>21.1</v>
      </c>
      <c r="AN133" s="228">
        <v>-4.8</v>
      </c>
      <c r="AO133" s="229">
        <v>9.4000000000000004E-3</v>
      </c>
      <c r="AP133" s="231">
        <v>1735.15</v>
      </c>
      <c r="AQ133" s="231">
        <v>1748.04</v>
      </c>
      <c r="AR133" s="228">
        <v>0</v>
      </c>
      <c r="AS133" s="228">
        <v>594</v>
      </c>
      <c r="AT133" s="228">
        <v>973</v>
      </c>
      <c r="AU133" s="228">
        <v>-379</v>
      </c>
      <c r="AV133" s="229">
        <v>-0.3891</v>
      </c>
      <c r="AW133" s="228">
        <v>234</v>
      </c>
      <c r="AX133" s="228">
        <v>451</v>
      </c>
      <c r="AY133" s="228">
        <v>-217</v>
      </c>
      <c r="AZ133" s="229">
        <v>-0.48110000000000003</v>
      </c>
      <c r="BA133" s="228">
        <v>360</v>
      </c>
      <c r="BB133" s="228">
        <v>521</v>
      </c>
      <c r="BC133" s="228">
        <v>-160</v>
      </c>
      <c r="BD133" s="229">
        <v>-0.30790000000000001</v>
      </c>
      <c r="BE133" s="228">
        <v>0</v>
      </c>
      <c r="BF133" s="228">
        <v>2</v>
      </c>
      <c r="BG133" s="228">
        <v>-1</v>
      </c>
      <c r="BH133" s="229">
        <v>-0.875</v>
      </c>
      <c r="BI133" s="228">
        <v>435</v>
      </c>
      <c r="BJ133" s="228">
        <v>909</v>
      </c>
      <c r="BK133" s="228">
        <v>-475</v>
      </c>
      <c r="BL133" s="229">
        <v>-0.52190000000000003</v>
      </c>
      <c r="BM133" s="228">
        <v>144</v>
      </c>
      <c r="BN133" s="228">
        <v>283</v>
      </c>
      <c r="BO133" s="228">
        <v>-139</v>
      </c>
      <c r="BP133" s="229">
        <v>-0.49230000000000002</v>
      </c>
      <c r="BQ133" s="230">
        <v>1173</v>
      </c>
      <c r="BR133" s="230">
        <v>2165</v>
      </c>
      <c r="BS133" s="228">
        <v>-992</v>
      </c>
      <c r="BT133" s="229">
        <v>-0.45839999999999997</v>
      </c>
      <c r="BU133" s="230">
        <v>966990</v>
      </c>
      <c r="BV133" s="230">
        <v>526672</v>
      </c>
      <c r="BW133" s="230">
        <v>440318</v>
      </c>
      <c r="BX133" s="229">
        <v>0.83599999999999997</v>
      </c>
      <c r="BY133" s="230">
        <v>1689</v>
      </c>
      <c r="BZ133" s="230">
        <v>1687</v>
      </c>
      <c r="CA133" s="228">
        <v>2</v>
      </c>
      <c r="CB133" s="229">
        <v>1.1999999999999999E-3</v>
      </c>
      <c r="CC133" s="228">
        <v>64</v>
      </c>
      <c r="CD133" s="228">
        <v>212</v>
      </c>
      <c r="CE133" s="228">
        <v>-148</v>
      </c>
      <c r="CF133" s="229">
        <v>-0.69750000000000001</v>
      </c>
      <c r="CG133" s="230">
        <v>1688</v>
      </c>
      <c r="CH133" s="230">
        <v>1474</v>
      </c>
      <c r="CI133" s="228">
        <v>214</v>
      </c>
      <c r="CJ133" s="229">
        <v>0.14530000000000001</v>
      </c>
      <c r="CK133" s="228">
        <v>1</v>
      </c>
      <c r="CL133" s="228">
        <v>1</v>
      </c>
      <c r="CM133" s="228">
        <v>0</v>
      </c>
      <c r="CN133" s="229">
        <v>0.1429</v>
      </c>
      <c r="CO133" s="228">
        <v>73</v>
      </c>
      <c r="CP133" s="228">
        <v>233</v>
      </c>
      <c r="CQ133" s="228">
        <v>-160</v>
      </c>
      <c r="CR133" s="229">
        <v>-0.6855</v>
      </c>
      <c r="CS133" s="228">
        <v>54</v>
      </c>
      <c r="CT133" s="228">
        <v>152</v>
      </c>
      <c r="CU133" s="228">
        <v>-97</v>
      </c>
      <c r="CV133" s="229">
        <v>-0.64129999999999998</v>
      </c>
      <c r="CW133" s="230">
        <v>1817</v>
      </c>
      <c r="CX133" s="230">
        <v>2072</v>
      </c>
      <c r="CY133" s="228">
        <v>-255</v>
      </c>
      <c r="CZ133" s="229">
        <v>-0.1231</v>
      </c>
      <c r="DA133" s="228">
        <v>26.45</v>
      </c>
      <c r="DB133" s="228">
        <v>26.5</v>
      </c>
      <c r="DC133" s="228">
        <v>-0.05</v>
      </c>
      <c r="DD133" s="228">
        <v>-0.05</v>
      </c>
      <c r="DE133" s="228">
        <v>32.29</v>
      </c>
      <c r="DF133" s="228">
        <v>32.369999999999997</v>
      </c>
      <c r="DG133" s="228">
        <v>-5.84</v>
      </c>
      <c r="DH133" s="228">
        <v>-0.08</v>
      </c>
      <c r="DI133" s="228">
        <v>26.48</v>
      </c>
      <c r="DJ133" s="228">
        <v>26.29</v>
      </c>
      <c r="DK133" s="228">
        <v>0.19</v>
      </c>
      <c r="DL133" s="228">
        <v>0.19</v>
      </c>
      <c r="DM133" s="228">
        <v>26.38</v>
      </c>
      <c r="DN133" s="228">
        <v>27.3</v>
      </c>
      <c r="DO133" s="228">
        <v>-0.92</v>
      </c>
      <c r="DP133" s="228">
        <v>-0.92</v>
      </c>
      <c r="DQ133" s="228">
        <v>0.74</v>
      </c>
      <c r="DR133" s="228">
        <v>0.65</v>
      </c>
      <c r="DS133" s="228">
        <v>0.09</v>
      </c>
      <c r="DT133" s="229">
        <v>0.13850000000000001</v>
      </c>
      <c r="DU133" s="231">
        <v>1800</v>
      </c>
      <c r="DV133" s="231">
        <v>1500</v>
      </c>
      <c r="DW133" s="228">
        <v>0.33</v>
      </c>
      <c r="DX133" s="228">
        <v>0.31</v>
      </c>
      <c r="DY133" s="228">
        <v>0.02</v>
      </c>
      <c r="DZ133" s="229">
        <v>6.4500000000000002E-2</v>
      </c>
      <c r="EA133" s="229">
        <v>0.96340000000000003</v>
      </c>
      <c r="EB133" s="230">
        <v>8480800</v>
      </c>
      <c r="EC133" s="229">
        <v>5.5999999999999999E-3</v>
      </c>
      <c r="ED133" s="229">
        <v>0.96340000000000003</v>
      </c>
      <c r="EE133" s="228">
        <v>12.89</v>
      </c>
      <c r="EF133" s="229">
        <v>7.4000000000000003E-3</v>
      </c>
      <c r="EG133" s="230">
        <v>597179</v>
      </c>
      <c r="EH133" s="230">
        <v>222207</v>
      </c>
      <c r="EI133" s="229">
        <v>1.6875</v>
      </c>
      <c r="EJ133" s="229">
        <v>0.61760000000000004</v>
      </c>
      <c r="EK133" s="228">
        <v>444.7</v>
      </c>
      <c r="EL133" s="228">
        <v>139.11000000000001</v>
      </c>
      <c r="EM133" s="228">
        <v>595.75</v>
      </c>
      <c r="EN133" s="228">
        <v>101.64</v>
      </c>
      <c r="EO133" s="231">
        <v>1179.56</v>
      </c>
      <c r="EP133" s="231">
        <v>2137.52</v>
      </c>
      <c r="EQ133" s="228">
        <v>-957.97</v>
      </c>
      <c r="ER133" s="229">
        <v>-0.44819999999999999</v>
      </c>
      <c r="ES133" s="228">
        <v>74.34</v>
      </c>
      <c r="ET133" s="228">
        <v>51.36</v>
      </c>
      <c r="EU133" s="231">
        <v>1689.13</v>
      </c>
      <c r="EV133" s="231">
        <v>35051266</v>
      </c>
      <c r="EW133" s="231">
        <v>1814.83</v>
      </c>
      <c r="EX133" s="231">
        <v>2055.86</v>
      </c>
      <c r="EY133" s="228">
        <v>-241.03</v>
      </c>
      <c r="EZ133" s="229">
        <v>-0.1172</v>
      </c>
      <c r="FA133" s="229">
        <v>0.29809999999999998</v>
      </c>
      <c r="FB133" s="227" t="s">
        <v>555</v>
      </c>
      <c r="FC133">
        <f t="shared" si="2"/>
        <v>1625</v>
      </c>
    </row>
    <row r="134" spans="1:159" ht="17.25" thickBot="1" x14ac:dyDescent="0.3">
      <c r="A134" s="226">
        <v>46168</v>
      </c>
      <c r="B134" s="227" t="s">
        <v>181</v>
      </c>
      <c r="C134" s="227" t="s">
        <v>562</v>
      </c>
      <c r="D134" s="228">
        <v>120</v>
      </c>
      <c r="E134" s="228">
        <v>0</v>
      </c>
      <c r="F134" s="231">
        <v>14777.15</v>
      </c>
      <c r="G134" s="231">
        <v>14661.75</v>
      </c>
      <c r="H134" s="228">
        <v>115.4</v>
      </c>
      <c r="I134" s="229">
        <v>7.9000000000000008E-3</v>
      </c>
      <c r="J134" s="231">
        <v>14675.6</v>
      </c>
      <c r="K134" s="231">
        <v>14559.9</v>
      </c>
      <c r="L134" s="228">
        <v>115.7</v>
      </c>
      <c r="M134" s="229">
        <v>7.9000000000000008E-3</v>
      </c>
      <c r="N134" s="231">
        <v>14670.45</v>
      </c>
      <c r="O134" s="231">
        <v>14563.4</v>
      </c>
      <c r="P134" s="228">
        <v>107.05</v>
      </c>
      <c r="Q134" s="229">
        <v>7.4000000000000003E-3</v>
      </c>
      <c r="R134" s="231">
        <v>14777.15</v>
      </c>
      <c r="S134" s="231">
        <v>14661.75</v>
      </c>
      <c r="T134" s="228">
        <v>115.4</v>
      </c>
      <c r="U134" s="229">
        <v>7.9000000000000008E-3</v>
      </c>
      <c r="V134" s="231">
        <v>14801.35</v>
      </c>
      <c r="W134" s="231">
        <v>14674.2</v>
      </c>
      <c r="X134" s="228">
        <v>127.15</v>
      </c>
      <c r="Y134" s="229">
        <v>8.6999999999999994E-3</v>
      </c>
      <c r="Z134" s="228">
        <v>101.55</v>
      </c>
      <c r="AA134" s="228">
        <v>3.5</v>
      </c>
      <c r="AB134" s="228">
        <v>98.05</v>
      </c>
      <c r="AC134" s="229">
        <v>6.8999999999999999E-3</v>
      </c>
      <c r="AD134" s="228">
        <v>-5.15</v>
      </c>
      <c r="AE134" s="228">
        <v>3.5</v>
      </c>
      <c r="AF134" s="228">
        <v>-8.65</v>
      </c>
      <c r="AG134" s="229">
        <v>-4.0000000000000002E-4</v>
      </c>
      <c r="AH134" s="228">
        <v>101.55</v>
      </c>
      <c r="AI134" s="228">
        <v>101.85</v>
      </c>
      <c r="AJ134" s="228">
        <v>-0.3</v>
      </c>
      <c r="AK134" s="229">
        <v>6.8999999999999999E-3</v>
      </c>
      <c r="AL134" s="228">
        <v>125.75</v>
      </c>
      <c r="AM134" s="228">
        <v>114.3</v>
      </c>
      <c r="AN134" s="228">
        <v>11.45</v>
      </c>
      <c r="AO134" s="229">
        <v>8.6E-3</v>
      </c>
      <c r="AP134" s="231">
        <v>14626.09</v>
      </c>
      <c r="AQ134" s="231">
        <v>14730.49</v>
      </c>
      <c r="AR134" s="228">
        <v>0</v>
      </c>
      <c r="AS134" s="230">
        <v>1364</v>
      </c>
      <c r="AT134" s="230">
        <v>2962</v>
      </c>
      <c r="AU134" s="230">
        <v>-1598</v>
      </c>
      <c r="AV134" s="229">
        <v>-0.53949999999999998</v>
      </c>
      <c r="AW134" s="228">
        <v>473</v>
      </c>
      <c r="AX134" s="230">
        <v>1434</v>
      </c>
      <c r="AY134" s="228">
        <v>-961</v>
      </c>
      <c r="AZ134" s="229">
        <v>-0.67020000000000002</v>
      </c>
      <c r="BA134" s="228">
        <v>856</v>
      </c>
      <c r="BB134" s="230">
        <v>1491</v>
      </c>
      <c r="BC134" s="228">
        <v>-635</v>
      </c>
      <c r="BD134" s="229">
        <v>-0.42580000000000001</v>
      </c>
      <c r="BE134" s="228">
        <v>35</v>
      </c>
      <c r="BF134" s="228">
        <v>37</v>
      </c>
      <c r="BG134" s="228">
        <v>-2</v>
      </c>
      <c r="BH134" s="229">
        <v>-5.2900000000000003E-2</v>
      </c>
      <c r="BI134" s="230">
        <v>568248</v>
      </c>
      <c r="BJ134" s="230">
        <v>77752</v>
      </c>
      <c r="BK134" s="230">
        <v>490496</v>
      </c>
      <c r="BL134" s="229">
        <v>6.3083999999999998</v>
      </c>
      <c r="BM134" s="230">
        <v>488428</v>
      </c>
      <c r="BN134" s="230">
        <v>82825</v>
      </c>
      <c r="BO134" s="230">
        <v>405603</v>
      </c>
      <c r="BP134" s="229">
        <v>4.8971</v>
      </c>
      <c r="BQ134" s="230">
        <v>1058040</v>
      </c>
      <c r="BR134" s="230">
        <v>163539</v>
      </c>
      <c r="BS134" s="230">
        <v>894501</v>
      </c>
      <c r="BT134" s="229">
        <v>5.4695999999999998</v>
      </c>
      <c r="BU134" s="228">
        <v>0</v>
      </c>
      <c r="BV134" s="228">
        <v>0</v>
      </c>
      <c r="BW134" s="228">
        <v>0</v>
      </c>
      <c r="BX134" s="229">
        <v>0</v>
      </c>
      <c r="BY134" s="230">
        <v>3041</v>
      </c>
      <c r="BZ134" s="230">
        <v>3588</v>
      </c>
      <c r="CA134" s="228">
        <v>-547</v>
      </c>
      <c r="CB134" s="229">
        <v>-0.15240000000000001</v>
      </c>
      <c r="CC134" s="228">
        <v>522</v>
      </c>
      <c r="CD134" s="228">
        <v>823</v>
      </c>
      <c r="CE134" s="228">
        <v>-301</v>
      </c>
      <c r="CF134" s="229">
        <v>-0.3659</v>
      </c>
      <c r="CG134" s="230">
        <v>2992</v>
      </c>
      <c r="CH134" s="230">
        <v>2724</v>
      </c>
      <c r="CI134" s="228">
        <v>267</v>
      </c>
      <c r="CJ134" s="229">
        <v>9.8199999999999996E-2</v>
      </c>
      <c r="CK134" s="228">
        <v>50</v>
      </c>
      <c r="CL134" s="228">
        <v>41</v>
      </c>
      <c r="CM134" s="228">
        <v>9</v>
      </c>
      <c r="CN134" s="229">
        <v>0.2112</v>
      </c>
      <c r="CO134" s="230">
        <v>2359</v>
      </c>
      <c r="CP134" s="230">
        <v>11564</v>
      </c>
      <c r="CQ134" s="230">
        <v>-9205</v>
      </c>
      <c r="CR134" s="229">
        <v>-0.79600000000000004</v>
      </c>
      <c r="CS134" s="230">
        <v>2644</v>
      </c>
      <c r="CT134" s="230">
        <v>14322</v>
      </c>
      <c r="CU134" s="230">
        <v>-11678</v>
      </c>
      <c r="CV134" s="229">
        <v>-0.81540000000000001</v>
      </c>
      <c r="CW134" s="230">
        <v>8044</v>
      </c>
      <c r="CX134" s="230">
        <v>29474</v>
      </c>
      <c r="CY134" s="230">
        <v>-21430</v>
      </c>
      <c r="CZ134" s="229">
        <v>-0.72709999999999997</v>
      </c>
      <c r="DA134" s="228">
        <v>18.5</v>
      </c>
      <c r="DB134" s="228">
        <v>20.16</v>
      </c>
      <c r="DC134" s="228">
        <v>-1.66</v>
      </c>
      <c r="DD134" s="228">
        <v>-1.66</v>
      </c>
      <c r="DE134" s="228">
        <v>24.76</v>
      </c>
      <c r="DF134" s="228">
        <v>24.8</v>
      </c>
      <c r="DG134" s="228">
        <v>-6.26</v>
      </c>
      <c r="DH134" s="228">
        <v>-0.04</v>
      </c>
      <c r="DI134" s="228">
        <v>16.5</v>
      </c>
      <c r="DJ134" s="228">
        <v>18.09</v>
      </c>
      <c r="DK134" s="228">
        <v>-1.59</v>
      </c>
      <c r="DL134" s="228">
        <v>-1.59</v>
      </c>
      <c r="DM134" s="228">
        <v>20.25</v>
      </c>
      <c r="DN134" s="228">
        <v>21.81</v>
      </c>
      <c r="DO134" s="228">
        <v>-1.56</v>
      </c>
      <c r="DP134" s="228">
        <v>-1.56</v>
      </c>
      <c r="DQ134" s="228">
        <v>1.1200000000000001</v>
      </c>
      <c r="DR134" s="228">
        <v>1.24</v>
      </c>
      <c r="DS134" s="228">
        <v>-0.12</v>
      </c>
      <c r="DT134" s="229">
        <v>-9.6799999999999997E-2</v>
      </c>
      <c r="DU134" s="231">
        <v>14700</v>
      </c>
      <c r="DV134" s="231">
        <v>14600</v>
      </c>
      <c r="DW134" s="228">
        <v>0.86</v>
      </c>
      <c r="DX134" s="228">
        <v>1.07</v>
      </c>
      <c r="DY134" s="228">
        <v>-0.21</v>
      </c>
      <c r="DZ134" s="229">
        <v>-0.1963</v>
      </c>
      <c r="EA134" s="229">
        <v>0.85360000000000003</v>
      </c>
      <c r="EB134" s="230">
        <v>1871400</v>
      </c>
      <c r="EC134" s="229">
        <v>7.3000000000000001E-3</v>
      </c>
      <c r="ED134" s="229">
        <v>0.85360000000000003</v>
      </c>
      <c r="EE134" s="228">
        <v>104.4</v>
      </c>
      <c r="EF134" s="229">
        <v>7.1000000000000004E-3</v>
      </c>
      <c r="EG134" s="228">
        <v>0</v>
      </c>
      <c r="EH134" s="228">
        <v>0</v>
      </c>
      <c r="EI134" s="229">
        <v>0</v>
      </c>
      <c r="EJ134" s="229">
        <v>0</v>
      </c>
      <c r="EK134" s="231">
        <v>565101.03</v>
      </c>
      <c r="EL134" s="231">
        <v>480745.38</v>
      </c>
      <c r="EM134" s="231">
        <v>1356.41</v>
      </c>
      <c r="EN134" s="228">
        <v>0</v>
      </c>
      <c r="EO134" s="231">
        <v>1047202.82</v>
      </c>
      <c r="EP134" s="231">
        <v>160421.75</v>
      </c>
      <c r="EQ134" s="231">
        <v>886781.08</v>
      </c>
      <c r="ER134" s="229">
        <v>5.5278</v>
      </c>
      <c r="ES134" s="231">
        <v>2407.29</v>
      </c>
      <c r="ET134" s="231">
        <v>2465.62</v>
      </c>
      <c r="EU134" s="231">
        <v>3041.57</v>
      </c>
      <c r="EV134" s="228">
        <v>0</v>
      </c>
      <c r="EW134" s="231">
        <v>7914.49</v>
      </c>
      <c r="EX134" s="231">
        <v>28556.43</v>
      </c>
      <c r="EY134" s="231">
        <v>-20641.939999999999</v>
      </c>
      <c r="EZ134" s="229">
        <v>-0.7228</v>
      </c>
      <c r="FA134" s="229">
        <v>0</v>
      </c>
      <c r="FB134" s="227" t="s">
        <v>691</v>
      </c>
      <c r="FC134">
        <f t="shared" si="2"/>
        <v>2519</v>
      </c>
    </row>
    <row r="135" spans="1:159" ht="17.25" thickBot="1" x14ac:dyDescent="0.3">
      <c r="A135" s="226">
        <v>46168</v>
      </c>
      <c r="B135" s="227" t="s">
        <v>162</v>
      </c>
      <c r="C135" s="227" t="s">
        <v>558</v>
      </c>
      <c r="D135" s="228">
        <v>6150</v>
      </c>
      <c r="E135" s="228">
        <v>0</v>
      </c>
      <c r="F135" s="228">
        <v>136.74</v>
      </c>
      <c r="G135" s="228">
        <v>136.69</v>
      </c>
      <c r="H135" s="228">
        <v>0.05</v>
      </c>
      <c r="I135" s="229">
        <v>4.0000000000000002E-4</v>
      </c>
      <c r="J135" s="228">
        <v>135.82</v>
      </c>
      <c r="K135" s="228">
        <v>135.91</v>
      </c>
      <c r="L135" s="228">
        <v>-0.09</v>
      </c>
      <c r="M135" s="229">
        <v>-6.9999999999999999E-4</v>
      </c>
      <c r="N135" s="228">
        <v>136.15</v>
      </c>
      <c r="O135" s="228">
        <v>136.16999999999999</v>
      </c>
      <c r="P135" s="228">
        <v>-0.02</v>
      </c>
      <c r="Q135" s="229">
        <v>-1E-4</v>
      </c>
      <c r="R135" s="228">
        <v>136.74</v>
      </c>
      <c r="S135" s="228">
        <v>136.69</v>
      </c>
      <c r="T135" s="228">
        <v>0.05</v>
      </c>
      <c r="U135" s="229">
        <v>4.0000000000000002E-4</v>
      </c>
      <c r="V135" s="228">
        <v>137.34</v>
      </c>
      <c r="W135" s="228">
        <v>137.19999999999999</v>
      </c>
      <c r="X135" s="228">
        <v>0.14000000000000001</v>
      </c>
      <c r="Y135" s="229">
        <v>1E-3</v>
      </c>
      <c r="Z135" s="228">
        <v>0.92</v>
      </c>
      <c r="AA135" s="228">
        <v>0.26</v>
      </c>
      <c r="AB135" s="228">
        <v>0.66</v>
      </c>
      <c r="AC135" s="229">
        <v>6.7999999999999996E-3</v>
      </c>
      <c r="AD135" s="228">
        <v>0.33</v>
      </c>
      <c r="AE135" s="228">
        <v>0.26</v>
      </c>
      <c r="AF135" s="228">
        <v>7.0000000000000007E-2</v>
      </c>
      <c r="AG135" s="229">
        <v>2.3999999999999998E-3</v>
      </c>
      <c r="AH135" s="228">
        <v>0.92</v>
      </c>
      <c r="AI135" s="228">
        <v>0.78</v>
      </c>
      <c r="AJ135" s="228">
        <v>0.14000000000000001</v>
      </c>
      <c r="AK135" s="229">
        <v>6.7999999999999996E-3</v>
      </c>
      <c r="AL135" s="228">
        <v>1.52</v>
      </c>
      <c r="AM135" s="228">
        <v>1.29</v>
      </c>
      <c r="AN135" s="228">
        <v>0.23</v>
      </c>
      <c r="AO135" s="229">
        <v>1.12E-2</v>
      </c>
      <c r="AP135" s="228">
        <v>136.19</v>
      </c>
      <c r="AQ135" s="228">
        <v>136.79</v>
      </c>
      <c r="AR135" s="228">
        <v>0</v>
      </c>
      <c r="AS135" s="230">
        <v>1048</v>
      </c>
      <c r="AT135" s="230">
        <v>1758</v>
      </c>
      <c r="AU135" s="228">
        <v>-710</v>
      </c>
      <c r="AV135" s="229">
        <v>-0.40360000000000001</v>
      </c>
      <c r="AW135" s="228">
        <v>487</v>
      </c>
      <c r="AX135" s="228">
        <v>810</v>
      </c>
      <c r="AY135" s="228">
        <v>-322</v>
      </c>
      <c r="AZ135" s="229">
        <v>-0.39779999999999999</v>
      </c>
      <c r="BA135" s="228">
        <v>554</v>
      </c>
      <c r="BB135" s="228">
        <v>941</v>
      </c>
      <c r="BC135" s="228">
        <v>-387</v>
      </c>
      <c r="BD135" s="229">
        <v>-0.41149999999999998</v>
      </c>
      <c r="BE135" s="228">
        <v>7</v>
      </c>
      <c r="BF135" s="228">
        <v>7</v>
      </c>
      <c r="BG135" s="228">
        <v>0</v>
      </c>
      <c r="BH135" s="229">
        <v>-4.5499999999999999E-2</v>
      </c>
      <c r="BI135" s="228">
        <v>575</v>
      </c>
      <c r="BJ135" s="228">
        <v>784</v>
      </c>
      <c r="BK135" s="228">
        <v>-209</v>
      </c>
      <c r="BL135" s="229">
        <v>-0.26679999999999998</v>
      </c>
      <c r="BM135" s="228">
        <v>313</v>
      </c>
      <c r="BN135" s="228">
        <v>438</v>
      </c>
      <c r="BO135" s="228">
        <v>-125</v>
      </c>
      <c r="BP135" s="229">
        <v>-0.28570000000000001</v>
      </c>
      <c r="BQ135" s="230">
        <v>1936</v>
      </c>
      <c r="BR135" s="230">
        <v>2979</v>
      </c>
      <c r="BS135" s="230">
        <v>-1044</v>
      </c>
      <c r="BT135" s="229">
        <v>-0.3503</v>
      </c>
      <c r="BU135" s="230">
        <v>13967885</v>
      </c>
      <c r="BV135" s="230">
        <v>16666662</v>
      </c>
      <c r="BW135" s="230">
        <v>-2698777</v>
      </c>
      <c r="BX135" s="229">
        <v>-0.16189999999999999</v>
      </c>
      <c r="BY135" s="230">
        <v>2101</v>
      </c>
      <c r="BZ135" s="230">
        <v>2297</v>
      </c>
      <c r="CA135" s="228">
        <v>-196</v>
      </c>
      <c r="CB135" s="229">
        <v>-8.5199999999999998E-2</v>
      </c>
      <c r="CC135" s="228">
        <v>250</v>
      </c>
      <c r="CD135" s="228">
        <v>428</v>
      </c>
      <c r="CE135" s="228">
        <v>-178</v>
      </c>
      <c r="CF135" s="229">
        <v>-0.41570000000000001</v>
      </c>
      <c r="CG135" s="230">
        <v>2005</v>
      </c>
      <c r="CH135" s="230">
        <v>1776</v>
      </c>
      <c r="CI135" s="228">
        <v>229</v>
      </c>
      <c r="CJ135" s="229">
        <v>0.12870000000000001</v>
      </c>
      <c r="CK135" s="228">
        <v>97</v>
      </c>
      <c r="CL135" s="228">
        <v>93</v>
      </c>
      <c r="CM135" s="228">
        <v>3</v>
      </c>
      <c r="CN135" s="229">
        <v>3.61E-2</v>
      </c>
      <c r="CO135" s="228">
        <v>314</v>
      </c>
      <c r="CP135" s="228">
        <v>707</v>
      </c>
      <c r="CQ135" s="228">
        <v>-393</v>
      </c>
      <c r="CR135" s="229">
        <v>-0.55610000000000004</v>
      </c>
      <c r="CS135" s="228">
        <v>215</v>
      </c>
      <c r="CT135" s="228">
        <v>588</v>
      </c>
      <c r="CU135" s="228">
        <v>-373</v>
      </c>
      <c r="CV135" s="229">
        <v>-0.63449999999999995</v>
      </c>
      <c r="CW135" s="230">
        <v>2630</v>
      </c>
      <c r="CX135" s="230">
        <v>3592</v>
      </c>
      <c r="CY135" s="228">
        <v>-962</v>
      </c>
      <c r="CZ135" s="229">
        <v>-0.26779999999999998</v>
      </c>
      <c r="DA135" s="228">
        <v>33.67</v>
      </c>
      <c r="DB135" s="228">
        <v>34.36</v>
      </c>
      <c r="DC135" s="228">
        <v>-0.69</v>
      </c>
      <c r="DD135" s="228">
        <v>-0.69</v>
      </c>
      <c r="DE135" s="228">
        <v>43.62</v>
      </c>
      <c r="DF135" s="228">
        <v>43.73</v>
      </c>
      <c r="DG135" s="228">
        <v>-9.9499999999999993</v>
      </c>
      <c r="DH135" s="228">
        <v>-0.11</v>
      </c>
      <c r="DI135" s="228">
        <v>33.44</v>
      </c>
      <c r="DJ135" s="228">
        <v>34.64</v>
      </c>
      <c r="DK135" s="228">
        <v>-1.2</v>
      </c>
      <c r="DL135" s="228">
        <v>-1.2</v>
      </c>
      <c r="DM135" s="228">
        <v>34.229999999999997</v>
      </c>
      <c r="DN135" s="228">
        <v>33.71</v>
      </c>
      <c r="DO135" s="228">
        <v>0.52</v>
      </c>
      <c r="DP135" s="228">
        <v>0.52</v>
      </c>
      <c r="DQ135" s="228">
        <v>0.68</v>
      </c>
      <c r="DR135" s="228">
        <v>0.83</v>
      </c>
      <c r="DS135" s="228">
        <v>-0.15</v>
      </c>
      <c r="DT135" s="229">
        <v>-0.1807</v>
      </c>
      <c r="DU135" s="228">
        <v>140</v>
      </c>
      <c r="DV135" s="228">
        <v>125</v>
      </c>
      <c r="DW135" s="228">
        <v>0.54</v>
      </c>
      <c r="DX135" s="228">
        <v>0.56000000000000005</v>
      </c>
      <c r="DY135" s="228">
        <v>-0.02</v>
      </c>
      <c r="DZ135" s="229">
        <v>-3.5700000000000003E-2</v>
      </c>
      <c r="EA135" s="229">
        <v>0.89370000000000005</v>
      </c>
      <c r="EB135" s="230">
        <v>136708350</v>
      </c>
      <c r="EC135" s="229">
        <v>4.3E-3</v>
      </c>
      <c r="ED135" s="229">
        <v>0.89370000000000005</v>
      </c>
      <c r="EE135" s="228">
        <v>0.6</v>
      </c>
      <c r="EF135" s="229">
        <v>4.4000000000000003E-3</v>
      </c>
      <c r="EG135" s="230">
        <v>6488053</v>
      </c>
      <c r="EH135" s="230">
        <v>7572087</v>
      </c>
      <c r="EI135" s="229">
        <v>-0.14319999999999999</v>
      </c>
      <c r="EJ135" s="229">
        <v>0.46450000000000002</v>
      </c>
      <c r="EK135" s="228">
        <v>599.77</v>
      </c>
      <c r="EL135" s="228">
        <v>304.44</v>
      </c>
      <c r="EM135" s="231">
        <v>1046.53</v>
      </c>
      <c r="EN135" s="228">
        <v>183.38</v>
      </c>
      <c r="EO135" s="231">
        <v>1950.74</v>
      </c>
      <c r="EP135" s="231">
        <v>2991</v>
      </c>
      <c r="EQ135" s="231">
        <v>-1040.26</v>
      </c>
      <c r="ER135" s="229">
        <v>-0.3478</v>
      </c>
      <c r="ES135" s="228">
        <v>324.67</v>
      </c>
      <c r="ET135" s="228">
        <v>203.12</v>
      </c>
      <c r="EU135" s="231">
        <v>2101.71</v>
      </c>
      <c r="EV135" s="231">
        <v>588447385</v>
      </c>
      <c r="EW135" s="231">
        <v>2629.5</v>
      </c>
      <c r="EX135" s="231">
        <v>3550.01</v>
      </c>
      <c r="EY135" s="228">
        <v>-920.51</v>
      </c>
      <c r="EZ135" s="229">
        <v>-0.25929999999999997</v>
      </c>
      <c r="FA135" s="229">
        <v>0.32690000000000002</v>
      </c>
      <c r="FB135" s="227" t="s">
        <v>691</v>
      </c>
      <c r="FC135">
        <f t="shared" si="2"/>
        <v>1851</v>
      </c>
    </row>
    <row r="136" spans="1:159" ht="17.25" thickBot="1" x14ac:dyDescent="0.3">
      <c r="A136" s="226">
        <v>46168</v>
      </c>
      <c r="B136" s="227" t="s">
        <v>175</v>
      </c>
      <c r="C136" s="227" t="s">
        <v>696</v>
      </c>
      <c r="D136" s="228">
        <v>775</v>
      </c>
      <c r="E136" s="228">
        <v>0</v>
      </c>
      <c r="F136" s="228">
        <v>874.6</v>
      </c>
      <c r="G136" s="228">
        <v>875.95</v>
      </c>
      <c r="H136" s="228">
        <v>-1.35</v>
      </c>
      <c r="I136" s="229">
        <v>-1.5E-3</v>
      </c>
      <c r="J136" s="228">
        <v>870.55</v>
      </c>
      <c r="K136" s="228">
        <v>870.3</v>
      </c>
      <c r="L136" s="228">
        <v>0.25</v>
      </c>
      <c r="M136" s="229">
        <v>2.9999999999999997E-4</v>
      </c>
      <c r="N136" s="228">
        <v>869.3</v>
      </c>
      <c r="O136" s="228">
        <v>869.3</v>
      </c>
      <c r="P136" s="228">
        <v>0</v>
      </c>
      <c r="Q136" s="229">
        <v>0</v>
      </c>
      <c r="R136" s="228">
        <v>874.6</v>
      </c>
      <c r="S136" s="228">
        <v>875.95</v>
      </c>
      <c r="T136" s="228">
        <v>-1.35</v>
      </c>
      <c r="U136" s="229">
        <v>-1.5E-3</v>
      </c>
      <c r="V136" s="228">
        <v>880.45</v>
      </c>
      <c r="W136" s="228">
        <v>881.95</v>
      </c>
      <c r="X136" s="228">
        <v>-1.5</v>
      </c>
      <c r="Y136" s="229">
        <v>-1.6999999999999999E-3</v>
      </c>
      <c r="Z136" s="228">
        <v>4.05</v>
      </c>
      <c r="AA136" s="228">
        <v>-1</v>
      </c>
      <c r="AB136" s="228">
        <v>5.05</v>
      </c>
      <c r="AC136" s="229">
        <v>4.7000000000000002E-3</v>
      </c>
      <c r="AD136" s="228">
        <v>-1.25</v>
      </c>
      <c r="AE136" s="228">
        <v>-1</v>
      </c>
      <c r="AF136" s="228">
        <v>-0.25</v>
      </c>
      <c r="AG136" s="229">
        <v>-1.4E-3</v>
      </c>
      <c r="AH136" s="228">
        <v>4.05</v>
      </c>
      <c r="AI136" s="228">
        <v>5.65</v>
      </c>
      <c r="AJ136" s="228">
        <v>-1.6</v>
      </c>
      <c r="AK136" s="229">
        <v>4.7000000000000002E-3</v>
      </c>
      <c r="AL136" s="228">
        <v>9.9</v>
      </c>
      <c r="AM136" s="228">
        <v>11.65</v>
      </c>
      <c r="AN136" s="228">
        <v>-1.75</v>
      </c>
      <c r="AO136" s="229">
        <v>1.14E-2</v>
      </c>
      <c r="AP136" s="228">
        <v>874.41</v>
      </c>
      <c r="AQ136" s="228">
        <v>881.02</v>
      </c>
      <c r="AR136" s="228">
        <v>0</v>
      </c>
      <c r="AS136" s="228">
        <v>224</v>
      </c>
      <c r="AT136" s="228">
        <v>331</v>
      </c>
      <c r="AU136" s="228">
        <v>-106</v>
      </c>
      <c r="AV136" s="229">
        <v>-0.32140000000000002</v>
      </c>
      <c r="AW136" s="228">
        <v>86</v>
      </c>
      <c r="AX136" s="228">
        <v>146</v>
      </c>
      <c r="AY136" s="228">
        <v>-60</v>
      </c>
      <c r="AZ136" s="229">
        <v>-0.4108</v>
      </c>
      <c r="BA136" s="228">
        <v>136</v>
      </c>
      <c r="BB136" s="228">
        <v>182</v>
      </c>
      <c r="BC136" s="228">
        <v>-45</v>
      </c>
      <c r="BD136" s="229">
        <v>-0.24929999999999999</v>
      </c>
      <c r="BE136" s="228">
        <v>2</v>
      </c>
      <c r="BF136" s="228">
        <v>3</v>
      </c>
      <c r="BG136" s="228">
        <v>-1</v>
      </c>
      <c r="BH136" s="229">
        <v>-0.32500000000000001</v>
      </c>
      <c r="BI136" s="228">
        <v>422</v>
      </c>
      <c r="BJ136" s="228">
        <v>486</v>
      </c>
      <c r="BK136" s="228">
        <v>-64</v>
      </c>
      <c r="BL136" s="229">
        <v>-0.1323</v>
      </c>
      <c r="BM136" s="228">
        <v>90</v>
      </c>
      <c r="BN136" s="228">
        <v>84</v>
      </c>
      <c r="BO136" s="228">
        <v>6</v>
      </c>
      <c r="BP136" s="229">
        <v>7.2599999999999998E-2</v>
      </c>
      <c r="BQ136" s="228">
        <v>736</v>
      </c>
      <c r="BR136" s="228">
        <v>901</v>
      </c>
      <c r="BS136" s="228">
        <v>-164</v>
      </c>
      <c r="BT136" s="229">
        <v>-0.1825</v>
      </c>
      <c r="BU136" s="230">
        <v>1510751</v>
      </c>
      <c r="BV136" s="230">
        <v>850295</v>
      </c>
      <c r="BW136" s="230">
        <v>660456</v>
      </c>
      <c r="BX136" s="229">
        <v>0.77669999999999995</v>
      </c>
      <c r="BY136" s="228">
        <v>353</v>
      </c>
      <c r="BZ136" s="228">
        <v>370</v>
      </c>
      <c r="CA136" s="228">
        <v>-17</v>
      </c>
      <c r="CB136" s="229">
        <v>-4.65E-2</v>
      </c>
      <c r="CC136" s="228">
        <v>20</v>
      </c>
      <c r="CD136" s="228">
        <v>51</v>
      </c>
      <c r="CE136" s="228">
        <v>-31</v>
      </c>
      <c r="CF136" s="229">
        <v>-0.60850000000000004</v>
      </c>
      <c r="CG136" s="228">
        <v>348</v>
      </c>
      <c r="CH136" s="228">
        <v>315</v>
      </c>
      <c r="CI136" s="228">
        <v>33</v>
      </c>
      <c r="CJ136" s="229">
        <v>0.1046</v>
      </c>
      <c r="CK136" s="228">
        <v>5</v>
      </c>
      <c r="CL136" s="228">
        <v>4</v>
      </c>
      <c r="CM136" s="228">
        <v>1</v>
      </c>
      <c r="CN136" s="229">
        <v>0.2581</v>
      </c>
      <c r="CO136" s="228">
        <v>75</v>
      </c>
      <c r="CP136" s="228">
        <v>202</v>
      </c>
      <c r="CQ136" s="228">
        <v>-128</v>
      </c>
      <c r="CR136" s="229">
        <v>-0.63149999999999995</v>
      </c>
      <c r="CS136" s="228">
        <v>37</v>
      </c>
      <c r="CT136" s="228">
        <v>133</v>
      </c>
      <c r="CU136" s="228">
        <v>-96</v>
      </c>
      <c r="CV136" s="229">
        <v>-0.72360000000000002</v>
      </c>
      <c r="CW136" s="228">
        <v>464</v>
      </c>
      <c r="CX136" s="228">
        <v>705</v>
      </c>
      <c r="CY136" s="228">
        <v>-241</v>
      </c>
      <c r="CZ136" s="229">
        <v>-0.3417</v>
      </c>
      <c r="DA136" s="228">
        <v>37.17</v>
      </c>
      <c r="DB136" s="228">
        <v>38.479999999999997</v>
      </c>
      <c r="DC136" s="228">
        <v>-1.31</v>
      </c>
      <c r="DD136" s="228">
        <v>-1.31</v>
      </c>
      <c r="DE136" s="228">
        <v>52.83</v>
      </c>
      <c r="DF136" s="228">
        <v>52.96</v>
      </c>
      <c r="DG136" s="228">
        <v>-15.66</v>
      </c>
      <c r="DH136" s="228">
        <v>-0.13</v>
      </c>
      <c r="DI136" s="228">
        <v>37</v>
      </c>
      <c r="DJ136" s="228">
        <v>38.270000000000003</v>
      </c>
      <c r="DK136" s="228">
        <v>-1.27</v>
      </c>
      <c r="DL136" s="228">
        <v>-1.27</v>
      </c>
      <c r="DM136" s="228">
        <v>38.07</v>
      </c>
      <c r="DN136" s="228">
        <v>39.17</v>
      </c>
      <c r="DO136" s="228">
        <v>-1.1000000000000001</v>
      </c>
      <c r="DP136" s="228">
        <v>-1.1000000000000001</v>
      </c>
      <c r="DQ136" s="228">
        <v>0.49</v>
      </c>
      <c r="DR136" s="228">
        <v>0.66</v>
      </c>
      <c r="DS136" s="228">
        <v>-0.17</v>
      </c>
      <c r="DT136" s="229">
        <v>-0.2576</v>
      </c>
      <c r="DU136" s="228">
        <v>900</v>
      </c>
      <c r="DV136" s="228">
        <v>800</v>
      </c>
      <c r="DW136" s="228">
        <v>0.21</v>
      </c>
      <c r="DX136" s="228">
        <v>0.17</v>
      </c>
      <c r="DY136" s="228">
        <v>0.04</v>
      </c>
      <c r="DZ136" s="229">
        <v>0.23530000000000001</v>
      </c>
      <c r="EA136" s="229">
        <v>0.94620000000000004</v>
      </c>
      <c r="EB136" s="230">
        <v>3647925</v>
      </c>
      <c r="EC136" s="229">
        <v>6.1000000000000004E-3</v>
      </c>
      <c r="ED136" s="229">
        <v>0.94620000000000004</v>
      </c>
      <c r="EE136" s="228">
        <v>6.61</v>
      </c>
      <c r="EF136" s="229">
        <v>7.6E-3</v>
      </c>
      <c r="EG136" s="230">
        <v>632295</v>
      </c>
      <c r="EH136" s="230">
        <v>380554</v>
      </c>
      <c r="EI136" s="229">
        <v>0.66149999999999998</v>
      </c>
      <c r="EJ136" s="229">
        <v>0.41849999999999998</v>
      </c>
      <c r="EK136" s="228">
        <v>440.76</v>
      </c>
      <c r="EL136" s="228">
        <v>89.1</v>
      </c>
      <c r="EM136" s="228">
        <v>225.29</v>
      </c>
      <c r="EN136" s="228">
        <v>33.4</v>
      </c>
      <c r="EO136" s="228">
        <v>755.15</v>
      </c>
      <c r="EP136" s="228">
        <v>908.68</v>
      </c>
      <c r="EQ136" s="228">
        <v>-153.53</v>
      </c>
      <c r="ER136" s="229">
        <v>-0.16900000000000001</v>
      </c>
      <c r="ES136" s="228">
        <v>77.63</v>
      </c>
      <c r="ET136" s="228">
        <v>34.630000000000003</v>
      </c>
      <c r="EU136" s="228">
        <v>353.11</v>
      </c>
      <c r="EV136" s="231">
        <v>29196111</v>
      </c>
      <c r="EW136" s="228">
        <v>465.37</v>
      </c>
      <c r="EX136" s="228">
        <v>693.88</v>
      </c>
      <c r="EY136" s="228">
        <v>-228.51</v>
      </c>
      <c r="EZ136" s="229">
        <v>-0.32929999999999998</v>
      </c>
      <c r="FA136" s="229">
        <v>0.18179999999999999</v>
      </c>
      <c r="FB136" s="227" t="s">
        <v>567</v>
      </c>
      <c r="FC136">
        <f t="shared" si="2"/>
        <v>333</v>
      </c>
    </row>
    <row r="137" spans="1:159" ht="17.25" thickBot="1" x14ac:dyDescent="0.3">
      <c r="A137" s="226">
        <v>46168</v>
      </c>
      <c r="B137" s="227" t="s">
        <v>221</v>
      </c>
      <c r="C137" s="227" t="s">
        <v>487</v>
      </c>
      <c r="D137" s="228">
        <v>275</v>
      </c>
      <c r="E137" s="228">
        <v>0</v>
      </c>
      <c r="F137" s="231">
        <v>2287.4</v>
      </c>
      <c r="G137" s="231">
        <v>2259.3000000000002</v>
      </c>
      <c r="H137" s="228">
        <v>28.1</v>
      </c>
      <c r="I137" s="229">
        <v>1.24E-2</v>
      </c>
      <c r="J137" s="231">
        <v>2265.3000000000002</v>
      </c>
      <c r="K137" s="231">
        <v>2244</v>
      </c>
      <c r="L137" s="228">
        <v>21.3</v>
      </c>
      <c r="M137" s="229">
        <v>9.4999999999999998E-3</v>
      </c>
      <c r="N137" s="231">
        <v>2269</v>
      </c>
      <c r="O137" s="231">
        <v>2245.6999999999998</v>
      </c>
      <c r="P137" s="228">
        <v>23.3</v>
      </c>
      <c r="Q137" s="229">
        <v>1.04E-2</v>
      </c>
      <c r="R137" s="231">
        <v>2287.4</v>
      </c>
      <c r="S137" s="231">
        <v>2259.3000000000002</v>
      </c>
      <c r="T137" s="228">
        <v>28.1</v>
      </c>
      <c r="U137" s="229">
        <v>1.24E-2</v>
      </c>
      <c r="V137" s="231">
        <v>2296</v>
      </c>
      <c r="W137" s="231">
        <v>2268.1</v>
      </c>
      <c r="X137" s="228">
        <v>27.9</v>
      </c>
      <c r="Y137" s="229">
        <v>1.23E-2</v>
      </c>
      <c r="Z137" s="228">
        <v>22.1</v>
      </c>
      <c r="AA137" s="228">
        <v>1.7</v>
      </c>
      <c r="AB137" s="228">
        <v>20.399999999999999</v>
      </c>
      <c r="AC137" s="229">
        <v>9.7999999999999997E-3</v>
      </c>
      <c r="AD137" s="228">
        <v>3.7</v>
      </c>
      <c r="AE137" s="228">
        <v>1.7</v>
      </c>
      <c r="AF137" s="228">
        <v>2</v>
      </c>
      <c r="AG137" s="229">
        <v>1.6000000000000001E-3</v>
      </c>
      <c r="AH137" s="228">
        <v>22.1</v>
      </c>
      <c r="AI137" s="228">
        <v>15.3</v>
      </c>
      <c r="AJ137" s="228">
        <v>6.8</v>
      </c>
      <c r="AK137" s="229">
        <v>9.7999999999999997E-3</v>
      </c>
      <c r="AL137" s="228">
        <v>30.7</v>
      </c>
      <c r="AM137" s="228">
        <v>24.1</v>
      </c>
      <c r="AN137" s="228">
        <v>6.6</v>
      </c>
      <c r="AO137" s="229">
        <v>1.3599999999999999E-2</v>
      </c>
      <c r="AP137" s="231">
        <v>2261.8000000000002</v>
      </c>
      <c r="AQ137" s="231">
        <v>2276.6</v>
      </c>
      <c r="AR137" s="228">
        <v>0</v>
      </c>
      <c r="AS137" s="228">
        <v>384</v>
      </c>
      <c r="AT137" s="228">
        <v>568</v>
      </c>
      <c r="AU137" s="228">
        <v>-183</v>
      </c>
      <c r="AV137" s="229">
        <v>-0.32300000000000001</v>
      </c>
      <c r="AW137" s="228">
        <v>172</v>
      </c>
      <c r="AX137" s="228">
        <v>263</v>
      </c>
      <c r="AY137" s="228">
        <v>-91</v>
      </c>
      <c r="AZ137" s="229">
        <v>-0.34710000000000002</v>
      </c>
      <c r="BA137" s="228">
        <v>211</v>
      </c>
      <c r="BB137" s="228">
        <v>300</v>
      </c>
      <c r="BC137" s="228">
        <v>-89</v>
      </c>
      <c r="BD137" s="229">
        <v>-0.2974</v>
      </c>
      <c r="BE137" s="228">
        <v>2</v>
      </c>
      <c r="BF137" s="228">
        <v>5</v>
      </c>
      <c r="BG137" s="228">
        <v>-3</v>
      </c>
      <c r="BH137" s="229">
        <v>-0.60809999999999997</v>
      </c>
      <c r="BI137" s="228">
        <v>350</v>
      </c>
      <c r="BJ137" s="228">
        <v>301</v>
      </c>
      <c r="BK137" s="228">
        <v>50</v>
      </c>
      <c r="BL137" s="229">
        <v>0.1653</v>
      </c>
      <c r="BM137" s="228">
        <v>219</v>
      </c>
      <c r="BN137" s="228">
        <v>230</v>
      </c>
      <c r="BO137" s="228">
        <v>-11</v>
      </c>
      <c r="BP137" s="229">
        <v>-4.5999999999999999E-2</v>
      </c>
      <c r="BQ137" s="228">
        <v>954</v>
      </c>
      <c r="BR137" s="230">
        <v>1098</v>
      </c>
      <c r="BS137" s="228">
        <v>-144</v>
      </c>
      <c r="BT137" s="229">
        <v>-0.1313</v>
      </c>
      <c r="BU137" s="230">
        <v>310562</v>
      </c>
      <c r="BV137" s="230">
        <v>198341</v>
      </c>
      <c r="BW137" s="230">
        <v>112221</v>
      </c>
      <c r="BX137" s="229">
        <v>0.56579999999999997</v>
      </c>
      <c r="BY137" s="228">
        <v>973</v>
      </c>
      <c r="BZ137" s="230">
        <v>1127</v>
      </c>
      <c r="CA137" s="228">
        <v>-154</v>
      </c>
      <c r="CB137" s="229">
        <v>-0.1363</v>
      </c>
      <c r="CC137" s="228">
        <v>163</v>
      </c>
      <c r="CD137" s="228">
        <v>269</v>
      </c>
      <c r="CE137" s="228">
        <v>-106</v>
      </c>
      <c r="CF137" s="229">
        <v>-0.39460000000000001</v>
      </c>
      <c r="CG137" s="228">
        <v>965</v>
      </c>
      <c r="CH137" s="228">
        <v>851</v>
      </c>
      <c r="CI137" s="228">
        <v>115</v>
      </c>
      <c r="CJ137" s="229">
        <v>0.13469999999999999</v>
      </c>
      <c r="CK137" s="228">
        <v>8</v>
      </c>
      <c r="CL137" s="228">
        <v>7</v>
      </c>
      <c r="CM137" s="228">
        <v>1</v>
      </c>
      <c r="CN137" s="229">
        <v>0.16189999999999999</v>
      </c>
      <c r="CO137" s="228">
        <v>103</v>
      </c>
      <c r="CP137" s="228">
        <v>372</v>
      </c>
      <c r="CQ137" s="228">
        <v>-269</v>
      </c>
      <c r="CR137" s="229">
        <v>-0.72299999999999998</v>
      </c>
      <c r="CS137" s="228">
        <v>87</v>
      </c>
      <c r="CT137" s="228">
        <v>311</v>
      </c>
      <c r="CU137" s="228">
        <v>-224</v>
      </c>
      <c r="CV137" s="229">
        <v>-0.71970000000000001</v>
      </c>
      <c r="CW137" s="230">
        <v>1163</v>
      </c>
      <c r="CX137" s="230">
        <v>1810</v>
      </c>
      <c r="CY137" s="228">
        <v>-646</v>
      </c>
      <c r="CZ137" s="229">
        <v>-0.35709999999999997</v>
      </c>
      <c r="DA137" s="228">
        <v>33.74</v>
      </c>
      <c r="DB137" s="228">
        <v>33.78</v>
      </c>
      <c r="DC137" s="228">
        <v>-0.04</v>
      </c>
      <c r="DD137" s="228">
        <v>-0.04</v>
      </c>
      <c r="DE137" s="228">
        <v>36.89</v>
      </c>
      <c r="DF137" s="228">
        <v>36.94</v>
      </c>
      <c r="DG137" s="228">
        <v>-3.15</v>
      </c>
      <c r="DH137" s="228">
        <v>-0.05</v>
      </c>
      <c r="DI137" s="228">
        <v>33.369999999999997</v>
      </c>
      <c r="DJ137" s="228">
        <v>34.07</v>
      </c>
      <c r="DK137" s="228">
        <v>-0.7</v>
      </c>
      <c r="DL137" s="228">
        <v>-0.7</v>
      </c>
      <c r="DM137" s="228">
        <v>34.76</v>
      </c>
      <c r="DN137" s="228">
        <v>33.25</v>
      </c>
      <c r="DO137" s="228">
        <v>1.51</v>
      </c>
      <c r="DP137" s="228">
        <v>1.51</v>
      </c>
      <c r="DQ137" s="228">
        <v>0.85</v>
      </c>
      <c r="DR137" s="228">
        <v>0.84</v>
      </c>
      <c r="DS137" s="228">
        <v>0.01</v>
      </c>
      <c r="DT137" s="229">
        <v>1.1900000000000001E-2</v>
      </c>
      <c r="DU137" s="231">
        <v>2320</v>
      </c>
      <c r="DV137" s="231">
        <v>2140</v>
      </c>
      <c r="DW137" s="228">
        <v>0.63</v>
      </c>
      <c r="DX137" s="228">
        <v>0.77</v>
      </c>
      <c r="DY137" s="228">
        <v>-0.14000000000000001</v>
      </c>
      <c r="DZ137" s="229">
        <v>-0.18179999999999999</v>
      </c>
      <c r="EA137" s="229">
        <v>0.85650000000000004</v>
      </c>
      <c r="EB137" s="230">
        <v>3748525</v>
      </c>
      <c r="EC137" s="229">
        <v>8.0999999999999996E-3</v>
      </c>
      <c r="ED137" s="229">
        <v>0.85650000000000004</v>
      </c>
      <c r="EE137" s="228">
        <v>14.8</v>
      </c>
      <c r="EF137" s="229">
        <v>6.4999999999999997E-3</v>
      </c>
      <c r="EG137" s="230">
        <v>133612</v>
      </c>
      <c r="EH137" s="230">
        <v>74770</v>
      </c>
      <c r="EI137" s="229">
        <v>0.78700000000000003</v>
      </c>
      <c r="EJ137" s="229">
        <v>0.43020000000000003</v>
      </c>
      <c r="EK137" s="228">
        <v>361.07</v>
      </c>
      <c r="EL137" s="228">
        <v>216.14</v>
      </c>
      <c r="EM137" s="228">
        <v>381.49</v>
      </c>
      <c r="EN137" s="228">
        <v>95.34</v>
      </c>
      <c r="EO137" s="228">
        <v>958.7</v>
      </c>
      <c r="EP137" s="231">
        <v>1089.8399999999999</v>
      </c>
      <c r="EQ137" s="228">
        <v>-131.13999999999999</v>
      </c>
      <c r="ER137" s="229">
        <v>-0.1203</v>
      </c>
      <c r="ES137" s="228">
        <v>105.2</v>
      </c>
      <c r="ET137" s="228">
        <v>84.27</v>
      </c>
      <c r="EU137" s="228">
        <v>973.15</v>
      </c>
      <c r="EV137" s="231">
        <v>19838356</v>
      </c>
      <c r="EW137" s="231">
        <v>1162.6199999999999</v>
      </c>
      <c r="EX137" s="231">
        <v>1783.61</v>
      </c>
      <c r="EY137" s="228">
        <v>-620.99</v>
      </c>
      <c r="EZ137" s="229">
        <v>-0.34820000000000001</v>
      </c>
      <c r="FA137" s="229">
        <v>0.25640000000000002</v>
      </c>
      <c r="FB137" s="227" t="s">
        <v>691</v>
      </c>
      <c r="FC137">
        <f t="shared" si="2"/>
        <v>810</v>
      </c>
    </row>
    <row r="138" spans="1:159" ht="17.25" thickBot="1" x14ac:dyDescent="0.3">
      <c r="A138" s="226">
        <v>46168</v>
      </c>
      <c r="B138" s="227" t="s">
        <v>175</v>
      </c>
      <c r="C138" s="227" t="s">
        <v>262</v>
      </c>
      <c r="D138" s="228">
        <v>275</v>
      </c>
      <c r="E138" s="228">
        <v>0</v>
      </c>
      <c r="F138" s="231">
        <v>3336.8</v>
      </c>
      <c r="G138" s="231">
        <v>3359.6</v>
      </c>
      <c r="H138" s="228">
        <v>-22.8</v>
      </c>
      <c r="I138" s="229">
        <v>-6.7999999999999996E-3</v>
      </c>
      <c r="J138" s="231">
        <v>3331.5</v>
      </c>
      <c r="K138" s="231">
        <v>3354.4</v>
      </c>
      <c r="L138" s="228">
        <v>-22.9</v>
      </c>
      <c r="M138" s="229">
        <v>-6.7999999999999996E-3</v>
      </c>
      <c r="N138" s="231">
        <v>3338.8</v>
      </c>
      <c r="O138" s="231">
        <v>3360.6</v>
      </c>
      <c r="P138" s="228">
        <v>-21.8</v>
      </c>
      <c r="Q138" s="229">
        <v>-6.4999999999999997E-3</v>
      </c>
      <c r="R138" s="231">
        <v>3336.8</v>
      </c>
      <c r="S138" s="231">
        <v>3359.6</v>
      </c>
      <c r="T138" s="228">
        <v>-22.8</v>
      </c>
      <c r="U138" s="229">
        <v>-6.7999999999999996E-3</v>
      </c>
      <c r="V138" s="231">
        <v>3351.1</v>
      </c>
      <c r="W138" s="231">
        <v>3375.2</v>
      </c>
      <c r="X138" s="228">
        <v>-24.1</v>
      </c>
      <c r="Y138" s="229">
        <v>-7.1000000000000004E-3</v>
      </c>
      <c r="Z138" s="228">
        <v>5.3</v>
      </c>
      <c r="AA138" s="228">
        <v>6.2</v>
      </c>
      <c r="AB138" s="228">
        <v>-0.9</v>
      </c>
      <c r="AC138" s="229">
        <v>1.6000000000000001E-3</v>
      </c>
      <c r="AD138" s="228">
        <v>7.3</v>
      </c>
      <c r="AE138" s="228">
        <v>6.2</v>
      </c>
      <c r="AF138" s="228">
        <v>1.1000000000000001</v>
      </c>
      <c r="AG138" s="229">
        <v>2.2000000000000001E-3</v>
      </c>
      <c r="AH138" s="228">
        <v>5.3</v>
      </c>
      <c r="AI138" s="228">
        <v>5.2</v>
      </c>
      <c r="AJ138" s="228">
        <v>0.1</v>
      </c>
      <c r="AK138" s="229">
        <v>1.6000000000000001E-3</v>
      </c>
      <c r="AL138" s="228">
        <v>19.600000000000001</v>
      </c>
      <c r="AM138" s="228">
        <v>20.8</v>
      </c>
      <c r="AN138" s="228">
        <v>-1.2</v>
      </c>
      <c r="AO138" s="229">
        <v>5.8999999999999999E-3</v>
      </c>
      <c r="AP138" s="231">
        <v>3347.22</v>
      </c>
      <c r="AQ138" s="231">
        <v>3345.56</v>
      </c>
      <c r="AR138" s="228">
        <v>0</v>
      </c>
      <c r="AS138" s="228">
        <v>295</v>
      </c>
      <c r="AT138" s="228">
        <v>881</v>
      </c>
      <c r="AU138" s="228">
        <v>-585</v>
      </c>
      <c r="AV138" s="229">
        <v>-0.66449999999999998</v>
      </c>
      <c r="AW138" s="228">
        <v>131</v>
      </c>
      <c r="AX138" s="228">
        <v>405</v>
      </c>
      <c r="AY138" s="228">
        <v>-274</v>
      </c>
      <c r="AZ138" s="229">
        <v>-0.67689999999999995</v>
      </c>
      <c r="BA138" s="228">
        <v>161</v>
      </c>
      <c r="BB138" s="228">
        <v>471</v>
      </c>
      <c r="BC138" s="228">
        <v>-310</v>
      </c>
      <c r="BD138" s="229">
        <v>-0.65800000000000003</v>
      </c>
      <c r="BE138" s="228">
        <v>4</v>
      </c>
      <c r="BF138" s="228">
        <v>5</v>
      </c>
      <c r="BG138" s="228">
        <v>-1</v>
      </c>
      <c r="BH138" s="229">
        <v>-0.27779999999999999</v>
      </c>
      <c r="BI138" s="228">
        <v>667</v>
      </c>
      <c r="BJ138" s="230">
        <v>1800</v>
      </c>
      <c r="BK138" s="230">
        <v>-1133</v>
      </c>
      <c r="BL138" s="229">
        <v>-0.62929999999999997</v>
      </c>
      <c r="BM138" s="228">
        <v>445</v>
      </c>
      <c r="BN138" s="228">
        <v>893</v>
      </c>
      <c r="BO138" s="228">
        <v>-448</v>
      </c>
      <c r="BP138" s="229">
        <v>-0.50160000000000005</v>
      </c>
      <c r="BQ138" s="230">
        <v>1408</v>
      </c>
      <c r="BR138" s="230">
        <v>3574</v>
      </c>
      <c r="BS138" s="230">
        <v>-2166</v>
      </c>
      <c r="BT138" s="229">
        <v>-0.60609999999999997</v>
      </c>
      <c r="BU138" s="230">
        <v>1091541</v>
      </c>
      <c r="BV138" s="230">
        <v>613218</v>
      </c>
      <c r="BW138" s="230">
        <v>478323</v>
      </c>
      <c r="BX138" s="229">
        <v>0.78</v>
      </c>
      <c r="BY138" s="230">
        <v>1239</v>
      </c>
      <c r="BZ138" s="230">
        <v>1520</v>
      </c>
      <c r="CA138" s="228">
        <v>-282</v>
      </c>
      <c r="CB138" s="229">
        <v>-0.1852</v>
      </c>
      <c r="CC138" s="228">
        <v>253</v>
      </c>
      <c r="CD138" s="228">
        <v>308</v>
      </c>
      <c r="CE138" s="228">
        <v>-55</v>
      </c>
      <c r="CF138" s="229">
        <v>-0.17749999999999999</v>
      </c>
      <c r="CG138" s="230">
        <v>1227</v>
      </c>
      <c r="CH138" s="230">
        <v>1201</v>
      </c>
      <c r="CI138" s="228">
        <v>26</v>
      </c>
      <c r="CJ138" s="229">
        <v>2.12E-2</v>
      </c>
      <c r="CK138" s="228">
        <v>12</v>
      </c>
      <c r="CL138" s="228">
        <v>11</v>
      </c>
      <c r="CM138" s="228">
        <v>1</v>
      </c>
      <c r="CN138" s="229">
        <v>8.3299999999999999E-2</v>
      </c>
      <c r="CO138" s="228">
        <v>333</v>
      </c>
      <c r="CP138" s="228">
        <v>966</v>
      </c>
      <c r="CQ138" s="228">
        <v>-634</v>
      </c>
      <c r="CR138" s="229">
        <v>-0.65580000000000005</v>
      </c>
      <c r="CS138" s="228">
        <v>218</v>
      </c>
      <c r="CT138" s="228">
        <v>640</v>
      </c>
      <c r="CU138" s="228">
        <v>-422</v>
      </c>
      <c r="CV138" s="229">
        <v>-0.65990000000000004</v>
      </c>
      <c r="CW138" s="230">
        <v>1789</v>
      </c>
      <c r="CX138" s="230">
        <v>3127</v>
      </c>
      <c r="CY138" s="230">
        <v>-1338</v>
      </c>
      <c r="CZ138" s="229">
        <v>-0.42780000000000001</v>
      </c>
      <c r="DA138" s="228">
        <v>28.59</v>
      </c>
      <c r="DB138" s="228">
        <v>30.78</v>
      </c>
      <c r="DC138" s="228">
        <v>-2.19</v>
      </c>
      <c r="DD138" s="228">
        <v>-2.19</v>
      </c>
      <c r="DE138" s="228">
        <v>43.86</v>
      </c>
      <c r="DF138" s="228">
        <v>43.96</v>
      </c>
      <c r="DG138" s="228">
        <v>-15.27</v>
      </c>
      <c r="DH138" s="228">
        <v>-0.1</v>
      </c>
      <c r="DI138" s="228">
        <v>28.53</v>
      </c>
      <c r="DJ138" s="228">
        <v>30.81</v>
      </c>
      <c r="DK138" s="228">
        <v>-2.2799999999999998</v>
      </c>
      <c r="DL138" s="228">
        <v>-2.2799999999999998</v>
      </c>
      <c r="DM138" s="228">
        <v>28.69</v>
      </c>
      <c r="DN138" s="228">
        <v>30.7</v>
      </c>
      <c r="DO138" s="228">
        <v>-2.0099999999999998</v>
      </c>
      <c r="DP138" s="228">
        <v>-2.0099999999999998</v>
      </c>
      <c r="DQ138" s="228">
        <v>0.65</v>
      </c>
      <c r="DR138" s="228">
        <v>0.66</v>
      </c>
      <c r="DS138" s="228">
        <v>-0.01</v>
      </c>
      <c r="DT138" s="229">
        <v>-1.52E-2</v>
      </c>
      <c r="DU138" s="231">
        <v>3500</v>
      </c>
      <c r="DV138" s="231">
        <v>3300</v>
      </c>
      <c r="DW138" s="228">
        <v>0.67</v>
      </c>
      <c r="DX138" s="228">
        <v>0.5</v>
      </c>
      <c r="DY138" s="228">
        <v>0.17</v>
      </c>
      <c r="DZ138" s="229">
        <v>0.34</v>
      </c>
      <c r="EA138" s="229">
        <v>0.83020000000000005</v>
      </c>
      <c r="EB138" s="230">
        <v>3633300</v>
      </c>
      <c r="EC138" s="229">
        <v>-5.9999999999999995E-4</v>
      </c>
      <c r="ED138" s="229">
        <v>0.83020000000000005</v>
      </c>
      <c r="EE138" s="228">
        <v>-1.66</v>
      </c>
      <c r="EF138" s="229">
        <v>-5.0000000000000001E-4</v>
      </c>
      <c r="EG138" s="230">
        <v>980894</v>
      </c>
      <c r="EH138" s="230">
        <v>290026</v>
      </c>
      <c r="EI138" s="229">
        <v>2.3820999999999999</v>
      </c>
      <c r="EJ138" s="229">
        <v>0.89859999999999995</v>
      </c>
      <c r="EK138" s="228">
        <v>706.59</v>
      </c>
      <c r="EL138" s="228">
        <v>438.41</v>
      </c>
      <c r="EM138" s="228">
        <v>296.33</v>
      </c>
      <c r="EN138" s="228">
        <v>92.59</v>
      </c>
      <c r="EO138" s="231">
        <v>1441.32</v>
      </c>
      <c r="EP138" s="231">
        <v>3672.17</v>
      </c>
      <c r="EQ138" s="231">
        <v>-2230.85</v>
      </c>
      <c r="ER138" s="229">
        <v>-0.60750000000000004</v>
      </c>
      <c r="ES138" s="228">
        <v>350.97</v>
      </c>
      <c r="ET138" s="228">
        <v>213.87</v>
      </c>
      <c r="EU138" s="231">
        <v>1238.8399999999999</v>
      </c>
      <c r="EV138" s="231">
        <v>16050690</v>
      </c>
      <c r="EW138" s="231">
        <v>1803.68</v>
      </c>
      <c r="EX138" s="231">
        <v>3182.86</v>
      </c>
      <c r="EY138" s="231">
        <v>-1379.18</v>
      </c>
      <c r="EZ138" s="229">
        <v>-0.43330000000000002</v>
      </c>
      <c r="FA138" s="229">
        <v>0.33400000000000002</v>
      </c>
      <c r="FB138" s="227" t="s">
        <v>567</v>
      </c>
      <c r="FC138">
        <f t="shared" si="2"/>
        <v>986</v>
      </c>
    </row>
    <row r="139" spans="1:159" ht="17.25" thickBot="1" x14ac:dyDescent="0.3">
      <c r="A139" s="226">
        <v>46168</v>
      </c>
      <c r="B139" s="227" t="s">
        <v>175</v>
      </c>
      <c r="C139" s="227" t="s">
        <v>486</v>
      </c>
      <c r="D139" s="228">
        <v>625</v>
      </c>
      <c r="E139" s="228">
        <v>0</v>
      </c>
      <c r="F139" s="231">
        <v>1091.2</v>
      </c>
      <c r="G139" s="231">
        <v>1096.2</v>
      </c>
      <c r="H139" s="228">
        <v>-5</v>
      </c>
      <c r="I139" s="229">
        <v>-4.5999999999999999E-3</v>
      </c>
      <c r="J139" s="231">
        <v>1095.7</v>
      </c>
      <c r="K139" s="231">
        <v>1100.0999999999999</v>
      </c>
      <c r="L139" s="228">
        <v>-4.4000000000000004</v>
      </c>
      <c r="M139" s="229">
        <v>-4.0000000000000001E-3</v>
      </c>
      <c r="N139" s="231">
        <v>1097</v>
      </c>
      <c r="O139" s="231">
        <v>1101</v>
      </c>
      <c r="P139" s="228">
        <v>-4</v>
      </c>
      <c r="Q139" s="229">
        <v>-3.5999999999999999E-3</v>
      </c>
      <c r="R139" s="231">
        <v>1091.2</v>
      </c>
      <c r="S139" s="231">
        <v>1096.2</v>
      </c>
      <c r="T139" s="228">
        <v>-5</v>
      </c>
      <c r="U139" s="229">
        <v>-4.5999999999999999E-3</v>
      </c>
      <c r="V139" s="231">
        <v>1090</v>
      </c>
      <c r="W139" s="231">
        <v>1088</v>
      </c>
      <c r="X139" s="228">
        <v>2</v>
      </c>
      <c r="Y139" s="229">
        <v>1.8E-3</v>
      </c>
      <c r="Z139" s="228">
        <v>-4.5</v>
      </c>
      <c r="AA139" s="228">
        <v>0.9</v>
      </c>
      <c r="AB139" s="228">
        <v>-5.4</v>
      </c>
      <c r="AC139" s="229">
        <v>-4.1000000000000003E-3</v>
      </c>
      <c r="AD139" s="228">
        <v>1.3</v>
      </c>
      <c r="AE139" s="228">
        <v>0.9</v>
      </c>
      <c r="AF139" s="228">
        <v>0.4</v>
      </c>
      <c r="AG139" s="229">
        <v>1.1999999999999999E-3</v>
      </c>
      <c r="AH139" s="228">
        <v>-4.5</v>
      </c>
      <c r="AI139" s="228">
        <v>-3.9</v>
      </c>
      <c r="AJ139" s="228">
        <v>-0.6</v>
      </c>
      <c r="AK139" s="229">
        <v>-4.1000000000000003E-3</v>
      </c>
      <c r="AL139" s="228">
        <v>-5.7</v>
      </c>
      <c r="AM139" s="228">
        <v>-12.1</v>
      </c>
      <c r="AN139" s="228">
        <v>6.4</v>
      </c>
      <c r="AO139" s="229">
        <v>-5.1999999999999998E-3</v>
      </c>
      <c r="AP139" s="231">
        <v>1103.6400000000001</v>
      </c>
      <c r="AQ139" s="231">
        <v>1096.79</v>
      </c>
      <c r="AR139" s="228">
        <v>0</v>
      </c>
      <c r="AS139" s="228">
        <v>195</v>
      </c>
      <c r="AT139" s="228">
        <v>465</v>
      </c>
      <c r="AU139" s="228">
        <v>-271</v>
      </c>
      <c r="AV139" s="229">
        <v>-0.58140000000000003</v>
      </c>
      <c r="AW139" s="228">
        <v>94</v>
      </c>
      <c r="AX139" s="228">
        <v>201</v>
      </c>
      <c r="AY139" s="228">
        <v>-106</v>
      </c>
      <c r="AZ139" s="229">
        <v>-0.52929999999999999</v>
      </c>
      <c r="BA139" s="228">
        <v>100</v>
      </c>
      <c r="BB139" s="228">
        <v>264</v>
      </c>
      <c r="BC139" s="228">
        <v>-165</v>
      </c>
      <c r="BD139" s="229">
        <v>-0.62319999999999998</v>
      </c>
      <c r="BE139" s="228">
        <v>1</v>
      </c>
      <c r="BF139" s="228">
        <v>1</v>
      </c>
      <c r="BG139" s="228">
        <v>0</v>
      </c>
      <c r="BH139" s="229">
        <v>0.5</v>
      </c>
      <c r="BI139" s="228">
        <v>129</v>
      </c>
      <c r="BJ139" s="228">
        <v>146</v>
      </c>
      <c r="BK139" s="228">
        <v>-17</v>
      </c>
      <c r="BL139" s="229">
        <v>-0.1171</v>
      </c>
      <c r="BM139" s="228">
        <v>98</v>
      </c>
      <c r="BN139" s="228">
        <v>42</v>
      </c>
      <c r="BO139" s="228">
        <v>56</v>
      </c>
      <c r="BP139" s="229">
        <v>1.3236000000000001</v>
      </c>
      <c r="BQ139" s="228">
        <v>422</v>
      </c>
      <c r="BR139" s="228">
        <v>654</v>
      </c>
      <c r="BS139" s="228">
        <v>-232</v>
      </c>
      <c r="BT139" s="229">
        <v>-0.35470000000000002</v>
      </c>
      <c r="BU139" s="230">
        <v>1009152</v>
      </c>
      <c r="BV139" s="230">
        <v>571903</v>
      </c>
      <c r="BW139" s="230">
        <v>437249</v>
      </c>
      <c r="BX139" s="229">
        <v>0.76459999999999995</v>
      </c>
      <c r="BY139" s="228">
        <v>365</v>
      </c>
      <c r="BZ139" s="228">
        <v>419</v>
      </c>
      <c r="CA139" s="228">
        <v>-54</v>
      </c>
      <c r="CB139" s="229">
        <v>-0.12889999999999999</v>
      </c>
      <c r="CC139" s="228">
        <v>28</v>
      </c>
      <c r="CD139" s="228">
        <v>69</v>
      </c>
      <c r="CE139" s="228">
        <v>-41</v>
      </c>
      <c r="CF139" s="229">
        <v>-0.59099999999999997</v>
      </c>
      <c r="CG139" s="228">
        <v>363</v>
      </c>
      <c r="CH139" s="228">
        <v>349</v>
      </c>
      <c r="CI139" s="228">
        <v>14</v>
      </c>
      <c r="CJ139" s="229">
        <v>3.9699999999999999E-2</v>
      </c>
      <c r="CK139" s="228">
        <v>2</v>
      </c>
      <c r="CL139" s="228">
        <v>1</v>
      </c>
      <c r="CM139" s="228">
        <v>1</v>
      </c>
      <c r="CN139" s="229">
        <v>0.5</v>
      </c>
      <c r="CO139" s="228">
        <v>23</v>
      </c>
      <c r="CP139" s="228">
        <v>166</v>
      </c>
      <c r="CQ139" s="228">
        <v>-143</v>
      </c>
      <c r="CR139" s="229">
        <v>-0.86170000000000002</v>
      </c>
      <c r="CS139" s="228">
        <v>19</v>
      </c>
      <c r="CT139" s="228">
        <v>127</v>
      </c>
      <c r="CU139" s="228">
        <v>-109</v>
      </c>
      <c r="CV139" s="229">
        <v>-0.85319999999999996</v>
      </c>
      <c r="CW139" s="228">
        <v>407</v>
      </c>
      <c r="CX139" s="228">
        <v>712</v>
      </c>
      <c r="CY139" s="228">
        <v>-306</v>
      </c>
      <c r="CZ139" s="229">
        <v>-0.4294</v>
      </c>
      <c r="DA139" s="228">
        <v>33.72</v>
      </c>
      <c r="DB139" s="228">
        <v>31.09</v>
      </c>
      <c r="DC139" s="228">
        <v>2.63</v>
      </c>
      <c r="DD139" s="228">
        <v>2.63</v>
      </c>
      <c r="DE139" s="228">
        <v>49.53</v>
      </c>
      <c r="DF139" s="228">
        <v>49.65</v>
      </c>
      <c r="DG139" s="228">
        <v>-15.81</v>
      </c>
      <c r="DH139" s="228">
        <v>-0.12</v>
      </c>
      <c r="DI139" s="228">
        <v>33.369999999999997</v>
      </c>
      <c r="DJ139" s="228">
        <v>30.76</v>
      </c>
      <c r="DK139" s="228">
        <v>2.61</v>
      </c>
      <c r="DL139" s="228">
        <v>2.61</v>
      </c>
      <c r="DM139" s="228">
        <v>34.47</v>
      </c>
      <c r="DN139" s="228">
        <v>31.9</v>
      </c>
      <c r="DO139" s="228">
        <v>2.57</v>
      </c>
      <c r="DP139" s="228">
        <v>2.57</v>
      </c>
      <c r="DQ139" s="228">
        <v>0.81</v>
      </c>
      <c r="DR139" s="228">
        <v>0.77</v>
      </c>
      <c r="DS139" s="228">
        <v>0.04</v>
      </c>
      <c r="DT139" s="229">
        <v>5.1900000000000002E-2</v>
      </c>
      <c r="DU139" s="231">
        <v>1160</v>
      </c>
      <c r="DV139" s="231">
        <v>1020</v>
      </c>
      <c r="DW139" s="228">
        <v>0.76</v>
      </c>
      <c r="DX139" s="228">
        <v>0.28999999999999998</v>
      </c>
      <c r="DY139" s="228">
        <v>0.47</v>
      </c>
      <c r="DZ139" s="229">
        <v>1.6207</v>
      </c>
      <c r="EA139" s="229">
        <v>0.92869999999999997</v>
      </c>
      <c r="EB139" s="230">
        <v>3210625</v>
      </c>
      <c r="EC139" s="229">
        <v>-5.3E-3</v>
      </c>
      <c r="ED139" s="229">
        <v>0.92869999999999997</v>
      </c>
      <c r="EE139" s="228">
        <v>-6.85</v>
      </c>
      <c r="EF139" s="229">
        <v>-6.1999999999999998E-3</v>
      </c>
      <c r="EG139" s="230">
        <v>432629</v>
      </c>
      <c r="EH139" s="230">
        <v>233065</v>
      </c>
      <c r="EI139" s="229">
        <v>0.85629999999999995</v>
      </c>
      <c r="EJ139" s="229">
        <v>0.42870000000000003</v>
      </c>
      <c r="EK139" s="228">
        <v>134.82</v>
      </c>
      <c r="EL139" s="228">
        <v>96.2</v>
      </c>
      <c r="EM139" s="228">
        <v>196.37</v>
      </c>
      <c r="EN139" s="228">
        <v>44.21</v>
      </c>
      <c r="EO139" s="228">
        <v>427.38</v>
      </c>
      <c r="EP139" s="228">
        <v>659.44</v>
      </c>
      <c r="EQ139" s="228">
        <v>-232.06</v>
      </c>
      <c r="ER139" s="229">
        <v>-0.35189999999999999</v>
      </c>
      <c r="ES139" s="228">
        <v>23.9</v>
      </c>
      <c r="ET139" s="228">
        <v>17.760000000000002</v>
      </c>
      <c r="EU139" s="228">
        <v>364.87</v>
      </c>
      <c r="EV139" s="231">
        <v>26709548</v>
      </c>
      <c r="EW139" s="228">
        <v>406.53</v>
      </c>
      <c r="EX139" s="228">
        <v>712.78</v>
      </c>
      <c r="EY139" s="228">
        <v>-306.25</v>
      </c>
      <c r="EZ139" s="229">
        <v>-0.42970000000000003</v>
      </c>
      <c r="FA139" s="229">
        <v>0.13950000000000001</v>
      </c>
      <c r="FB139" s="227" t="s">
        <v>567</v>
      </c>
      <c r="FC139">
        <f t="shared" si="2"/>
        <v>337</v>
      </c>
    </row>
    <row r="140" spans="1:159" ht="17.25" thickBot="1" x14ac:dyDescent="0.3">
      <c r="A140" s="226">
        <v>46168</v>
      </c>
      <c r="B140" s="227" t="s">
        <v>227</v>
      </c>
      <c r="C140" s="227" t="s">
        <v>263</v>
      </c>
      <c r="D140" s="228">
        <v>1875</v>
      </c>
      <c r="E140" s="228">
        <v>0</v>
      </c>
      <c r="F140" s="228">
        <v>418.45</v>
      </c>
      <c r="G140" s="228">
        <v>404.9</v>
      </c>
      <c r="H140" s="228">
        <v>13.55</v>
      </c>
      <c r="I140" s="229">
        <v>3.3500000000000002E-2</v>
      </c>
      <c r="J140" s="228">
        <v>416.2</v>
      </c>
      <c r="K140" s="228">
        <v>403</v>
      </c>
      <c r="L140" s="228">
        <v>13.2</v>
      </c>
      <c r="M140" s="229">
        <v>3.2800000000000003E-2</v>
      </c>
      <c r="N140" s="228">
        <v>416.05</v>
      </c>
      <c r="O140" s="228">
        <v>402.8</v>
      </c>
      <c r="P140" s="228">
        <v>13.25</v>
      </c>
      <c r="Q140" s="229">
        <v>3.2899999999999999E-2</v>
      </c>
      <c r="R140" s="228">
        <v>418.45</v>
      </c>
      <c r="S140" s="228">
        <v>404.9</v>
      </c>
      <c r="T140" s="228">
        <v>13.55</v>
      </c>
      <c r="U140" s="229">
        <v>3.3500000000000002E-2</v>
      </c>
      <c r="V140" s="228">
        <v>420.6</v>
      </c>
      <c r="W140" s="228">
        <v>407</v>
      </c>
      <c r="X140" s="228">
        <v>13.6</v>
      </c>
      <c r="Y140" s="229">
        <v>3.3399999999999999E-2</v>
      </c>
      <c r="Z140" s="228">
        <v>2.25</v>
      </c>
      <c r="AA140" s="228">
        <v>-0.2</v>
      </c>
      <c r="AB140" s="228">
        <v>2.4500000000000002</v>
      </c>
      <c r="AC140" s="229">
        <v>5.4000000000000003E-3</v>
      </c>
      <c r="AD140" s="228">
        <v>-0.15</v>
      </c>
      <c r="AE140" s="228">
        <v>-0.2</v>
      </c>
      <c r="AF140" s="228">
        <v>0.05</v>
      </c>
      <c r="AG140" s="229">
        <v>-4.0000000000000002E-4</v>
      </c>
      <c r="AH140" s="228">
        <v>2.25</v>
      </c>
      <c r="AI140" s="228">
        <v>1.9</v>
      </c>
      <c r="AJ140" s="228">
        <v>0.35</v>
      </c>
      <c r="AK140" s="229">
        <v>5.4000000000000003E-3</v>
      </c>
      <c r="AL140" s="228">
        <v>4.4000000000000004</v>
      </c>
      <c r="AM140" s="228">
        <v>4</v>
      </c>
      <c r="AN140" s="228">
        <v>0.4</v>
      </c>
      <c r="AO140" s="229">
        <v>1.06E-2</v>
      </c>
      <c r="AP140" s="228">
        <v>411.43</v>
      </c>
      <c r="AQ140" s="228">
        <v>413.9</v>
      </c>
      <c r="AR140" s="228">
        <v>0</v>
      </c>
      <c r="AS140" s="230">
        <v>1612</v>
      </c>
      <c r="AT140" s="230">
        <v>1015</v>
      </c>
      <c r="AU140" s="228">
        <v>597</v>
      </c>
      <c r="AV140" s="229">
        <v>0.58830000000000005</v>
      </c>
      <c r="AW140" s="228">
        <v>657</v>
      </c>
      <c r="AX140" s="228">
        <v>457</v>
      </c>
      <c r="AY140" s="228">
        <v>200</v>
      </c>
      <c r="AZ140" s="229">
        <v>0.43619999999999998</v>
      </c>
      <c r="BA140" s="228">
        <v>939</v>
      </c>
      <c r="BB140" s="228">
        <v>549</v>
      </c>
      <c r="BC140" s="228">
        <v>390</v>
      </c>
      <c r="BD140" s="229">
        <v>0.71120000000000005</v>
      </c>
      <c r="BE140" s="228">
        <v>16</v>
      </c>
      <c r="BF140" s="228">
        <v>9</v>
      </c>
      <c r="BG140" s="228">
        <v>7</v>
      </c>
      <c r="BH140" s="229">
        <v>0.83330000000000004</v>
      </c>
      <c r="BI140" s="230">
        <v>1554</v>
      </c>
      <c r="BJ140" s="230">
        <v>1156</v>
      </c>
      <c r="BK140" s="228">
        <v>398</v>
      </c>
      <c r="BL140" s="229">
        <v>0.34449999999999997</v>
      </c>
      <c r="BM140" s="228">
        <v>712</v>
      </c>
      <c r="BN140" s="228">
        <v>565</v>
      </c>
      <c r="BO140" s="228">
        <v>147</v>
      </c>
      <c r="BP140" s="229">
        <v>0.26029999999999998</v>
      </c>
      <c r="BQ140" s="230">
        <v>3879</v>
      </c>
      <c r="BR140" s="230">
        <v>2736</v>
      </c>
      <c r="BS140" s="230">
        <v>1143</v>
      </c>
      <c r="BT140" s="229">
        <v>0.41760000000000003</v>
      </c>
      <c r="BU140" s="230">
        <v>7982283</v>
      </c>
      <c r="BV140" s="230">
        <v>6896905</v>
      </c>
      <c r="BW140" s="230">
        <v>1085378</v>
      </c>
      <c r="BX140" s="229">
        <v>0.15740000000000001</v>
      </c>
      <c r="BY140" s="230">
        <v>1738</v>
      </c>
      <c r="BZ140" s="230">
        <v>1881</v>
      </c>
      <c r="CA140" s="228">
        <v>-142</v>
      </c>
      <c r="CB140" s="229">
        <v>-7.5800000000000006E-2</v>
      </c>
      <c r="CC140" s="228">
        <v>129</v>
      </c>
      <c r="CD140" s="228">
        <v>580</v>
      </c>
      <c r="CE140" s="228">
        <v>-451</v>
      </c>
      <c r="CF140" s="229">
        <v>-0.77810000000000001</v>
      </c>
      <c r="CG140" s="230">
        <v>1715</v>
      </c>
      <c r="CH140" s="230">
        <v>1284</v>
      </c>
      <c r="CI140" s="228">
        <v>431</v>
      </c>
      <c r="CJ140" s="229">
        <v>0.33600000000000002</v>
      </c>
      <c r="CK140" s="228">
        <v>23</v>
      </c>
      <c r="CL140" s="228">
        <v>17</v>
      </c>
      <c r="CM140" s="228">
        <v>6</v>
      </c>
      <c r="CN140" s="229">
        <v>0.32729999999999998</v>
      </c>
      <c r="CO140" s="228">
        <v>426</v>
      </c>
      <c r="CP140" s="230">
        <v>1161</v>
      </c>
      <c r="CQ140" s="228">
        <v>-734</v>
      </c>
      <c r="CR140" s="229">
        <v>-0.63260000000000005</v>
      </c>
      <c r="CS140" s="228">
        <v>299</v>
      </c>
      <c r="CT140" s="228">
        <v>663</v>
      </c>
      <c r="CU140" s="228">
        <v>-365</v>
      </c>
      <c r="CV140" s="229">
        <v>-0.54990000000000006</v>
      </c>
      <c r="CW140" s="230">
        <v>2463</v>
      </c>
      <c r="CX140" s="230">
        <v>3705</v>
      </c>
      <c r="CY140" s="230">
        <v>-1242</v>
      </c>
      <c r="CZ140" s="229">
        <v>-0.33510000000000001</v>
      </c>
      <c r="DA140" s="228">
        <v>32.130000000000003</v>
      </c>
      <c r="DB140" s="228">
        <v>33.130000000000003</v>
      </c>
      <c r="DC140" s="228">
        <v>-1</v>
      </c>
      <c r="DD140" s="228">
        <v>-1</v>
      </c>
      <c r="DE140" s="228">
        <v>50.94</v>
      </c>
      <c r="DF140" s="228">
        <v>50.88</v>
      </c>
      <c r="DG140" s="228">
        <v>-18.809999999999999</v>
      </c>
      <c r="DH140" s="228">
        <v>0.06</v>
      </c>
      <c r="DI140" s="228">
        <v>32.01</v>
      </c>
      <c r="DJ140" s="228">
        <v>33.270000000000003</v>
      </c>
      <c r="DK140" s="228">
        <v>-1.26</v>
      </c>
      <c r="DL140" s="228">
        <v>-1.26</v>
      </c>
      <c r="DM140" s="228">
        <v>32.47</v>
      </c>
      <c r="DN140" s="228">
        <v>32.78</v>
      </c>
      <c r="DO140" s="228">
        <v>-0.31</v>
      </c>
      <c r="DP140" s="228">
        <v>-0.31</v>
      </c>
      <c r="DQ140" s="228">
        <v>0.7</v>
      </c>
      <c r="DR140" s="228">
        <v>0.56999999999999995</v>
      </c>
      <c r="DS140" s="228">
        <v>0.13</v>
      </c>
      <c r="DT140" s="229">
        <v>0.2281</v>
      </c>
      <c r="DU140" s="228">
        <v>440</v>
      </c>
      <c r="DV140" s="228">
        <v>400</v>
      </c>
      <c r="DW140" s="228">
        <v>0.46</v>
      </c>
      <c r="DX140" s="228">
        <v>0.49</v>
      </c>
      <c r="DY140" s="228">
        <v>-0.03</v>
      </c>
      <c r="DZ140" s="229">
        <v>-6.1199999999999997E-2</v>
      </c>
      <c r="EA140" s="229">
        <v>0.93110000000000004</v>
      </c>
      <c r="EB140" s="230">
        <v>31095000</v>
      </c>
      <c r="EC140" s="229">
        <v>5.7999999999999996E-3</v>
      </c>
      <c r="ED140" s="229">
        <v>0.93110000000000004</v>
      </c>
      <c r="EE140" s="228">
        <v>2.4700000000000002</v>
      </c>
      <c r="EF140" s="229">
        <v>6.0000000000000001E-3</v>
      </c>
      <c r="EG140" s="230">
        <v>3290728</v>
      </c>
      <c r="EH140" s="230">
        <v>3294954</v>
      </c>
      <c r="EI140" s="229">
        <v>-1.2999999999999999E-3</v>
      </c>
      <c r="EJ140" s="229">
        <v>0.4123</v>
      </c>
      <c r="EK140" s="231">
        <v>1594.06</v>
      </c>
      <c r="EL140" s="228">
        <v>697.77</v>
      </c>
      <c r="EM140" s="231">
        <v>1591.01</v>
      </c>
      <c r="EN140" s="228">
        <v>102.72</v>
      </c>
      <c r="EO140" s="231">
        <v>3882.84</v>
      </c>
      <c r="EP140" s="231">
        <v>2694.74</v>
      </c>
      <c r="EQ140" s="231">
        <v>1188.0999999999999</v>
      </c>
      <c r="ER140" s="229">
        <v>0.44090000000000001</v>
      </c>
      <c r="ES140" s="228">
        <v>432.2</v>
      </c>
      <c r="ET140" s="228">
        <v>283.81</v>
      </c>
      <c r="EU140" s="231">
        <v>1738.31</v>
      </c>
      <c r="EV140" s="231">
        <v>134225816</v>
      </c>
      <c r="EW140" s="231">
        <v>2454.3200000000002</v>
      </c>
      <c r="EX140" s="231">
        <v>3652.59</v>
      </c>
      <c r="EY140" s="231">
        <v>-1198.27</v>
      </c>
      <c r="EZ140" s="229">
        <v>-0.3281</v>
      </c>
      <c r="FA140" s="229">
        <v>0.43859999999999999</v>
      </c>
      <c r="FB140" s="227" t="s">
        <v>691</v>
      </c>
      <c r="FC140">
        <f t="shared" si="2"/>
        <v>1609</v>
      </c>
    </row>
    <row r="141" spans="1:159" ht="17.25" thickBot="1" x14ac:dyDescent="0.3">
      <c r="A141" s="226">
        <v>46168</v>
      </c>
      <c r="B141" s="227" t="s">
        <v>614</v>
      </c>
      <c r="C141" s="227" t="s">
        <v>264</v>
      </c>
      <c r="D141" s="228">
        <v>375</v>
      </c>
      <c r="E141" s="228">
        <v>0</v>
      </c>
      <c r="F141" s="228">
        <v>988.75</v>
      </c>
      <c r="G141" s="228">
        <v>944.7</v>
      </c>
      <c r="H141" s="228">
        <v>44.05</v>
      </c>
      <c r="I141" s="229">
        <v>4.6600000000000003E-2</v>
      </c>
      <c r="J141" s="228">
        <v>980.7</v>
      </c>
      <c r="K141" s="228">
        <v>938.5</v>
      </c>
      <c r="L141" s="228">
        <v>42.2</v>
      </c>
      <c r="M141" s="229">
        <v>4.4999999999999998E-2</v>
      </c>
      <c r="N141" s="228">
        <v>982</v>
      </c>
      <c r="O141" s="228">
        <v>938.35</v>
      </c>
      <c r="P141" s="228">
        <v>43.65</v>
      </c>
      <c r="Q141" s="229">
        <v>4.65E-2</v>
      </c>
      <c r="R141" s="228">
        <v>988.75</v>
      </c>
      <c r="S141" s="228">
        <v>944.7</v>
      </c>
      <c r="T141" s="228">
        <v>44.05</v>
      </c>
      <c r="U141" s="229">
        <v>4.6600000000000003E-2</v>
      </c>
      <c r="V141" s="228">
        <v>990.45</v>
      </c>
      <c r="W141" s="228">
        <v>947.8</v>
      </c>
      <c r="X141" s="228">
        <v>42.65</v>
      </c>
      <c r="Y141" s="229">
        <v>4.4999999999999998E-2</v>
      </c>
      <c r="Z141" s="228">
        <v>8.0500000000000007</v>
      </c>
      <c r="AA141" s="228">
        <v>-0.15</v>
      </c>
      <c r="AB141" s="228">
        <v>8.1999999999999993</v>
      </c>
      <c r="AC141" s="229">
        <v>8.2000000000000007E-3</v>
      </c>
      <c r="AD141" s="228">
        <v>1.3</v>
      </c>
      <c r="AE141" s="228">
        <v>-0.15</v>
      </c>
      <c r="AF141" s="228">
        <v>1.45</v>
      </c>
      <c r="AG141" s="229">
        <v>1.2999999999999999E-3</v>
      </c>
      <c r="AH141" s="228">
        <v>8.0500000000000007</v>
      </c>
      <c r="AI141" s="228">
        <v>6.2</v>
      </c>
      <c r="AJ141" s="228">
        <v>1.85</v>
      </c>
      <c r="AK141" s="229">
        <v>8.2000000000000007E-3</v>
      </c>
      <c r="AL141" s="228">
        <v>9.75</v>
      </c>
      <c r="AM141" s="228">
        <v>9.3000000000000007</v>
      </c>
      <c r="AN141" s="228">
        <v>0.45</v>
      </c>
      <c r="AO141" s="229">
        <v>9.9000000000000008E-3</v>
      </c>
      <c r="AP141" s="228">
        <v>970.65</v>
      </c>
      <c r="AQ141" s="228">
        <v>978.56</v>
      </c>
      <c r="AR141" s="228">
        <v>0</v>
      </c>
      <c r="AS141" s="228">
        <v>567</v>
      </c>
      <c r="AT141" s="230">
        <v>1195</v>
      </c>
      <c r="AU141" s="228">
        <v>-627</v>
      </c>
      <c r="AV141" s="229">
        <v>-0.5252</v>
      </c>
      <c r="AW141" s="228">
        <v>187</v>
      </c>
      <c r="AX141" s="228">
        <v>452</v>
      </c>
      <c r="AY141" s="228">
        <v>-265</v>
      </c>
      <c r="AZ141" s="229">
        <v>-0.58609999999999995</v>
      </c>
      <c r="BA141" s="228">
        <v>372</v>
      </c>
      <c r="BB141" s="228">
        <v>734</v>
      </c>
      <c r="BC141" s="228">
        <v>-362</v>
      </c>
      <c r="BD141" s="229">
        <v>-0.49280000000000002</v>
      </c>
      <c r="BE141" s="228">
        <v>8</v>
      </c>
      <c r="BF141" s="228">
        <v>9</v>
      </c>
      <c r="BG141" s="228">
        <v>-1</v>
      </c>
      <c r="BH141" s="229">
        <v>-0.1021</v>
      </c>
      <c r="BI141" s="230">
        <v>2281</v>
      </c>
      <c r="BJ141" s="230">
        <v>3412</v>
      </c>
      <c r="BK141" s="230">
        <v>-1131</v>
      </c>
      <c r="BL141" s="229">
        <v>-0.33139999999999997</v>
      </c>
      <c r="BM141" s="228">
        <v>764</v>
      </c>
      <c r="BN141" s="230">
        <v>2010</v>
      </c>
      <c r="BO141" s="230">
        <v>-1245</v>
      </c>
      <c r="BP141" s="229">
        <v>-0.61970000000000003</v>
      </c>
      <c r="BQ141" s="230">
        <v>3613</v>
      </c>
      <c r="BR141" s="230">
        <v>6616</v>
      </c>
      <c r="BS141" s="230">
        <v>-3003</v>
      </c>
      <c r="BT141" s="229">
        <v>-0.45400000000000001</v>
      </c>
      <c r="BU141" s="230">
        <v>5047962</v>
      </c>
      <c r="BV141" s="230">
        <v>9695450</v>
      </c>
      <c r="BW141" s="230">
        <v>-4647488</v>
      </c>
      <c r="BX141" s="229">
        <v>-0.4793</v>
      </c>
      <c r="BY141" s="230">
        <v>1515</v>
      </c>
      <c r="BZ141" s="230">
        <v>1532</v>
      </c>
      <c r="CA141" s="228">
        <v>-17</v>
      </c>
      <c r="CB141" s="229">
        <v>-1.12E-2</v>
      </c>
      <c r="CC141" s="228">
        <v>23</v>
      </c>
      <c r="CD141" s="228">
        <v>129</v>
      </c>
      <c r="CE141" s="228">
        <v>-106</v>
      </c>
      <c r="CF141" s="229">
        <v>-0.82520000000000004</v>
      </c>
      <c r="CG141" s="230">
        <v>1470</v>
      </c>
      <c r="CH141" s="230">
        <v>1358</v>
      </c>
      <c r="CI141" s="228">
        <v>112</v>
      </c>
      <c r="CJ141" s="229">
        <v>8.2299999999999998E-2</v>
      </c>
      <c r="CK141" s="228">
        <v>45</v>
      </c>
      <c r="CL141" s="228">
        <v>45</v>
      </c>
      <c r="CM141" s="228">
        <v>0</v>
      </c>
      <c r="CN141" s="229">
        <v>1.1999999999999999E-3</v>
      </c>
      <c r="CO141" s="228">
        <v>253</v>
      </c>
      <c r="CP141" s="228">
        <v>565</v>
      </c>
      <c r="CQ141" s="228">
        <v>-312</v>
      </c>
      <c r="CR141" s="229">
        <v>-0.55220000000000002</v>
      </c>
      <c r="CS141" s="228">
        <v>193</v>
      </c>
      <c r="CT141" s="228">
        <v>346</v>
      </c>
      <c r="CU141" s="228">
        <v>-153</v>
      </c>
      <c r="CV141" s="229">
        <v>-0.44190000000000002</v>
      </c>
      <c r="CW141" s="230">
        <v>1961</v>
      </c>
      <c r="CX141" s="230">
        <v>2442</v>
      </c>
      <c r="CY141" s="228">
        <v>-482</v>
      </c>
      <c r="CZ141" s="229">
        <v>-0.19719999999999999</v>
      </c>
      <c r="DA141" s="228">
        <v>32.31</v>
      </c>
      <c r="DB141" s="228">
        <v>33.770000000000003</v>
      </c>
      <c r="DC141" s="228">
        <v>-1.46</v>
      </c>
      <c r="DD141" s="228">
        <v>-1.46</v>
      </c>
      <c r="DE141" s="228">
        <v>36.9</v>
      </c>
      <c r="DF141" s="228">
        <v>36.479999999999997</v>
      </c>
      <c r="DG141" s="228">
        <v>-4.59</v>
      </c>
      <c r="DH141" s="228">
        <v>0.42</v>
      </c>
      <c r="DI141" s="228">
        <v>31.82</v>
      </c>
      <c r="DJ141" s="228">
        <v>33.369999999999997</v>
      </c>
      <c r="DK141" s="228">
        <v>-1.55</v>
      </c>
      <c r="DL141" s="228">
        <v>-1.55</v>
      </c>
      <c r="DM141" s="228">
        <v>33.799999999999997</v>
      </c>
      <c r="DN141" s="228">
        <v>34.659999999999997</v>
      </c>
      <c r="DO141" s="228">
        <v>-0.86</v>
      </c>
      <c r="DP141" s="228">
        <v>-0.86</v>
      </c>
      <c r="DQ141" s="228">
        <v>0.76</v>
      </c>
      <c r="DR141" s="228">
        <v>0.61</v>
      </c>
      <c r="DS141" s="228">
        <v>0.15</v>
      </c>
      <c r="DT141" s="229">
        <v>0.24590000000000001</v>
      </c>
      <c r="DU141" s="231">
        <v>1000</v>
      </c>
      <c r="DV141" s="228">
        <v>900</v>
      </c>
      <c r="DW141" s="228">
        <v>0.34</v>
      </c>
      <c r="DX141" s="228">
        <v>0.59</v>
      </c>
      <c r="DY141" s="228">
        <v>-0.25</v>
      </c>
      <c r="DZ141" s="229">
        <v>-0.42370000000000002</v>
      </c>
      <c r="EA141" s="229">
        <v>0.98529999999999995</v>
      </c>
      <c r="EB141" s="230">
        <v>14190350</v>
      </c>
      <c r="EC141" s="229">
        <v>6.8999999999999999E-3</v>
      </c>
      <c r="ED141" s="229">
        <v>0.98529999999999995</v>
      </c>
      <c r="EE141" s="228">
        <v>7.91</v>
      </c>
      <c r="EF141" s="229">
        <v>8.0999999999999996E-3</v>
      </c>
      <c r="EG141" s="230">
        <v>2290998</v>
      </c>
      <c r="EH141" s="230">
        <v>5002783</v>
      </c>
      <c r="EI141" s="229">
        <v>-0.54210000000000003</v>
      </c>
      <c r="EJ141" s="229">
        <v>0.45379999999999998</v>
      </c>
      <c r="EK141" s="231">
        <v>2325.44</v>
      </c>
      <c r="EL141" s="228">
        <v>735.32</v>
      </c>
      <c r="EM141" s="228">
        <v>563.4</v>
      </c>
      <c r="EN141" s="228">
        <v>231.72</v>
      </c>
      <c r="EO141" s="231">
        <v>3624.16</v>
      </c>
      <c r="EP141" s="231">
        <v>6375.17</v>
      </c>
      <c r="EQ141" s="231">
        <v>-2751.01</v>
      </c>
      <c r="ER141" s="229">
        <v>-0.43149999999999999</v>
      </c>
      <c r="ES141" s="228">
        <v>256.89</v>
      </c>
      <c r="ET141" s="228">
        <v>177</v>
      </c>
      <c r="EU141" s="231">
        <v>1514.96</v>
      </c>
      <c r="EV141" s="231">
        <v>60562281</v>
      </c>
      <c r="EW141" s="231">
        <v>1948.84</v>
      </c>
      <c r="EX141" s="231">
        <v>2356.42</v>
      </c>
      <c r="EY141" s="228">
        <v>-407.58</v>
      </c>
      <c r="EZ141" s="229">
        <v>-0.17299999999999999</v>
      </c>
      <c r="FA141" s="229">
        <v>0.32740000000000002</v>
      </c>
      <c r="FB141" s="227" t="s">
        <v>691</v>
      </c>
      <c r="FC141">
        <f t="shared" si="2"/>
        <v>1492</v>
      </c>
    </row>
    <row r="142" spans="1:159" ht="17.25" thickBot="1" x14ac:dyDescent="0.3">
      <c r="A142" s="226">
        <v>46168</v>
      </c>
      <c r="B142" s="227" t="s">
        <v>206</v>
      </c>
      <c r="C142" s="227" t="s">
        <v>550</v>
      </c>
      <c r="D142" s="228">
        <v>6500</v>
      </c>
      <c r="E142" s="228">
        <v>0</v>
      </c>
      <c r="F142" s="228">
        <v>96.5</v>
      </c>
      <c r="G142" s="228">
        <v>97.49</v>
      </c>
      <c r="H142" s="228">
        <v>-0.99</v>
      </c>
      <c r="I142" s="229">
        <v>-1.0200000000000001E-2</v>
      </c>
      <c r="J142" s="228">
        <v>95.55</v>
      </c>
      <c r="K142" s="228">
        <v>96.79</v>
      </c>
      <c r="L142" s="228">
        <v>-1.24</v>
      </c>
      <c r="M142" s="229">
        <v>-1.2800000000000001E-2</v>
      </c>
      <c r="N142" s="228">
        <v>95.79</v>
      </c>
      <c r="O142" s="228">
        <v>96.9</v>
      </c>
      <c r="P142" s="228">
        <v>-1.1100000000000001</v>
      </c>
      <c r="Q142" s="229">
        <v>-1.15E-2</v>
      </c>
      <c r="R142" s="228">
        <v>96.5</v>
      </c>
      <c r="S142" s="228">
        <v>97.49</v>
      </c>
      <c r="T142" s="228">
        <v>-0.99</v>
      </c>
      <c r="U142" s="229">
        <v>-1.0200000000000001E-2</v>
      </c>
      <c r="V142" s="228">
        <v>97.13</v>
      </c>
      <c r="W142" s="228">
        <v>98.12</v>
      </c>
      <c r="X142" s="228">
        <v>-0.99</v>
      </c>
      <c r="Y142" s="229">
        <v>-1.01E-2</v>
      </c>
      <c r="Z142" s="228">
        <v>0.95</v>
      </c>
      <c r="AA142" s="228">
        <v>0.11</v>
      </c>
      <c r="AB142" s="228">
        <v>0.84</v>
      </c>
      <c r="AC142" s="229">
        <v>9.9000000000000008E-3</v>
      </c>
      <c r="AD142" s="228">
        <v>0.24</v>
      </c>
      <c r="AE142" s="228">
        <v>0.11</v>
      </c>
      <c r="AF142" s="228">
        <v>0.13</v>
      </c>
      <c r="AG142" s="229">
        <v>2.5000000000000001E-3</v>
      </c>
      <c r="AH142" s="228">
        <v>0.95</v>
      </c>
      <c r="AI142" s="228">
        <v>0.7</v>
      </c>
      <c r="AJ142" s="228">
        <v>0.25</v>
      </c>
      <c r="AK142" s="229">
        <v>9.9000000000000008E-3</v>
      </c>
      <c r="AL142" s="228">
        <v>1.58</v>
      </c>
      <c r="AM142" s="228">
        <v>1.33</v>
      </c>
      <c r="AN142" s="228">
        <v>0.25</v>
      </c>
      <c r="AO142" s="229">
        <v>1.6500000000000001E-2</v>
      </c>
      <c r="AP142" s="228">
        <v>97.01</v>
      </c>
      <c r="AQ142" s="228">
        <v>97.3</v>
      </c>
      <c r="AR142" s="228">
        <v>0</v>
      </c>
      <c r="AS142" s="228">
        <v>717</v>
      </c>
      <c r="AT142" s="228">
        <v>935</v>
      </c>
      <c r="AU142" s="228">
        <v>-218</v>
      </c>
      <c r="AV142" s="229">
        <v>-0.2336</v>
      </c>
      <c r="AW142" s="228">
        <v>230</v>
      </c>
      <c r="AX142" s="228">
        <v>386</v>
      </c>
      <c r="AY142" s="228">
        <v>-156</v>
      </c>
      <c r="AZ142" s="229">
        <v>-0.40389999999999998</v>
      </c>
      <c r="BA142" s="228">
        <v>480</v>
      </c>
      <c r="BB142" s="228">
        <v>543</v>
      </c>
      <c r="BC142" s="228">
        <v>-63</v>
      </c>
      <c r="BD142" s="229">
        <v>-0.11559999999999999</v>
      </c>
      <c r="BE142" s="228">
        <v>7</v>
      </c>
      <c r="BF142" s="228">
        <v>6</v>
      </c>
      <c r="BG142" s="228">
        <v>0</v>
      </c>
      <c r="BH142" s="229">
        <v>2.9399999999999999E-2</v>
      </c>
      <c r="BI142" s="228">
        <v>566</v>
      </c>
      <c r="BJ142" s="228">
        <v>892</v>
      </c>
      <c r="BK142" s="228">
        <v>-326</v>
      </c>
      <c r="BL142" s="229">
        <v>-0.36530000000000001</v>
      </c>
      <c r="BM142" s="228">
        <v>274</v>
      </c>
      <c r="BN142" s="228">
        <v>431</v>
      </c>
      <c r="BO142" s="228">
        <v>-156</v>
      </c>
      <c r="BP142" s="229">
        <v>-0.3634</v>
      </c>
      <c r="BQ142" s="230">
        <v>1557</v>
      </c>
      <c r="BR142" s="230">
        <v>2258</v>
      </c>
      <c r="BS142" s="228">
        <v>-701</v>
      </c>
      <c r="BT142" s="229">
        <v>-0.31040000000000001</v>
      </c>
      <c r="BU142" s="230">
        <v>32765913</v>
      </c>
      <c r="BV142" s="230">
        <v>36044998</v>
      </c>
      <c r="BW142" s="230">
        <v>-3279085</v>
      </c>
      <c r="BX142" s="229">
        <v>-9.0999999999999998E-2</v>
      </c>
      <c r="BY142" s="228">
        <v>926</v>
      </c>
      <c r="BZ142" s="228">
        <v>940</v>
      </c>
      <c r="CA142" s="228">
        <v>-14</v>
      </c>
      <c r="CB142" s="229">
        <v>-1.5299999999999999E-2</v>
      </c>
      <c r="CC142" s="228">
        <v>19</v>
      </c>
      <c r="CD142" s="228">
        <v>149</v>
      </c>
      <c r="CE142" s="228">
        <v>-131</v>
      </c>
      <c r="CF142" s="229">
        <v>-0.87580000000000002</v>
      </c>
      <c r="CG142" s="228">
        <v>914</v>
      </c>
      <c r="CH142" s="228">
        <v>782</v>
      </c>
      <c r="CI142" s="228">
        <v>131</v>
      </c>
      <c r="CJ142" s="229">
        <v>0.16750000000000001</v>
      </c>
      <c r="CK142" s="228">
        <v>13</v>
      </c>
      <c r="CL142" s="228">
        <v>9</v>
      </c>
      <c r="CM142" s="228">
        <v>4</v>
      </c>
      <c r="CN142" s="229">
        <v>0.39860000000000001</v>
      </c>
      <c r="CO142" s="228">
        <v>173</v>
      </c>
      <c r="CP142" s="228">
        <v>238</v>
      </c>
      <c r="CQ142" s="228">
        <v>-65</v>
      </c>
      <c r="CR142" s="229">
        <v>-0.27289999999999998</v>
      </c>
      <c r="CS142" s="228">
        <v>106</v>
      </c>
      <c r="CT142" s="228">
        <v>165</v>
      </c>
      <c r="CU142" s="228">
        <v>-58</v>
      </c>
      <c r="CV142" s="229">
        <v>-0.3548</v>
      </c>
      <c r="CW142" s="230">
        <v>1205</v>
      </c>
      <c r="CX142" s="230">
        <v>1343</v>
      </c>
      <c r="CY142" s="228">
        <v>-138</v>
      </c>
      <c r="CZ142" s="229">
        <v>-0.1026</v>
      </c>
      <c r="DA142" s="228">
        <v>36.909999999999997</v>
      </c>
      <c r="DB142" s="228">
        <v>39.57</v>
      </c>
      <c r="DC142" s="228">
        <v>-2.66</v>
      </c>
      <c r="DD142" s="228">
        <v>-2.66</v>
      </c>
      <c r="DE142" s="228">
        <v>50.43</v>
      </c>
      <c r="DF142" s="228">
        <v>50.54</v>
      </c>
      <c r="DG142" s="228">
        <v>-13.52</v>
      </c>
      <c r="DH142" s="228">
        <v>-0.11</v>
      </c>
      <c r="DI142" s="228">
        <v>37.049999999999997</v>
      </c>
      <c r="DJ142" s="228">
        <v>39.479999999999997</v>
      </c>
      <c r="DK142" s="228">
        <v>-2.4300000000000002</v>
      </c>
      <c r="DL142" s="228">
        <v>-2.4300000000000002</v>
      </c>
      <c r="DM142" s="228">
        <v>36.590000000000003</v>
      </c>
      <c r="DN142" s="228">
        <v>39.76</v>
      </c>
      <c r="DO142" s="228">
        <v>-3.17</v>
      </c>
      <c r="DP142" s="228">
        <v>-3.17</v>
      </c>
      <c r="DQ142" s="228">
        <v>0.61</v>
      </c>
      <c r="DR142" s="228">
        <v>0.69</v>
      </c>
      <c r="DS142" s="228">
        <v>-0.08</v>
      </c>
      <c r="DT142" s="229">
        <v>-0.1159</v>
      </c>
      <c r="DU142" s="228">
        <v>100</v>
      </c>
      <c r="DV142" s="228">
        <v>95</v>
      </c>
      <c r="DW142" s="228">
        <v>0.48</v>
      </c>
      <c r="DX142" s="228">
        <v>0.48</v>
      </c>
      <c r="DY142" s="228">
        <v>0</v>
      </c>
      <c r="DZ142" s="229">
        <v>0</v>
      </c>
      <c r="EA142" s="229">
        <v>0.98040000000000005</v>
      </c>
      <c r="EB142" s="230">
        <v>82017000</v>
      </c>
      <c r="EC142" s="229">
        <v>7.4000000000000003E-3</v>
      </c>
      <c r="ED142" s="229">
        <v>0.98040000000000005</v>
      </c>
      <c r="EE142" s="228">
        <v>0.28999999999999998</v>
      </c>
      <c r="EF142" s="229">
        <v>3.0000000000000001E-3</v>
      </c>
      <c r="EG142" s="230">
        <v>11984064</v>
      </c>
      <c r="EH142" s="230">
        <v>7985317</v>
      </c>
      <c r="EI142" s="229">
        <v>0.50080000000000002</v>
      </c>
      <c r="EJ142" s="229">
        <v>0.36570000000000003</v>
      </c>
      <c r="EK142" s="228">
        <v>602.71</v>
      </c>
      <c r="EL142" s="228">
        <v>278.04000000000002</v>
      </c>
      <c r="EM142" s="228">
        <v>721.77</v>
      </c>
      <c r="EN142" s="228">
        <v>67.650000000000006</v>
      </c>
      <c r="EO142" s="231">
        <v>1602.52</v>
      </c>
      <c r="EP142" s="231">
        <v>2332.2800000000002</v>
      </c>
      <c r="EQ142" s="228">
        <v>-729.76</v>
      </c>
      <c r="ER142" s="229">
        <v>-0.31290000000000001</v>
      </c>
      <c r="ES142" s="228">
        <v>179.81</v>
      </c>
      <c r="ET142" s="228">
        <v>104.76</v>
      </c>
      <c r="EU142" s="228">
        <v>926.15</v>
      </c>
      <c r="EV142" s="231">
        <v>154894704</v>
      </c>
      <c r="EW142" s="231">
        <v>1210.72</v>
      </c>
      <c r="EX142" s="231">
        <v>1359.15</v>
      </c>
      <c r="EY142" s="228">
        <v>-148.43</v>
      </c>
      <c r="EZ142" s="229">
        <v>-0.10920000000000001</v>
      </c>
      <c r="FA142" s="229">
        <v>0.80630000000000002</v>
      </c>
      <c r="FB142" s="227" t="s">
        <v>567</v>
      </c>
      <c r="FC142">
        <f t="shared" si="2"/>
        <v>907</v>
      </c>
    </row>
    <row r="143" spans="1:159" ht="17.25" thickBot="1" x14ac:dyDescent="0.3">
      <c r="A143" s="226">
        <v>46168</v>
      </c>
      <c r="B143" s="227" t="s">
        <v>168</v>
      </c>
      <c r="C143" s="227" t="s">
        <v>265</v>
      </c>
      <c r="D143" s="228">
        <v>500</v>
      </c>
      <c r="E143" s="228">
        <v>0</v>
      </c>
      <c r="F143" s="231">
        <v>1437</v>
      </c>
      <c r="G143" s="231">
        <v>1424.3</v>
      </c>
      <c r="H143" s="228">
        <v>12.7</v>
      </c>
      <c r="I143" s="229">
        <v>8.8999999999999999E-3</v>
      </c>
      <c r="J143" s="231">
        <v>1428.6</v>
      </c>
      <c r="K143" s="231">
        <v>1413.6</v>
      </c>
      <c r="L143" s="228">
        <v>15</v>
      </c>
      <c r="M143" s="229">
        <v>1.06E-2</v>
      </c>
      <c r="N143" s="231">
        <v>1428</v>
      </c>
      <c r="O143" s="231">
        <v>1416</v>
      </c>
      <c r="P143" s="228">
        <v>12</v>
      </c>
      <c r="Q143" s="229">
        <v>8.5000000000000006E-3</v>
      </c>
      <c r="R143" s="231">
        <v>1437</v>
      </c>
      <c r="S143" s="231">
        <v>1424.3</v>
      </c>
      <c r="T143" s="228">
        <v>12.7</v>
      </c>
      <c r="U143" s="229">
        <v>8.8999999999999999E-3</v>
      </c>
      <c r="V143" s="231">
        <v>1439</v>
      </c>
      <c r="W143" s="231">
        <v>1430.3</v>
      </c>
      <c r="X143" s="228">
        <v>8.6999999999999993</v>
      </c>
      <c r="Y143" s="229">
        <v>6.1000000000000004E-3</v>
      </c>
      <c r="Z143" s="228">
        <v>8.4</v>
      </c>
      <c r="AA143" s="228">
        <v>2.4</v>
      </c>
      <c r="AB143" s="228">
        <v>6</v>
      </c>
      <c r="AC143" s="229">
        <v>5.8999999999999999E-3</v>
      </c>
      <c r="AD143" s="228">
        <v>-0.6</v>
      </c>
      <c r="AE143" s="228">
        <v>2.4</v>
      </c>
      <c r="AF143" s="228">
        <v>-3</v>
      </c>
      <c r="AG143" s="229">
        <v>-4.0000000000000002E-4</v>
      </c>
      <c r="AH143" s="228">
        <v>8.4</v>
      </c>
      <c r="AI143" s="228">
        <v>10.7</v>
      </c>
      <c r="AJ143" s="228">
        <v>-2.2999999999999998</v>
      </c>
      <c r="AK143" s="229">
        <v>5.8999999999999999E-3</v>
      </c>
      <c r="AL143" s="228">
        <v>10.4</v>
      </c>
      <c r="AM143" s="228">
        <v>16.7</v>
      </c>
      <c r="AN143" s="228">
        <v>-6.3</v>
      </c>
      <c r="AO143" s="229">
        <v>7.3000000000000001E-3</v>
      </c>
      <c r="AP143" s="231">
        <v>1422.07</v>
      </c>
      <c r="AQ143" s="231">
        <v>1431.71</v>
      </c>
      <c r="AR143" s="228">
        <v>0</v>
      </c>
      <c r="AS143" s="228">
        <v>372</v>
      </c>
      <c r="AT143" s="228">
        <v>925</v>
      </c>
      <c r="AU143" s="228">
        <v>-553</v>
      </c>
      <c r="AV143" s="229">
        <v>-0.59740000000000004</v>
      </c>
      <c r="AW143" s="228">
        <v>135</v>
      </c>
      <c r="AX143" s="228">
        <v>433</v>
      </c>
      <c r="AY143" s="228">
        <v>-298</v>
      </c>
      <c r="AZ143" s="229">
        <v>-0.68789999999999996</v>
      </c>
      <c r="BA143" s="228">
        <v>236</v>
      </c>
      <c r="BB143" s="228">
        <v>489</v>
      </c>
      <c r="BC143" s="228">
        <v>-253</v>
      </c>
      <c r="BD143" s="229">
        <v>-0.51770000000000005</v>
      </c>
      <c r="BE143" s="228">
        <v>2</v>
      </c>
      <c r="BF143" s="228">
        <v>4</v>
      </c>
      <c r="BG143" s="228">
        <v>-2</v>
      </c>
      <c r="BH143" s="229">
        <v>-0.53849999999999998</v>
      </c>
      <c r="BI143" s="228">
        <v>389</v>
      </c>
      <c r="BJ143" s="228">
        <v>471</v>
      </c>
      <c r="BK143" s="228">
        <v>-82</v>
      </c>
      <c r="BL143" s="229">
        <v>-0.17469999999999999</v>
      </c>
      <c r="BM143" s="228">
        <v>247</v>
      </c>
      <c r="BN143" s="228">
        <v>255</v>
      </c>
      <c r="BO143" s="228">
        <v>-7</v>
      </c>
      <c r="BP143" s="229">
        <v>-2.8500000000000001E-2</v>
      </c>
      <c r="BQ143" s="230">
        <v>1008</v>
      </c>
      <c r="BR143" s="230">
        <v>1650</v>
      </c>
      <c r="BS143" s="228">
        <v>-642</v>
      </c>
      <c r="BT143" s="229">
        <v>-0.38900000000000001</v>
      </c>
      <c r="BU143" s="230">
        <v>1569732</v>
      </c>
      <c r="BV143" s="230">
        <v>869086</v>
      </c>
      <c r="BW143" s="230">
        <v>700646</v>
      </c>
      <c r="BX143" s="229">
        <v>0.80620000000000003</v>
      </c>
      <c r="BY143" s="230">
        <v>1932</v>
      </c>
      <c r="BZ143" s="230">
        <v>2065</v>
      </c>
      <c r="CA143" s="228">
        <v>-132</v>
      </c>
      <c r="CB143" s="229">
        <v>-6.4000000000000001E-2</v>
      </c>
      <c r="CC143" s="228">
        <v>124</v>
      </c>
      <c r="CD143" s="228">
        <v>197</v>
      </c>
      <c r="CE143" s="228">
        <v>-72</v>
      </c>
      <c r="CF143" s="229">
        <v>-0.36890000000000001</v>
      </c>
      <c r="CG143" s="230">
        <v>1901</v>
      </c>
      <c r="CH143" s="230">
        <v>1836</v>
      </c>
      <c r="CI143" s="228">
        <v>64</v>
      </c>
      <c r="CJ143" s="229">
        <v>3.5000000000000003E-2</v>
      </c>
      <c r="CK143" s="228">
        <v>32</v>
      </c>
      <c r="CL143" s="228">
        <v>32</v>
      </c>
      <c r="CM143" s="228">
        <v>0</v>
      </c>
      <c r="CN143" s="229">
        <v>4.4999999999999997E-3</v>
      </c>
      <c r="CO143" s="228">
        <v>121</v>
      </c>
      <c r="CP143" s="228">
        <v>661</v>
      </c>
      <c r="CQ143" s="228">
        <v>-540</v>
      </c>
      <c r="CR143" s="229">
        <v>-0.8175</v>
      </c>
      <c r="CS143" s="228">
        <v>108</v>
      </c>
      <c r="CT143" s="228">
        <v>479</v>
      </c>
      <c r="CU143" s="228">
        <v>-370</v>
      </c>
      <c r="CV143" s="229">
        <v>-0.77370000000000005</v>
      </c>
      <c r="CW143" s="230">
        <v>2161</v>
      </c>
      <c r="CX143" s="230">
        <v>3204</v>
      </c>
      <c r="CY143" s="230">
        <v>-1043</v>
      </c>
      <c r="CZ143" s="229">
        <v>-0.32550000000000001</v>
      </c>
      <c r="DA143" s="228">
        <v>20.46</v>
      </c>
      <c r="DB143" s="228">
        <v>20.3</v>
      </c>
      <c r="DC143" s="228">
        <v>0.16</v>
      </c>
      <c r="DD143" s="228">
        <v>0.16</v>
      </c>
      <c r="DE143" s="228">
        <v>24.66</v>
      </c>
      <c r="DF143" s="228">
        <v>24.7</v>
      </c>
      <c r="DG143" s="228">
        <v>-4.2</v>
      </c>
      <c r="DH143" s="228">
        <v>-0.04</v>
      </c>
      <c r="DI143" s="228">
        <v>20.18</v>
      </c>
      <c r="DJ143" s="228">
        <v>20.190000000000001</v>
      </c>
      <c r="DK143" s="228">
        <v>-0.01</v>
      </c>
      <c r="DL143" s="228">
        <v>-0.01</v>
      </c>
      <c r="DM143" s="228">
        <v>20.92</v>
      </c>
      <c r="DN143" s="228">
        <v>20.46</v>
      </c>
      <c r="DO143" s="228">
        <v>0.46</v>
      </c>
      <c r="DP143" s="228">
        <v>0.46</v>
      </c>
      <c r="DQ143" s="228">
        <v>0.9</v>
      </c>
      <c r="DR143" s="228">
        <v>0.72</v>
      </c>
      <c r="DS143" s="228">
        <v>0.18</v>
      </c>
      <c r="DT143" s="229">
        <v>0.25</v>
      </c>
      <c r="DU143" s="231">
        <v>1500</v>
      </c>
      <c r="DV143" s="231">
        <v>1460</v>
      </c>
      <c r="DW143" s="228">
        <v>0.64</v>
      </c>
      <c r="DX143" s="228">
        <v>0.54</v>
      </c>
      <c r="DY143" s="228">
        <v>0.1</v>
      </c>
      <c r="DZ143" s="229">
        <v>0.1852</v>
      </c>
      <c r="EA143" s="229">
        <v>0.93969999999999998</v>
      </c>
      <c r="EB143" s="230">
        <v>13000000</v>
      </c>
      <c r="EC143" s="229">
        <v>6.3E-3</v>
      </c>
      <c r="ED143" s="229">
        <v>0.93969999999999998</v>
      </c>
      <c r="EE143" s="228">
        <v>9.64</v>
      </c>
      <c r="EF143" s="229">
        <v>6.7999999999999996E-3</v>
      </c>
      <c r="EG143" s="230">
        <v>962859</v>
      </c>
      <c r="EH143" s="230">
        <v>441807</v>
      </c>
      <c r="EI143" s="229">
        <v>1.1794</v>
      </c>
      <c r="EJ143" s="229">
        <v>0.61339999999999995</v>
      </c>
      <c r="EK143" s="228">
        <v>396.34</v>
      </c>
      <c r="EL143" s="228">
        <v>243.14</v>
      </c>
      <c r="EM143" s="228">
        <v>370.05</v>
      </c>
      <c r="EN143" s="228">
        <v>121.81</v>
      </c>
      <c r="EO143" s="231">
        <v>1009.54</v>
      </c>
      <c r="EP143" s="231">
        <v>1651.49</v>
      </c>
      <c r="EQ143" s="228">
        <v>-641.95000000000005</v>
      </c>
      <c r="ER143" s="229">
        <v>-0.38869999999999999</v>
      </c>
      <c r="ES143" s="228">
        <v>122.56</v>
      </c>
      <c r="ET143" s="228">
        <v>104.35</v>
      </c>
      <c r="EU143" s="231">
        <v>1932.52</v>
      </c>
      <c r="EV143" s="231">
        <v>71801274</v>
      </c>
      <c r="EW143" s="231">
        <v>2159.44</v>
      </c>
      <c r="EX143" s="231">
        <v>3193.08</v>
      </c>
      <c r="EY143" s="231">
        <v>-1033.6400000000001</v>
      </c>
      <c r="EZ143" s="229">
        <v>-0.32369999999999999</v>
      </c>
      <c r="FA143" s="229">
        <v>0.20949999999999999</v>
      </c>
      <c r="FB143" s="227" t="s">
        <v>691</v>
      </c>
      <c r="FC143">
        <f t="shared" si="2"/>
        <v>1808</v>
      </c>
    </row>
    <row r="144" spans="1:159" ht="17.25" thickBot="1" x14ac:dyDescent="0.3">
      <c r="A144" s="226">
        <v>46168</v>
      </c>
      <c r="B144" s="227" t="s">
        <v>161</v>
      </c>
      <c r="C144" s="227" t="s">
        <v>584</v>
      </c>
      <c r="D144" s="228">
        <v>6400</v>
      </c>
      <c r="E144" s="228">
        <v>0</v>
      </c>
      <c r="F144" s="228">
        <v>78.319999999999993</v>
      </c>
      <c r="G144" s="228">
        <v>78.34</v>
      </c>
      <c r="H144" s="228">
        <v>-0.02</v>
      </c>
      <c r="I144" s="229">
        <v>-2.9999999999999997E-4</v>
      </c>
      <c r="J144" s="228">
        <v>78.44</v>
      </c>
      <c r="K144" s="228">
        <v>79.02</v>
      </c>
      <c r="L144" s="228">
        <v>-0.57999999999999996</v>
      </c>
      <c r="M144" s="229">
        <v>-7.3000000000000001E-3</v>
      </c>
      <c r="N144" s="228">
        <v>78.2</v>
      </c>
      <c r="O144" s="228">
        <v>79.09</v>
      </c>
      <c r="P144" s="228">
        <v>-0.89</v>
      </c>
      <c r="Q144" s="229">
        <v>-1.1299999999999999E-2</v>
      </c>
      <c r="R144" s="228">
        <v>78.319999999999993</v>
      </c>
      <c r="S144" s="228">
        <v>78.34</v>
      </c>
      <c r="T144" s="228">
        <v>-0.02</v>
      </c>
      <c r="U144" s="229">
        <v>-2.9999999999999997E-4</v>
      </c>
      <c r="V144" s="228">
        <v>78.040000000000006</v>
      </c>
      <c r="W144" s="228">
        <v>78.12</v>
      </c>
      <c r="X144" s="228">
        <v>-0.08</v>
      </c>
      <c r="Y144" s="229">
        <v>-1E-3</v>
      </c>
      <c r="Z144" s="228">
        <v>-0.12</v>
      </c>
      <c r="AA144" s="228">
        <v>7.0000000000000007E-2</v>
      </c>
      <c r="AB144" s="228">
        <v>-0.19</v>
      </c>
      <c r="AC144" s="229">
        <v>-1.5E-3</v>
      </c>
      <c r="AD144" s="228">
        <v>-0.24</v>
      </c>
      <c r="AE144" s="228">
        <v>7.0000000000000007E-2</v>
      </c>
      <c r="AF144" s="228">
        <v>-0.31</v>
      </c>
      <c r="AG144" s="229">
        <v>-3.0999999999999999E-3</v>
      </c>
      <c r="AH144" s="228">
        <v>-0.12</v>
      </c>
      <c r="AI144" s="228">
        <v>-0.68</v>
      </c>
      <c r="AJ144" s="228">
        <v>0.56000000000000005</v>
      </c>
      <c r="AK144" s="229">
        <v>-1.5E-3</v>
      </c>
      <c r="AL144" s="228">
        <v>-0.4</v>
      </c>
      <c r="AM144" s="228">
        <v>-0.9</v>
      </c>
      <c r="AN144" s="228">
        <v>0.5</v>
      </c>
      <c r="AO144" s="229">
        <v>-5.1000000000000004E-3</v>
      </c>
      <c r="AP144" s="228">
        <v>78.39</v>
      </c>
      <c r="AQ144" s="228">
        <v>78.290000000000006</v>
      </c>
      <c r="AR144" s="228">
        <v>0</v>
      </c>
      <c r="AS144" s="228">
        <v>280</v>
      </c>
      <c r="AT144" s="228">
        <v>569</v>
      </c>
      <c r="AU144" s="228">
        <v>-290</v>
      </c>
      <c r="AV144" s="229">
        <v>-0.50870000000000004</v>
      </c>
      <c r="AW144" s="228">
        <v>125</v>
      </c>
      <c r="AX144" s="228">
        <v>258</v>
      </c>
      <c r="AY144" s="228">
        <v>-133</v>
      </c>
      <c r="AZ144" s="229">
        <v>-0.51449999999999996</v>
      </c>
      <c r="BA144" s="228">
        <v>148</v>
      </c>
      <c r="BB144" s="228">
        <v>305</v>
      </c>
      <c r="BC144" s="228">
        <v>-157</v>
      </c>
      <c r="BD144" s="229">
        <v>-0.51370000000000005</v>
      </c>
      <c r="BE144" s="228">
        <v>6</v>
      </c>
      <c r="BF144" s="228">
        <v>6</v>
      </c>
      <c r="BG144" s="228">
        <v>0</v>
      </c>
      <c r="BH144" s="229">
        <v>-3.8800000000000001E-2</v>
      </c>
      <c r="BI144" s="228">
        <v>255</v>
      </c>
      <c r="BJ144" s="228">
        <v>388</v>
      </c>
      <c r="BK144" s="228">
        <v>-132</v>
      </c>
      <c r="BL144" s="229">
        <v>-0.34139999999999998</v>
      </c>
      <c r="BM144" s="228">
        <v>141</v>
      </c>
      <c r="BN144" s="228">
        <v>125</v>
      </c>
      <c r="BO144" s="228">
        <v>16</v>
      </c>
      <c r="BP144" s="229">
        <v>0.128</v>
      </c>
      <c r="BQ144" s="228">
        <v>676</v>
      </c>
      <c r="BR144" s="230">
        <v>1082</v>
      </c>
      <c r="BS144" s="228">
        <v>-406</v>
      </c>
      <c r="BT144" s="229">
        <v>-0.375</v>
      </c>
      <c r="BU144" s="230">
        <v>10613930</v>
      </c>
      <c r="BV144" s="230">
        <v>11443220</v>
      </c>
      <c r="BW144" s="230">
        <v>-829290</v>
      </c>
      <c r="BX144" s="229">
        <v>-7.2499999999999995E-2</v>
      </c>
      <c r="BY144" s="228">
        <v>946</v>
      </c>
      <c r="BZ144" s="230">
        <v>1011</v>
      </c>
      <c r="CA144" s="228">
        <v>-65</v>
      </c>
      <c r="CB144" s="229">
        <v>-6.4399999999999999E-2</v>
      </c>
      <c r="CC144" s="228">
        <v>39</v>
      </c>
      <c r="CD144" s="228">
        <v>99</v>
      </c>
      <c r="CE144" s="228">
        <v>-60</v>
      </c>
      <c r="CF144" s="229">
        <v>-0.60489999999999999</v>
      </c>
      <c r="CG144" s="228">
        <v>920</v>
      </c>
      <c r="CH144" s="228">
        <v>890</v>
      </c>
      <c r="CI144" s="228">
        <v>30</v>
      </c>
      <c r="CJ144" s="229">
        <v>3.3700000000000001E-2</v>
      </c>
      <c r="CK144" s="228">
        <v>26</v>
      </c>
      <c r="CL144" s="228">
        <v>22</v>
      </c>
      <c r="CM144" s="228">
        <v>4</v>
      </c>
      <c r="CN144" s="229">
        <v>0.16059999999999999</v>
      </c>
      <c r="CO144" s="228">
        <v>150</v>
      </c>
      <c r="CP144" s="228">
        <v>448</v>
      </c>
      <c r="CQ144" s="228">
        <v>-298</v>
      </c>
      <c r="CR144" s="229">
        <v>-0.66500000000000004</v>
      </c>
      <c r="CS144" s="228">
        <v>103</v>
      </c>
      <c r="CT144" s="228">
        <v>228</v>
      </c>
      <c r="CU144" s="228">
        <v>-125</v>
      </c>
      <c r="CV144" s="229">
        <v>-0.54979999999999996</v>
      </c>
      <c r="CW144" s="230">
        <v>1199</v>
      </c>
      <c r="CX144" s="230">
        <v>1687</v>
      </c>
      <c r="CY144" s="228">
        <v>-488</v>
      </c>
      <c r="CZ144" s="229">
        <v>-0.28939999999999999</v>
      </c>
      <c r="DA144" s="228">
        <v>28.66</v>
      </c>
      <c r="DB144" s="228">
        <v>29.22</v>
      </c>
      <c r="DC144" s="228">
        <v>-0.56000000000000005</v>
      </c>
      <c r="DD144" s="228">
        <v>-0.56000000000000005</v>
      </c>
      <c r="DE144" s="228">
        <v>34.450000000000003</v>
      </c>
      <c r="DF144" s="228">
        <v>34.53</v>
      </c>
      <c r="DG144" s="228">
        <v>-5.79</v>
      </c>
      <c r="DH144" s="228">
        <v>-0.08</v>
      </c>
      <c r="DI144" s="228">
        <v>28.95</v>
      </c>
      <c r="DJ144" s="228">
        <v>29.38</v>
      </c>
      <c r="DK144" s="228">
        <v>-0.43</v>
      </c>
      <c r="DL144" s="228">
        <v>-0.43</v>
      </c>
      <c r="DM144" s="228">
        <v>27.98</v>
      </c>
      <c r="DN144" s="228">
        <v>28.81</v>
      </c>
      <c r="DO144" s="228">
        <v>-0.83</v>
      </c>
      <c r="DP144" s="228">
        <v>-0.83</v>
      </c>
      <c r="DQ144" s="228">
        <v>0.68</v>
      </c>
      <c r="DR144" s="228">
        <v>0.51</v>
      </c>
      <c r="DS144" s="228">
        <v>0.17</v>
      </c>
      <c r="DT144" s="229">
        <v>0.33329999999999999</v>
      </c>
      <c r="DU144" s="228">
        <v>90</v>
      </c>
      <c r="DV144" s="228">
        <v>75</v>
      </c>
      <c r="DW144" s="228">
        <v>0.55000000000000004</v>
      </c>
      <c r="DX144" s="228">
        <v>0.32</v>
      </c>
      <c r="DY144" s="228">
        <v>0.23</v>
      </c>
      <c r="DZ144" s="229">
        <v>0.71879999999999999</v>
      </c>
      <c r="EA144" s="229">
        <v>0.96040000000000003</v>
      </c>
      <c r="EB144" s="230">
        <v>116546050</v>
      </c>
      <c r="EC144" s="229">
        <v>1.5E-3</v>
      </c>
      <c r="ED144" s="229">
        <v>0.96040000000000003</v>
      </c>
      <c r="EE144" s="228">
        <v>-0.1</v>
      </c>
      <c r="EF144" s="229">
        <v>-1.2999999999999999E-3</v>
      </c>
      <c r="EG144" s="230">
        <v>4639591</v>
      </c>
      <c r="EH144" s="230">
        <v>3813498</v>
      </c>
      <c r="EI144" s="229">
        <v>0.21659999999999999</v>
      </c>
      <c r="EJ144" s="229">
        <v>0.43709999999999999</v>
      </c>
      <c r="EK144" s="228">
        <v>273.29000000000002</v>
      </c>
      <c r="EL144" s="228">
        <v>140.69</v>
      </c>
      <c r="EM144" s="228">
        <v>280.25</v>
      </c>
      <c r="EN144" s="228">
        <v>105.68</v>
      </c>
      <c r="EO144" s="228">
        <v>694.23</v>
      </c>
      <c r="EP144" s="231">
        <v>1110.1199999999999</v>
      </c>
      <c r="EQ144" s="228">
        <v>-415.89</v>
      </c>
      <c r="ER144" s="229">
        <v>-0.37459999999999999</v>
      </c>
      <c r="ES144" s="228">
        <v>159.28</v>
      </c>
      <c r="ET144" s="228">
        <v>99.41</v>
      </c>
      <c r="EU144" s="228">
        <v>946.26</v>
      </c>
      <c r="EV144" s="231">
        <v>491233252</v>
      </c>
      <c r="EW144" s="231">
        <v>1204.95</v>
      </c>
      <c r="EX144" s="231">
        <v>1721.2</v>
      </c>
      <c r="EY144" s="228">
        <v>-516.25</v>
      </c>
      <c r="EZ144" s="229">
        <v>-0.2999</v>
      </c>
      <c r="FA144" s="229">
        <v>0.31159999999999999</v>
      </c>
      <c r="FB144" s="227" t="s">
        <v>567</v>
      </c>
      <c r="FC144">
        <f t="shared" si="2"/>
        <v>907</v>
      </c>
    </row>
    <row r="145" spans="1:159" ht="17.25" thickBot="1" x14ac:dyDescent="0.3">
      <c r="A145" s="226">
        <v>46168</v>
      </c>
      <c r="B145" s="227" t="s">
        <v>181</v>
      </c>
      <c r="C145" s="227" t="s">
        <v>266</v>
      </c>
      <c r="D145" s="228">
        <v>65</v>
      </c>
      <c r="E145" s="228">
        <v>0</v>
      </c>
      <c r="F145" s="231">
        <v>23978.9</v>
      </c>
      <c r="G145" s="231">
        <v>24106.400000000001</v>
      </c>
      <c r="H145" s="228">
        <v>-127.5</v>
      </c>
      <c r="I145" s="229">
        <v>-5.3E-3</v>
      </c>
      <c r="J145" s="231">
        <v>23913.7</v>
      </c>
      <c r="K145" s="231">
        <v>24031.7</v>
      </c>
      <c r="L145" s="228">
        <v>-118</v>
      </c>
      <c r="M145" s="229">
        <v>-4.8999999999999998E-3</v>
      </c>
      <c r="N145" s="231">
        <v>23913</v>
      </c>
      <c r="O145" s="231">
        <v>24063</v>
      </c>
      <c r="P145" s="228">
        <v>-150</v>
      </c>
      <c r="Q145" s="229">
        <v>-6.1999999999999998E-3</v>
      </c>
      <c r="R145" s="231">
        <v>23978.9</v>
      </c>
      <c r="S145" s="231">
        <v>24106.400000000001</v>
      </c>
      <c r="T145" s="228">
        <v>-127.5</v>
      </c>
      <c r="U145" s="229">
        <v>-5.3E-3</v>
      </c>
      <c r="V145" s="231">
        <v>24064.7</v>
      </c>
      <c r="W145" s="231">
        <v>24210</v>
      </c>
      <c r="X145" s="228">
        <v>-145.30000000000001</v>
      </c>
      <c r="Y145" s="229">
        <v>-6.0000000000000001E-3</v>
      </c>
      <c r="Z145" s="228">
        <v>65.2</v>
      </c>
      <c r="AA145" s="228">
        <v>31.3</v>
      </c>
      <c r="AB145" s="228">
        <v>33.9</v>
      </c>
      <c r="AC145" s="229">
        <v>2.7000000000000001E-3</v>
      </c>
      <c r="AD145" s="228">
        <v>-0.7</v>
      </c>
      <c r="AE145" s="228">
        <v>31.3</v>
      </c>
      <c r="AF145" s="228">
        <v>-32</v>
      </c>
      <c r="AG145" s="229">
        <v>0</v>
      </c>
      <c r="AH145" s="228">
        <v>65.2</v>
      </c>
      <c r="AI145" s="228">
        <v>74.7</v>
      </c>
      <c r="AJ145" s="228">
        <v>-9.5</v>
      </c>
      <c r="AK145" s="229">
        <v>2.7000000000000001E-3</v>
      </c>
      <c r="AL145" s="228">
        <v>151</v>
      </c>
      <c r="AM145" s="228">
        <v>178.3</v>
      </c>
      <c r="AN145" s="228">
        <v>-27.3</v>
      </c>
      <c r="AO145" s="229">
        <v>6.3E-3</v>
      </c>
      <c r="AP145" s="231">
        <v>23991.23</v>
      </c>
      <c r="AQ145" s="231">
        <v>24038.68</v>
      </c>
      <c r="AR145" s="228">
        <v>0</v>
      </c>
      <c r="AS145" s="230">
        <v>22514</v>
      </c>
      <c r="AT145" s="230">
        <v>22494</v>
      </c>
      <c r="AU145" s="228">
        <v>19</v>
      </c>
      <c r="AV145" s="229">
        <v>8.9999999999999998E-4</v>
      </c>
      <c r="AW145" s="230">
        <v>7869</v>
      </c>
      <c r="AX145" s="230">
        <v>11701</v>
      </c>
      <c r="AY145" s="230">
        <v>-3833</v>
      </c>
      <c r="AZ145" s="229">
        <v>-0.32750000000000001</v>
      </c>
      <c r="BA145" s="230">
        <v>13581</v>
      </c>
      <c r="BB145" s="230">
        <v>10012</v>
      </c>
      <c r="BC145" s="230">
        <v>3569</v>
      </c>
      <c r="BD145" s="229">
        <v>0.35639999999999999</v>
      </c>
      <c r="BE145" s="230">
        <v>1064</v>
      </c>
      <c r="BF145" s="228">
        <v>781</v>
      </c>
      <c r="BG145" s="228">
        <v>283</v>
      </c>
      <c r="BH145" s="229">
        <v>0.36270000000000002</v>
      </c>
      <c r="BI145" s="230">
        <v>23065371</v>
      </c>
      <c r="BJ145" s="230">
        <v>8188969</v>
      </c>
      <c r="BK145" s="230">
        <v>14876402</v>
      </c>
      <c r="BL145" s="229">
        <v>1.8166</v>
      </c>
      <c r="BM145" s="230">
        <v>25878733</v>
      </c>
      <c r="BN145" s="230">
        <v>8219254</v>
      </c>
      <c r="BO145" s="230">
        <v>17659478</v>
      </c>
      <c r="BP145" s="229">
        <v>2.1484999999999999</v>
      </c>
      <c r="BQ145" s="230">
        <v>48966618</v>
      </c>
      <c r="BR145" s="230">
        <v>16430718</v>
      </c>
      <c r="BS145" s="230">
        <v>32535900</v>
      </c>
      <c r="BT145" s="229">
        <v>1.9802</v>
      </c>
      <c r="BU145" s="228">
        <v>0</v>
      </c>
      <c r="BV145" s="228">
        <v>0</v>
      </c>
      <c r="BW145" s="228">
        <v>0</v>
      </c>
      <c r="BX145" s="229">
        <v>0</v>
      </c>
      <c r="BY145" s="230">
        <v>37036</v>
      </c>
      <c r="BZ145" s="230">
        <v>49961</v>
      </c>
      <c r="CA145" s="230">
        <v>-12925</v>
      </c>
      <c r="CB145" s="229">
        <v>-0.25869999999999999</v>
      </c>
      <c r="CC145" s="230">
        <v>15890</v>
      </c>
      <c r="CD145" s="230">
        <v>20066</v>
      </c>
      <c r="CE145" s="230">
        <v>-4176</v>
      </c>
      <c r="CF145" s="229">
        <v>-0.20810000000000001</v>
      </c>
      <c r="CG145" s="230">
        <v>34694</v>
      </c>
      <c r="CH145" s="230">
        <v>27834</v>
      </c>
      <c r="CI145" s="230">
        <v>6859</v>
      </c>
      <c r="CJ145" s="229">
        <v>0.24640000000000001</v>
      </c>
      <c r="CK145" s="230">
        <v>2342</v>
      </c>
      <c r="CL145" s="230">
        <v>2061</v>
      </c>
      <c r="CM145" s="228">
        <v>282</v>
      </c>
      <c r="CN145" s="229">
        <v>0.1368</v>
      </c>
      <c r="CO145" s="230">
        <v>340252</v>
      </c>
      <c r="CP145" s="230">
        <v>587779</v>
      </c>
      <c r="CQ145" s="230">
        <v>-247527</v>
      </c>
      <c r="CR145" s="229">
        <v>-0.42109999999999997</v>
      </c>
      <c r="CS145" s="230">
        <v>364356</v>
      </c>
      <c r="CT145" s="230">
        <v>739791</v>
      </c>
      <c r="CU145" s="230">
        <v>-375434</v>
      </c>
      <c r="CV145" s="229">
        <v>-0.50749999999999995</v>
      </c>
      <c r="CW145" s="230">
        <v>741644</v>
      </c>
      <c r="CX145" s="230">
        <v>1377531</v>
      </c>
      <c r="CY145" s="230">
        <v>-635887</v>
      </c>
      <c r="CZ145" s="229">
        <v>-0.46160000000000001</v>
      </c>
      <c r="DA145" s="228">
        <v>15.09</v>
      </c>
      <c r="DB145" s="228">
        <v>16.03</v>
      </c>
      <c r="DC145" s="228">
        <v>-0.94</v>
      </c>
      <c r="DD145" s="228">
        <v>-0.94</v>
      </c>
      <c r="DE145" s="228">
        <v>17.47</v>
      </c>
      <c r="DF145" s="228">
        <v>17.5</v>
      </c>
      <c r="DG145" s="228">
        <v>-2.38</v>
      </c>
      <c r="DH145" s="228">
        <v>-0.03</v>
      </c>
      <c r="DI145" s="228">
        <v>14.73</v>
      </c>
      <c r="DJ145" s="228">
        <v>14.7</v>
      </c>
      <c r="DK145" s="228">
        <v>0.03</v>
      </c>
      <c r="DL145" s="228">
        <v>0.03</v>
      </c>
      <c r="DM145" s="228">
        <v>15.45</v>
      </c>
      <c r="DN145" s="228">
        <v>17.27</v>
      </c>
      <c r="DO145" s="228">
        <v>-1.82</v>
      </c>
      <c r="DP145" s="228">
        <v>-1.82</v>
      </c>
      <c r="DQ145" s="228">
        <v>1.07</v>
      </c>
      <c r="DR145" s="228">
        <v>1.26</v>
      </c>
      <c r="DS145" s="228">
        <v>-0.19</v>
      </c>
      <c r="DT145" s="229">
        <v>-0.15079999999999999</v>
      </c>
      <c r="DU145" s="231">
        <v>23950</v>
      </c>
      <c r="DV145" s="231">
        <v>23900</v>
      </c>
      <c r="DW145" s="228">
        <v>1.1200000000000001</v>
      </c>
      <c r="DX145" s="228">
        <v>1</v>
      </c>
      <c r="DY145" s="228">
        <v>0.12</v>
      </c>
      <c r="DZ145" s="229">
        <v>0.12</v>
      </c>
      <c r="EA145" s="229">
        <v>0.69979999999999998</v>
      </c>
      <c r="EB145" s="230">
        <v>12467195</v>
      </c>
      <c r="EC145" s="229">
        <v>2.8E-3</v>
      </c>
      <c r="ED145" s="229">
        <v>0.69979999999999998</v>
      </c>
      <c r="EE145" s="228">
        <v>47.45</v>
      </c>
      <c r="EF145" s="229">
        <v>2E-3</v>
      </c>
      <c r="EG145" s="228">
        <v>0</v>
      </c>
      <c r="EH145" s="228">
        <v>0</v>
      </c>
      <c r="EI145" s="229">
        <v>0</v>
      </c>
      <c r="EJ145" s="229">
        <v>0</v>
      </c>
      <c r="EK145" s="231">
        <v>23233665.550000001</v>
      </c>
      <c r="EL145" s="231">
        <v>25748298.809999999</v>
      </c>
      <c r="EM145" s="231">
        <v>22558.35</v>
      </c>
      <c r="EN145" s="231">
        <v>1107.32</v>
      </c>
      <c r="EO145" s="231">
        <v>49004522.710000001</v>
      </c>
      <c r="EP145" s="231">
        <v>16430838.33</v>
      </c>
      <c r="EQ145" s="231">
        <v>32573684.379999999</v>
      </c>
      <c r="ER145" s="229">
        <v>1.9824999999999999</v>
      </c>
      <c r="ES145" s="231">
        <v>353695.26</v>
      </c>
      <c r="ET145" s="231">
        <v>354283.81</v>
      </c>
      <c r="EU145" s="231">
        <v>37044.199999999997</v>
      </c>
      <c r="EV145" s="228">
        <v>0</v>
      </c>
      <c r="EW145" s="231">
        <v>745023.27</v>
      </c>
      <c r="EX145" s="231">
        <v>1375389.18</v>
      </c>
      <c r="EY145" s="231">
        <v>-630365.91</v>
      </c>
      <c r="EZ145" s="229">
        <v>-0.45829999999999999</v>
      </c>
      <c r="FA145" s="229">
        <v>0</v>
      </c>
      <c r="FB145" s="227" t="s">
        <v>567</v>
      </c>
      <c r="FC145">
        <f t="shared" si="2"/>
        <v>21146</v>
      </c>
    </row>
    <row r="146" spans="1:159" ht="17.25" thickBot="1" x14ac:dyDescent="0.3">
      <c r="A146" s="226">
        <v>46168</v>
      </c>
      <c r="B146" s="227" t="s">
        <v>181</v>
      </c>
      <c r="C146" s="227" t="s">
        <v>565</v>
      </c>
      <c r="D146" s="228">
        <v>25</v>
      </c>
      <c r="E146" s="228">
        <v>0</v>
      </c>
      <c r="F146" s="231">
        <v>71323.600000000006</v>
      </c>
      <c r="G146" s="231">
        <v>71189</v>
      </c>
      <c r="H146" s="228">
        <v>134.6</v>
      </c>
      <c r="I146" s="229">
        <v>1.9E-3</v>
      </c>
      <c r="J146" s="231">
        <v>70945.100000000006</v>
      </c>
      <c r="K146" s="231">
        <v>70815.850000000006</v>
      </c>
      <c r="L146" s="228">
        <v>129.25</v>
      </c>
      <c r="M146" s="229">
        <v>1.8E-3</v>
      </c>
      <c r="N146" s="231">
        <v>70917.600000000006</v>
      </c>
      <c r="O146" s="231">
        <v>70921</v>
      </c>
      <c r="P146" s="228">
        <v>-3.4</v>
      </c>
      <c r="Q146" s="229">
        <v>0</v>
      </c>
      <c r="R146" s="231">
        <v>71323.600000000006</v>
      </c>
      <c r="S146" s="231">
        <v>71189</v>
      </c>
      <c r="T146" s="228">
        <v>134.6</v>
      </c>
      <c r="U146" s="229">
        <v>1.9E-3</v>
      </c>
      <c r="V146" s="231">
        <v>71710.2</v>
      </c>
      <c r="W146" s="231">
        <v>71374.2</v>
      </c>
      <c r="X146" s="228">
        <v>336</v>
      </c>
      <c r="Y146" s="229">
        <v>4.7000000000000002E-3</v>
      </c>
      <c r="Z146" s="228">
        <v>378.5</v>
      </c>
      <c r="AA146" s="228">
        <v>105.15</v>
      </c>
      <c r="AB146" s="228">
        <v>273.35000000000002</v>
      </c>
      <c r="AC146" s="229">
        <v>5.3E-3</v>
      </c>
      <c r="AD146" s="228">
        <v>-27.5</v>
      </c>
      <c r="AE146" s="228">
        <v>105.15</v>
      </c>
      <c r="AF146" s="228">
        <v>-132.65</v>
      </c>
      <c r="AG146" s="229">
        <v>-4.0000000000000002E-4</v>
      </c>
      <c r="AH146" s="228">
        <v>378.5</v>
      </c>
      <c r="AI146" s="228">
        <v>373.15</v>
      </c>
      <c r="AJ146" s="228">
        <v>5.35</v>
      </c>
      <c r="AK146" s="229">
        <v>5.3E-3</v>
      </c>
      <c r="AL146" s="228">
        <v>765.1</v>
      </c>
      <c r="AM146" s="228">
        <v>558.35</v>
      </c>
      <c r="AN146" s="228">
        <v>206.75</v>
      </c>
      <c r="AO146" s="229">
        <v>1.0800000000000001E-2</v>
      </c>
      <c r="AP146" s="231">
        <v>70929.81</v>
      </c>
      <c r="AQ146" s="231">
        <v>71223.539999999994</v>
      </c>
      <c r="AR146" s="228">
        <v>0</v>
      </c>
      <c r="AS146" s="228">
        <v>94</v>
      </c>
      <c r="AT146" s="228">
        <v>142</v>
      </c>
      <c r="AU146" s="228">
        <v>-49</v>
      </c>
      <c r="AV146" s="229">
        <v>-0.34289999999999998</v>
      </c>
      <c r="AW146" s="228">
        <v>48</v>
      </c>
      <c r="AX146" s="228">
        <v>72</v>
      </c>
      <c r="AY146" s="228">
        <v>-24</v>
      </c>
      <c r="AZ146" s="229">
        <v>-0.33250000000000002</v>
      </c>
      <c r="BA146" s="228">
        <v>43</v>
      </c>
      <c r="BB146" s="228">
        <v>69</v>
      </c>
      <c r="BC146" s="228">
        <v>-26</v>
      </c>
      <c r="BD146" s="229">
        <v>-0.37209999999999999</v>
      </c>
      <c r="BE146" s="228">
        <v>2</v>
      </c>
      <c r="BF146" s="228">
        <v>2</v>
      </c>
      <c r="BG146" s="228">
        <v>1</v>
      </c>
      <c r="BH146" s="229">
        <v>0.44440000000000002</v>
      </c>
      <c r="BI146" s="230">
        <v>1760</v>
      </c>
      <c r="BJ146" s="228">
        <v>396</v>
      </c>
      <c r="BK146" s="230">
        <v>1365</v>
      </c>
      <c r="BL146" s="229">
        <v>3.4472999999999998</v>
      </c>
      <c r="BM146" s="230">
        <v>1299</v>
      </c>
      <c r="BN146" s="228">
        <v>154</v>
      </c>
      <c r="BO146" s="230">
        <v>1145</v>
      </c>
      <c r="BP146" s="229">
        <v>7.4219999999999997</v>
      </c>
      <c r="BQ146" s="230">
        <v>3153</v>
      </c>
      <c r="BR146" s="228">
        <v>693</v>
      </c>
      <c r="BS146" s="230">
        <v>2460</v>
      </c>
      <c r="BT146" s="229">
        <v>3.5528</v>
      </c>
      <c r="BU146" s="228">
        <v>0</v>
      </c>
      <c r="BV146" s="228">
        <v>0</v>
      </c>
      <c r="BW146" s="228">
        <v>0</v>
      </c>
      <c r="BX146" s="229">
        <v>0</v>
      </c>
      <c r="BY146" s="228">
        <v>116</v>
      </c>
      <c r="BZ146" s="228">
        <v>141</v>
      </c>
      <c r="CA146" s="228">
        <v>-25</v>
      </c>
      <c r="CB146" s="229">
        <v>-0.1757</v>
      </c>
      <c r="CC146" s="228">
        <v>15</v>
      </c>
      <c r="CD146" s="228">
        <v>41</v>
      </c>
      <c r="CE146" s="228">
        <v>-26</v>
      </c>
      <c r="CF146" s="229">
        <v>-0.64039999999999997</v>
      </c>
      <c r="CG146" s="228">
        <v>113</v>
      </c>
      <c r="CH146" s="228">
        <v>98</v>
      </c>
      <c r="CI146" s="228">
        <v>14</v>
      </c>
      <c r="CJ146" s="229">
        <v>0.14699999999999999</v>
      </c>
      <c r="CK146" s="228">
        <v>4</v>
      </c>
      <c r="CL146" s="228">
        <v>2</v>
      </c>
      <c r="CM146" s="228">
        <v>1</v>
      </c>
      <c r="CN146" s="229">
        <v>0.66669999999999996</v>
      </c>
      <c r="CO146" s="228">
        <v>0</v>
      </c>
      <c r="CP146" s="228">
        <v>137</v>
      </c>
      <c r="CQ146" s="228">
        <v>-137</v>
      </c>
      <c r="CR146" s="229">
        <v>-0.99870000000000003</v>
      </c>
      <c r="CS146" s="228">
        <v>0</v>
      </c>
      <c r="CT146" s="228">
        <v>119</v>
      </c>
      <c r="CU146" s="228">
        <v>-119</v>
      </c>
      <c r="CV146" s="229">
        <v>-0.99850000000000005</v>
      </c>
      <c r="CW146" s="228">
        <v>117</v>
      </c>
      <c r="CX146" s="228">
        <v>397</v>
      </c>
      <c r="CY146" s="228">
        <v>-281</v>
      </c>
      <c r="CZ146" s="229">
        <v>-0.70650000000000002</v>
      </c>
      <c r="DA146" s="228">
        <v>22.82</v>
      </c>
      <c r="DB146" s="228">
        <v>28.39</v>
      </c>
      <c r="DC146" s="228">
        <v>-5.57</v>
      </c>
      <c r="DD146" s="228">
        <v>-5.57</v>
      </c>
      <c r="DE146" s="228">
        <v>22.82</v>
      </c>
      <c r="DF146" s="228">
        <v>22.87</v>
      </c>
      <c r="DG146" s="228">
        <v>0</v>
      </c>
      <c r="DH146" s="228">
        <v>-0.05</v>
      </c>
      <c r="DI146" s="228">
        <v>22.82</v>
      </c>
      <c r="DJ146" s="228">
        <v>28.39</v>
      </c>
      <c r="DK146" s="228">
        <v>-5.57</v>
      </c>
      <c r="DL146" s="228">
        <v>-5.57</v>
      </c>
      <c r="DM146" s="228">
        <v>22.82</v>
      </c>
      <c r="DN146" s="228">
        <v>28.39</v>
      </c>
      <c r="DO146" s="228">
        <v>-5.57</v>
      </c>
      <c r="DP146" s="228">
        <v>-5.57</v>
      </c>
      <c r="DQ146" s="228">
        <v>1</v>
      </c>
      <c r="DR146" s="228">
        <v>0.87</v>
      </c>
      <c r="DS146" s="228">
        <v>0.13</v>
      </c>
      <c r="DT146" s="229">
        <v>0.14940000000000001</v>
      </c>
      <c r="DU146" s="231">
        <v>71000</v>
      </c>
      <c r="DV146" s="231">
        <v>69000</v>
      </c>
      <c r="DW146" s="228">
        <v>0.74</v>
      </c>
      <c r="DX146" s="228">
        <v>0.39</v>
      </c>
      <c r="DY146" s="228">
        <v>0.35</v>
      </c>
      <c r="DZ146" s="229">
        <v>0.89739999999999998</v>
      </c>
      <c r="EA146" s="229">
        <v>0.88829999999999998</v>
      </c>
      <c r="EB146" s="230">
        <v>14075</v>
      </c>
      <c r="EC146" s="229">
        <v>5.7000000000000002E-3</v>
      </c>
      <c r="ED146" s="229">
        <v>0.88829999999999998</v>
      </c>
      <c r="EE146" s="228">
        <v>293.73</v>
      </c>
      <c r="EF146" s="229">
        <v>4.1000000000000003E-3</v>
      </c>
      <c r="EG146" s="228">
        <v>0</v>
      </c>
      <c r="EH146" s="228">
        <v>0</v>
      </c>
      <c r="EI146" s="229">
        <v>0</v>
      </c>
      <c r="EJ146" s="229">
        <v>0</v>
      </c>
      <c r="EK146" s="231">
        <v>1765.73</v>
      </c>
      <c r="EL146" s="231">
        <v>1271.3699999999999</v>
      </c>
      <c r="EM146" s="228">
        <v>93.29</v>
      </c>
      <c r="EN146" s="228">
        <v>0</v>
      </c>
      <c r="EO146" s="231">
        <v>3130.4</v>
      </c>
      <c r="EP146" s="228">
        <v>689.17</v>
      </c>
      <c r="EQ146" s="231">
        <v>2441.23</v>
      </c>
      <c r="ER146" s="229">
        <v>3.5423</v>
      </c>
      <c r="ES146" s="228">
        <v>0.19</v>
      </c>
      <c r="ET146" s="228">
        <v>0.18</v>
      </c>
      <c r="EU146" s="228">
        <v>116.28</v>
      </c>
      <c r="EV146" s="228">
        <v>0</v>
      </c>
      <c r="EW146" s="228">
        <v>116.64</v>
      </c>
      <c r="EX146" s="228">
        <v>391.31</v>
      </c>
      <c r="EY146" s="228">
        <v>-274.67</v>
      </c>
      <c r="EZ146" s="229">
        <v>-0.70189999999999997</v>
      </c>
      <c r="FA146" s="229">
        <v>0</v>
      </c>
      <c r="FB146" s="227" t="s">
        <v>691</v>
      </c>
      <c r="FC146">
        <f t="shared" si="2"/>
        <v>101</v>
      </c>
    </row>
    <row r="147" spans="1:159" ht="17.25" thickBot="1" x14ac:dyDescent="0.3">
      <c r="A147" s="226">
        <v>46168</v>
      </c>
      <c r="B147" s="227" t="s">
        <v>227</v>
      </c>
      <c r="C147" s="227" t="s">
        <v>267</v>
      </c>
      <c r="D147" s="228">
        <v>6750</v>
      </c>
      <c r="E147" s="228">
        <v>0</v>
      </c>
      <c r="F147" s="228">
        <v>91.36</v>
      </c>
      <c r="G147" s="228">
        <v>91.01</v>
      </c>
      <c r="H147" s="228">
        <v>0.35</v>
      </c>
      <c r="I147" s="229">
        <v>3.8E-3</v>
      </c>
      <c r="J147" s="228">
        <v>90.67</v>
      </c>
      <c r="K147" s="228">
        <v>90.19</v>
      </c>
      <c r="L147" s="228">
        <v>0.48</v>
      </c>
      <c r="M147" s="229">
        <v>5.3E-3</v>
      </c>
      <c r="N147" s="228">
        <v>90.77</v>
      </c>
      <c r="O147" s="228">
        <v>90.42</v>
      </c>
      <c r="P147" s="228">
        <v>0.35</v>
      </c>
      <c r="Q147" s="229">
        <v>3.8999999999999998E-3</v>
      </c>
      <c r="R147" s="228">
        <v>91.36</v>
      </c>
      <c r="S147" s="228">
        <v>91.01</v>
      </c>
      <c r="T147" s="228">
        <v>0.35</v>
      </c>
      <c r="U147" s="229">
        <v>3.8E-3</v>
      </c>
      <c r="V147" s="228">
        <v>92</v>
      </c>
      <c r="W147" s="228">
        <v>91.51</v>
      </c>
      <c r="X147" s="228">
        <v>0.49</v>
      </c>
      <c r="Y147" s="229">
        <v>5.4000000000000003E-3</v>
      </c>
      <c r="Z147" s="228">
        <v>0.69</v>
      </c>
      <c r="AA147" s="228">
        <v>0.23</v>
      </c>
      <c r="AB147" s="228">
        <v>0.46</v>
      </c>
      <c r="AC147" s="229">
        <v>7.6E-3</v>
      </c>
      <c r="AD147" s="228">
        <v>0.1</v>
      </c>
      <c r="AE147" s="228">
        <v>0.23</v>
      </c>
      <c r="AF147" s="228">
        <v>-0.13</v>
      </c>
      <c r="AG147" s="229">
        <v>1.1000000000000001E-3</v>
      </c>
      <c r="AH147" s="228">
        <v>0.69</v>
      </c>
      <c r="AI147" s="228">
        <v>0.82</v>
      </c>
      <c r="AJ147" s="228">
        <v>-0.13</v>
      </c>
      <c r="AK147" s="229">
        <v>7.6E-3</v>
      </c>
      <c r="AL147" s="228">
        <v>1.33</v>
      </c>
      <c r="AM147" s="228">
        <v>1.32</v>
      </c>
      <c r="AN147" s="228">
        <v>0.01</v>
      </c>
      <c r="AO147" s="229">
        <v>1.47E-2</v>
      </c>
      <c r="AP147" s="228">
        <v>90.12</v>
      </c>
      <c r="AQ147" s="228">
        <v>90.82</v>
      </c>
      <c r="AR147" s="228">
        <v>0</v>
      </c>
      <c r="AS147" s="230">
        <v>1293</v>
      </c>
      <c r="AT147" s="230">
        <v>1420</v>
      </c>
      <c r="AU147" s="228">
        <v>-127</v>
      </c>
      <c r="AV147" s="229">
        <v>-8.9099999999999999E-2</v>
      </c>
      <c r="AW147" s="228">
        <v>598</v>
      </c>
      <c r="AX147" s="228">
        <v>659</v>
      </c>
      <c r="AY147" s="228">
        <v>-62</v>
      </c>
      <c r="AZ147" s="229">
        <v>-9.35E-2</v>
      </c>
      <c r="BA147" s="228">
        <v>685</v>
      </c>
      <c r="BB147" s="228">
        <v>752</v>
      </c>
      <c r="BC147" s="228">
        <v>-68</v>
      </c>
      <c r="BD147" s="229">
        <v>-8.9800000000000005E-2</v>
      </c>
      <c r="BE147" s="228">
        <v>11</v>
      </c>
      <c r="BF147" s="228">
        <v>9</v>
      </c>
      <c r="BG147" s="228">
        <v>3</v>
      </c>
      <c r="BH147" s="229">
        <v>0.30430000000000001</v>
      </c>
      <c r="BI147" s="228">
        <v>901</v>
      </c>
      <c r="BJ147" s="228">
        <v>664</v>
      </c>
      <c r="BK147" s="228">
        <v>237</v>
      </c>
      <c r="BL147" s="229">
        <v>0.35709999999999997</v>
      </c>
      <c r="BM147" s="228">
        <v>431</v>
      </c>
      <c r="BN147" s="228">
        <v>223</v>
      </c>
      <c r="BO147" s="228">
        <v>208</v>
      </c>
      <c r="BP147" s="229">
        <v>0.93179999999999996</v>
      </c>
      <c r="BQ147" s="230">
        <v>2626</v>
      </c>
      <c r="BR147" s="230">
        <v>2307</v>
      </c>
      <c r="BS147" s="228">
        <v>319</v>
      </c>
      <c r="BT147" s="229">
        <v>0.1381</v>
      </c>
      <c r="BU147" s="230">
        <v>17917659</v>
      </c>
      <c r="BV147" s="230">
        <v>16224075</v>
      </c>
      <c r="BW147" s="230">
        <v>1693584</v>
      </c>
      <c r="BX147" s="229">
        <v>0.10440000000000001</v>
      </c>
      <c r="BY147" s="230">
        <v>3218</v>
      </c>
      <c r="BZ147" s="230">
        <v>3234</v>
      </c>
      <c r="CA147" s="228">
        <v>-16</v>
      </c>
      <c r="CB147" s="229">
        <v>-5.0000000000000001E-3</v>
      </c>
      <c r="CC147" s="228">
        <v>81</v>
      </c>
      <c r="CD147" s="228">
        <v>446</v>
      </c>
      <c r="CE147" s="228">
        <v>-365</v>
      </c>
      <c r="CF147" s="229">
        <v>-0.81859999999999999</v>
      </c>
      <c r="CG147" s="230">
        <v>3158</v>
      </c>
      <c r="CH147" s="230">
        <v>2734</v>
      </c>
      <c r="CI147" s="228">
        <v>424</v>
      </c>
      <c r="CJ147" s="229">
        <v>0.15509999999999999</v>
      </c>
      <c r="CK147" s="228">
        <v>60</v>
      </c>
      <c r="CL147" s="228">
        <v>54</v>
      </c>
      <c r="CM147" s="228">
        <v>6</v>
      </c>
      <c r="CN147" s="229">
        <v>0.1154</v>
      </c>
      <c r="CO147" s="228">
        <v>485</v>
      </c>
      <c r="CP147" s="228">
        <v>760</v>
      </c>
      <c r="CQ147" s="228">
        <v>-274</v>
      </c>
      <c r="CR147" s="229">
        <v>-0.36130000000000001</v>
      </c>
      <c r="CS147" s="228">
        <v>253</v>
      </c>
      <c r="CT147" s="228">
        <v>399</v>
      </c>
      <c r="CU147" s="228">
        <v>-146</v>
      </c>
      <c r="CV147" s="229">
        <v>-0.3654</v>
      </c>
      <c r="CW147" s="230">
        <v>3957</v>
      </c>
      <c r="CX147" s="230">
        <v>4393</v>
      </c>
      <c r="CY147" s="228">
        <v>-436</v>
      </c>
      <c r="CZ147" s="229">
        <v>-9.9400000000000002E-2</v>
      </c>
      <c r="DA147" s="228">
        <v>30.72</v>
      </c>
      <c r="DB147" s="228">
        <v>31.16</v>
      </c>
      <c r="DC147" s="228">
        <v>-0.44</v>
      </c>
      <c r="DD147" s="228">
        <v>-0.44</v>
      </c>
      <c r="DE147" s="228">
        <v>38.340000000000003</v>
      </c>
      <c r="DF147" s="228">
        <v>38.43</v>
      </c>
      <c r="DG147" s="228">
        <v>-7.62</v>
      </c>
      <c r="DH147" s="228">
        <v>-0.09</v>
      </c>
      <c r="DI147" s="228">
        <v>30.77</v>
      </c>
      <c r="DJ147" s="228">
        <v>31.28</v>
      </c>
      <c r="DK147" s="228">
        <v>-0.51</v>
      </c>
      <c r="DL147" s="228">
        <v>-0.51</v>
      </c>
      <c r="DM147" s="228">
        <v>30.62</v>
      </c>
      <c r="DN147" s="228">
        <v>30.87</v>
      </c>
      <c r="DO147" s="228">
        <v>-0.25</v>
      </c>
      <c r="DP147" s="228">
        <v>-0.25</v>
      </c>
      <c r="DQ147" s="228">
        <v>0.52</v>
      </c>
      <c r="DR147" s="228">
        <v>0.53</v>
      </c>
      <c r="DS147" s="228">
        <v>-0.01</v>
      </c>
      <c r="DT147" s="229">
        <v>-1.89E-2</v>
      </c>
      <c r="DU147" s="228">
        <v>100</v>
      </c>
      <c r="DV147" s="228">
        <v>85</v>
      </c>
      <c r="DW147" s="228">
        <v>0.48</v>
      </c>
      <c r="DX147" s="228">
        <v>0.34</v>
      </c>
      <c r="DY147" s="228">
        <v>0.14000000000000001</v>
      </c>
      <c r="DZ147" s="229">
        <v>0.4118</v>
      </c>
      <c r="EA147" s="229">
        <v>0.97550000000000003</v>
      </c>
      <c r="EB147" s="230">
        <v>305167500</v>
      </c>
      <c r="EC147" s="229">
        <v>6.4999999999999997E-3</v>
      </c>
      <c r="ED147" s="229">
        <v>0.97550000000000003</v>
      </c>
      <c r="EE147" s="228">
        <v>0.7</v>
      </c>
      <c r="EF147" s="229">
        <v>7.7999999999999996E-3</v>
      </c>
      <c r="EG147" s="230">
        <v>6878139</v>
      </c>
      <c r="EH147" s="230">
        <v>8324191</v>
      </c>
      <c r="EI147" s="229">
        <v>-0.17369999999999999</v>
      </c>
      <c r="EJ147" s="229">
        <v>0.38390000000000002</v>
      </c>
      <c r="EK147" s="228">
        <v>933.75</v>
      </c>
      <c r="EL147" s="228">
        <v>419.26</v>
      </c>
      <c r="EM147" s="231">
        <v>1281.27</v>
      </c>
      <c r="EN147" s="228">
        <v>192.5</v>
      </c>
      <c r="EO147" s="231">
        <v>2634.28</v>
      </c>
      <c r="EP147" s="231">
        <v>2298.92</v>
      </c>
      <c r="EQ147" s="228">
        <v>335.36</v>
      </c>
      <c r="ER147" s="229">
        <v>0.1459</v>
      </c>
      <c r="ES147" s="228">
        <v>502.62</v>
      </c>
      <c r="ET147" s="228">
        <v>240.91</v>
      </c>
      <c r="EU147" s="231">
        <v>3218.63</v>
      </c>
      <c r="EV147" s="231">
        <v>517037525</v>
      </c>
      <c r="EW147" s="231">
        <v>3962.16</v>
      </c>
      <c r="EX147" s="231">
        <v>4382.58</v>
      </c>
      <c r="EY147" s="228">
        <v>-420.42</v>
      </c>
      <c r="EZ147" s="229">
        <v>-9.5899999999999999E-2</v>
      </c>
      <c r="FA147" s="229">
        <v>0.83760000000000001</v>
      </c>
      <c r="FB147" s="227" t="s">
        <v>691</v>
      </c>
      <c r="FC147">
        <f t="shared" si="2"/>
        <v>3137</v>
      </c>
    </row>
    <row r="148" spans="1:159" ht="17.25" thickBot="1" x14ac:dyDescent="0.3">
      <c r="A148" s="226">
        <v>46168</v>
      </c>
      <c r="B148" s="227" t="s">
        <v>161</v>
      </c>
      <c r="C148" s="227" t="s">
        <v>268</v>
      </c>
      <c r="D148" s="228">
        <v>1500</v>
      </c>
      <c r="E148" s="228">
        <v>0</v>
      </c>
      <c r="F148" s="228">
        <v>392.65</v>
      </c>
      <c r="G148" s="228">
        <v>393.2</v>
      </c>
      <c r="H148" s="228">
        <v>-0.55000000000000004</v>
      </c>
      <c r="I148" s="229">
        <v>-1.4E-3</v>
      </c>
      <c r="J148" s="228">
        <v>389.7</v>
      </c>
      <c r="K148" s="228">
        <v>390.05</v>
      </c>
      <c r="L148" s="228">
        <v>-0.35</v>
      </c>
      <c r="M148" s="229">
        <v>-8.9999999999999998E-4</v>
      </c>
      <c r="N148" s="228">
        <v>389.9</v>
      </c>
      <c r="O148" s="228">
        <v>390.25</v>
      </c>
      <c r="P148" s="228">
        <v>-0.35</v>
      </c>
      <c r="Q148" s="229">
        <v>-8.9999999999999998E-4</v>
      </c>
      <c r="R148" s="228">
        <v>392.65</v>
      </c>
      <c r="S148" s="228">
        <v>393.2</v>
      </c>
      <c r="T148" s="228">
        <v>-0.55000000000000004</v>
      </c>
      <c r="U148" s="229">
        <v>-1.4E-3</v>
      </c>
      <c r="V148" s="228">
        <v>395.1</v>
      </c>
      <c r="W148" s="228">
        <v>395.15</v>
      </c>
      <c r="X148" s="228">
        <v>-0.05</v>
      </c>
      <c r="Y148" s="229">
        <v>-1E-4</v>
      </c>
      <c r="Z148" s="228">
        <v>2.95</v>
      </c>
      <c r="AA148" s="228">
        <v>0.2</v>
      </c>
      <c r="AB148" s="228">
        <v>2.75</v>
      </c>
      <c r="AC148" s="229">
        <v>7.6E-3</v>
      </c>
      <c r="AD148" s="228">
        <v>0.2</v>
      </c>
      <c r="AE148" s="228">
        <v>0.2</v>
      </c>
      <c r="AF148" s="228">
        <v>0</v>
      </c>
      <c r="AG148" s="229">
        <v>5.0000000000000001E-4</v>
      </c>
      <c r="AH148" s="228">
        <v>2.95</v>
      </c>
      <c r="AI148" s="228">
        <v>3.15</v>
      </c>
      <c r="AJ148" s="228">
        <v>-0.2</v>
      </c>
      <c r="AK148" s="229">
        <v>7.6E-3</v>
      </c>
      <c r="AL148" s="228">
        <v>5.4</v>
      </c>
      <c r="AM148" s="228">
        <v>5.0999999999999996</v>
      </c>
      <c r="AN148" s="228">
        <v>0.3</v>
      </c>
      <c r="AO148" s="229">
        <v>1.3899999999999999E-2</v>
      </c>
      <c r="AP148" s="228">
        <v>390.29</v>
      </c>
      <c r="AQ148" s="228">
        <v>393.49</v>
      </c>
      <c r="AR148" s="228">
        <v>0</v>
      </c>
      <c r="AS148" s="230">
        <v>1381</v>
      </c>
      <c r="AT148" s="230">
        <v>2555</v>
      </c>
      <c r="AU148" s="230">
        <v>-1173</v>
      </c>
      <c r="AV148" s="229">
        <v>-0.45929999999999999</v>
      </c>
      <c r="AW148" s="228">
        <v>654</v>
      </c>
      <c r="AX148" s="230">
        <v>1216</v>
      </c>
      <c r="AY148" s="228">
        <v>-562</v>
      </c>
      <c r="AZ148" s="229">
        <v>-0.46239999999999998</v>
      </c>
      <c r="BA148" s="228">
        <v>720</v>
      </c>
      <c r="BB148" s="230">
        <v>1316</v>
      </c>
      <c r="BC148" s="228">
        <v>-595</v>
      </c>
      <c r="BD148" s="229">
        <v>-0.4526</v>
      </c>
      <c r="BE148" s="228">
        <v>7</v>
      </c>
      <c r="BF148" s="228">
        <v>23</v>
      </c>
      <c r="BG148" s="228">
        <v>-16</v>
      </c>
      <c r="BH148" s="229">
        <v>-0.68459999999999999</v>
      </c>
      <c r="BI148" s="230">
        <v>1141</v>
      </c>
      <c r="BJ148" s="230">
        <v>3319</v>
      </c>
      <c r="BK148" s="230">
        <v>-2179</v>
      </c>
      <c r="BL148" s="229">
        <v>-0.65629999999999999</v>
      </c>
      <c r="BM148" s="228">
        <v>724</v>
      </c>
      <c r="BN148" s="230">
        <v>1842</v>
      </c>
      <c r="BO148" s="230">
        <v>-1118</v>
      </c>
      <c r="BP148" s="229">
        <v>-0.60680000000000001</v>
      </c>
      <c r="BQ148" s="230">
        <v>3246</v>
      </c>
      <c r="BR148" s="230">
        <v>7716</v>
      </c>
      <c r="BS148" s="230">
        <v>-4470</v>
      </c>
      <c r="BT148" s="229">
        <v>-0.57930000000000004</v>
      </c>
      <c r="BU148" s="230">
        <v>10551778</v>
      </c>
      <c r="BV148" s="230">
        <v>10814547</v>
      </c>
      <c r="BW148" s="230">
        <v>-262769</v>
      </c>
      <c r="BX148" s="229">
        <v>-2.4299999999999999E-2</v>
      </c>
      <c r="BY148" s="230">
        <v>5084</v>
      </c>
      <c r="BZ148" s="230">
        <v>5247</v>
      </c>
      <c r="CA148" s="228">
        <v>-162</v>
      </c>
      <c r="CB148" s="229">
        <v>-3.09E-2</v>
      </c>
      <c r="CC148" s="228">
        <v>518</v>
      </c>
      <c r="CD148" s="228">
        <v>614</v>
      </c>
      <c r="CE148" s="228">
        <v>-96</v>
      </c>
      <c r="CF148" s="229">
        <v>-0.15620000000000001</v>
      </c>
      <c r="CG148" s="230">
        <v>4750</v>
      </c>
      <c r="CH148" s="230">
        <v>4300</v>
      </c>
      <c r="CI148" s="228">
        <v>450</v>
      </c>
      <c r="CJ148" s="229">
        <v>0.1047</v>
      </c>
      <c r="CK148" s="228">
        <v>334</v>
      </c>
      <c r="CL148" s="228">
        <v>332</v>
      </c>
      <c r="CM148" s="228">
        <v>2</v>
      </c>
      <c r="CN148" s="229">
        <v>6.4000000000000003E-3</v>
      </c>
      <c r="CO148" s="228">
        <v>409</v>
      </c>
      <c r="CP148" s="230">
        <v>3364</v>
      </c>
      <c r="CQ148" s="230">
        <v>-2954</v>
      </c>
      <c r="CR148" s="229">
        <v>-0.87829999999999997</v>
      </c>
      <c r="CS148" s="228">
        <v>306</v>
      </c>
      <c r="CT148" s="228">
        <v>904</v>
      </c>
      <c r="CU148" s="228">
        <v>-598</v>
      </c>
      <c r="CV148" s="229">
        <v>-0.66139999999999999</v>
      </c>
      <c r="CW148" s="230">
        <v>5800</v>
      </c>
      <c r="CX148" s="230">
        <v>9514</v>
      </c>
      <c r="CY148" s="230">
        <v>-3714</v>
      </c>
      <c r="CZ148" s="229">
        <v>-0.39040000000000002</v>
      </c>
      <c r="DA148" s="228">
        <v>19.02</v>
      </c>
      <c r="DB148" s="228">
        <v>18.5</v>
      </c>
      <c r="DC148" s="228">
        <v>0.52</v>
      </c>
      <c r="DD148" s="228">
        <v>0.52</v>
      </c>
      <c r="DE148" s="228">
        <v>26.68</v>
      </c>
      <c r="DF148" s="228">
        <v>26.74</v>
      </c>
      <c r="DG148" s="228">
        <v>-7.66</v>
      </c>
      <c r="DH148" s="228">
        <v>-0.06</v>
      </c>
      <c r="DI148" s="228">
        <v>19.05</v>
      </c>
      <c r="DJ148" s="228">
        <v>18.559999999999999</v>
      </c>
      <c r="DK148" s="228">
        <v>0.49</v>
      </c>
      <c r="DL148" s="228">
        <v>0.49</v>
      </c>
      <c r="DM148" s="228">
        <v>18.97</v>
      </c>
      <c r="DN148" s="228">
        <v>18.350000000000001</v>
      </c>
      <c r="DO148" s="228">
        <v>0.62</v>
      </c>
      <c r="DP148" s="228">
        <v>0.62</v>
      </c>
      <c r="DQ148" s="228">
        <v>0.75</v>
      </c>
      <c r="DR148" s="228">
        <v>0.27</v>
      </c>
      <c r="DS148" s="228">
        <v>0.48</v>
      </c>
      <c r="DT148" s="229">
        <v>1.7778</v>
      </c>
      <c r="DU148" s="228">
        <v>400</v>
      </c>
      <c r="DV148" s="228">
        <v>390</v>
      </c>
      <c r="DW148" s="228">
        <v>0.63</v>
      </c>
      <c r="DX148" s="228">
        <v>0.56000000000000005</v>
      </c>
      <c r="DY148" s="228">
        <v>7.0000000000000007E-2</v>
      </c>
      <c r="DZ148" s="229">
        <v>0.125</v>
      </c>
      <c r="EA148" s="229">
        <v>0.90749999999999997</v>
      </c>
      <c r="EB148" s="230">
        <v>117973500</v>
      </c>
      <c r="EC148" s="229">
        <v>7.1000000000000004E-3</v>
      </c>
      <c r="ED148" s="229">
        <v>0.90749999999999997</v>
      </c>
      <c r="EE148" s="228">
        <v>3.2</v>
      </c>
      <c r="EF148" s="229">
        <v>8.2000000000000007E-3</v>
      </c>
      <c r="EG148" s="230">
        <v>6917142</v>
      </c>
      <c r="EH148" s="230">
        <v>6122960</v>
      </c>
      <c r="EI148" s="229">
        <v>0.12970000000000001</v>
      </c>
      <c r="EJ148" s="229">
        <v>0.65549999999999997</v>
      </c>
      <c r="EK148" s="231">
        <v>1160.6099999999999</v>
      </c>
      <c r="EL148" s="228">
        <v>727.39</v>
      </c>
      <c r="EM148" s="231">
        <v>1378.8</v>
      </c>
      <c r="EN148" s="228">
        <v>308.69</v>
      </c>
      <c r="EO148" s="231">
        <v>3266.8</v>
      </c>
      <c r="EP148" s="231">
        <v>7726.94</v>
      </c>
      <c r="EQ148" s="231">
        <v>-4460.13</v>
      </c>
      <c r="ER148" s="229">
        <v>-0.57720000000000005</v>
      </c>
      <c r="ES148" s="228">
        <v>422.77</v>
      </c>
      <c r="ET148" s="228">
        <v>304.75</v>
      </c>
      <c r="EU148" s="231">
        <v>5086.53</v>
      </c>
      <c r="EV148" s="231">
        <v>550512361</v>
      </c>
      <c r="EW148" s="231">
        <v>5814.05</v>
      </c>
      <c r="EX148" s="231">
        <v>9627.9500000000007</v>
      </c>
      <c r="EY148" s="231">
        <v>-3813.9</v>
      </c>
      <c r="EZ148" s="229">
        <v>-0.39610000000000001</v>
      </c>
      <c r="FA148" s="229">
        <v>0.26829999999999998</v>
      </c>
      <c r="FB148" s="227" t="s">
        <v>567</v>
      </c>
      <c r="FC148">
        <f>BY217-CC217</f>
        <v>0</v>
      </c>
    </row>
    <row r="149" spans="1:159" ht="17.25" thickBot="1" x14ac:dyDescent="0.3">
      <c r="A149" s="226">
        <v>46168</v>
      </c>
      <c r="B149" s="227" t="s">
        <v>175</v>
      </c>
      <c r="C149" s="227" t="s">
        <v>681</v>
      </c>
      <c r="D149" s="228">
        <v>500</v>
      </c>
      <c r="E149" s="228">
        <v>0</v>
      </c>
      <c r="F149" s="231">
        <v>1523.8</v>
      </c>
      <c r="G149" s="231">
        <v>1514.7</v>
      </c>
      <c r="H149" s="228">
        <v>9.1</v>
      </c>
      <c r="I149" s="229">
        <v>6.0000000000000001E-3</v>
      </c>
      <c r="J149" s="231">
        <v>1513.4</v>
      </c>
      <c r="K149" s="231">
        <v>1504.8</v>
      </c>
      <c r="L149" s="228">
        <v>8.6</v>
      </c>
      <c r="M149" s="229">
        <v>5.7000000000000002E-3</v>
      </c>
      <c r="N149" s="231">
        <v>1516.6</v>
      </c>
      <c r="O149" s="231">
        <v>1505.2</v>
      </c>
      <c r="P149" s="228">
        <v>11.4</v>
      </c>
      <c r="Q149" s="229">
        <v>7.6E-3</v>
      </c>
      <c r="R149" s="231">
        <v>1523.8</v>
      </c>
      <c r="S149" s="231">
        <v>1514.7</v>
      </c>
      <c r="T149" s="228">
        <v>9.1</v>
      </c>
      <c r="U149" s="229">
        <v>6.0000000000000001E-3</v>
      </c>
      <c r="V149" s="231">
        <v>1514.2</v>
      </c>
      <c r="W149" s="231">
        <v>1510</v>
      </c>
      <c r="X149" s="228">
        <v>4.2</v>
      </c>
      <c r="Y149" s="229">
        <v>2.8E-3</v>
      </c>
      <c r="Z149" s="228">
        <v>10.4</v>
      </c>
      <c r="AA149" s="228">
        <v>0.4</v>
      </c>
      <c r="AB149" s="228">
        <v>10</v>
      </c>
      <c r="AC149" s="229">
        <v>6.8999999999999999E-3</v>
      </c>
      <c r="AD149" s="228">
        <v>3.2</v>
      </c>
      <c r="AE149" s="228">
        <v>0.4</v>
      </c>
      <c r="AF149" s="228">
        <v>2.8</v>
      </c>
      <c r="AG149" s="229">
        <v>2.0999999999999999E-3</v>
      </c>
      <c r="AH149" s="228">
        <v>10.4</v>
      </c>
      <c r="AI149" s="228">
        <v>9.9</v>
      </c>
      <c r="AJ149" s="228">
        <v>0.5</v>
      </c>
      <c r="AK149" s="229">
        <v>6.8999999999999999E-3</v>
      </c>
      <c r="AL149" s="228">
        <v>0.8</v>
      </c>
      <c r="AM149" s="228">
        <v>5.2</v>
      </c>
      <c r="AN149" s="228">
        <v>-4.4000000000000004</v>
      </c>
      <c r="AO149" s="229">
        <v>5.0000000000000001E-4</v>
      </c>
      <c r="AP149" s="231">
        <v>1507.33</v>
      </c>
      <c r="AQ149" s="231">
        <v>1516.32</v>
      </c>
      <c r="AR149" s="228">
        <v>0</v>
      </c>
      <c r="AS149" s="228">
        <v>273</v>
      </c>
      <c r="AT149" s="228">
        <v>260</v>
      </c>
      <c r="AU149" s="228">
        <v>13</v>
      </c>
      <c r="AV149" s="229">
        <v>4.8300000000000003E-2</v>
      </c>
      <c r="AW149" s="228">
        <v>144</v>
      </c>
      <c r="AX149" s="228">
        <v>107</v>
      </c>
      <c r="AY149" s="228">
        <v>37</v>
      </c>
      <c r="AZ149" s="229">
        <v>0.3498</v>
      </c>
      <c r="BA149" s="228">
        <v>127</v>
      </c>
      <c r="BB149" s="228">
        <v>153</v>
      </c>
      <c r="BC149" s="228">
        <v>-26</v>
      </c>
      <c r="BD149" s="229">
        <v>-0.1716</v>
      </c>
      <c r="BE149" s="228">
        <v>2</v>
      </c>
      <c r="BF149" s="228">
        <v>1</v>
      </c>
      <c r="BG149" s="228">
        <v>1</v>
      </c>
      <c r="BH149" s="229">
        <v>2.375</v>
      </c>
      <c r="BI149" s="228">
        <v>215</v>
      </c>
      <c r="BJ149" s="228">
        <v>286</v>
      </c>
      <c r="BK149" s="228">
        <v>-71</v>
      </c>
      <c r="BL149" s="229">
        <v>-0.24840000000000001</v>
      </c>
      <c r="BM149" s="228">
        <v>104</v>
      </c>
      <c r="BN149" s="228">
        <v>139</v>
      </c>
      <c r="BO149" s="228">
        <v>-35</v>
      </c>
      <c r="BP149" s="229">
        <v>-0.25219999999999998</v>
      </c>
      <c r="BQ149" s="228">
        <v>591</v>
      </c>
      <c r="BR149" s="228">
        <v>685</v>
      </c>
      <c r="BS149" s="228">
        <v>-93</v>
      </c>
      <c r="BT149" s="229">
        <v>-0.13639999999999999</v>
      </c>
      <c r="BU149" s="230">
        <v>510814</v>
      </c>
      <c r="BV149" s="230">
        <v>407481</v>
      </c>
      <c r="BW149" s="230">
        <v>103333</v>
      </c>
      <c r="BX149" s="229">
        <v>0.25359999999999999</v>
      </c>
      <c r="BY149" s="228">
        <v>240</v>
      </c>
      <c r="BZ149" s="228">
        <v>255</v>
      </c>
      <c r="CA149" s="228">
        <v>-15</v>
      </c>
      <c r="CB149" s="229">
        <v>-6.0600000000000001E-2</v>
      </c>
      <c r="CC149" s="228">
        <v>66</v>
      </c>
      <c r="CD149" s="228">
        <v>58</v>
      </c>
      <c r="CE149" s="228">
        <v>7</v>
      </c>
      <c r="CF149" s="229">
        <v>0.1268</v>
      </c>
      <c r="CG149" s="228">
        <v>237</v>
      </c>
      <c r="CH149" s="228">
        <v>195</v>
      </c>
      <c r="CI149" s="228">
        <v>42</v>
      </c>
      <c r="CJ149" s="229">
        <v>0.2155</v>
      </c>
      <c r="CK149" s="228">
        <v>3</v>
      </c>
      <c r="CL149" s="228">
        <v>2</v>
      </c>
      <c r="CM149" s="228">
        <v>1</v>
      </c>
      <c r="CN149" s="229">
        <v>0.41670000000000001</v>
      </c>
      <c r="CO149" s="228">
        <v>43</v>
      </c>
      <c r="CP149" s="228">
        <v>269</v>
      </c>
      <c r="CQ149" s="228">
        <v>-226</v>
      </c>
      <c r="CR149" s="229">
        <v>-0.84019999999999995</v>
      </c>
      <c r="CS149" s="228">
        <v>24</v>
      </c>
      <c r="CT149" s="228">
        <v>166</v>
      </c>
      <c r="CU149" s="228">
        <v>-142</v>
      </c>
      <c r="CV149" s="229">
        <v>-0.85660000000000003</v>
      </c>
      <c r="CW149" s="228">
        <v>307</v>
      </c>
      <c r="CX149" s="228">
        <v>690</v>
      </c>
      <c r="CY149" s="228">
        <v>-383</v>
      </c>
      <c r="CZ149" s="229">
        <v>-0.55569999999999997</v>
      </c>
      <c r="DA149" s="228">
        <v>34.92</v>
      </c>
      <c r="DB149" s="228">
        <v>36.5</v>
      </c>
      <c r="DC149" s="228">
        <v>-1.58</v>
      </c>
      <c r="DD149" s="228">
        <v>-1.58</v>
      </c>
      <c r="DE149" s="228">
        <v>50.79</v>
      </c>
      <c r="DF149" s="228">
        <v>50.91</v>
      </c>
      <c r="DG149" s="228">
        <v>-15.87</v>
      </c>
      <c r="DH149" s="228">
        <v>-0.12</v>
      </c>
      <c r="DI149" s="228">
        <v>34.31</v>
      </c>
      <c r="DJ149" s="228">
        <v>36.22</v>
      </c>
      <c r="DK149" s="228">
        <v>-1.91</v>
      </c>
      <c r="DL149" s="228">
        <v>-1.91</v>
      </c>
      <c r="DM149" s="228">
        <v>36.21</v>
      </c>
      <c r="DN149" s="228">
        <v>37.42</v>
      </c>
      <c r="DO149" s="228">
        <v>-1.21</v>
      </c>
      <c r="DP149" s="228">
        <v>-1.21</v>
      </c>
      <c r="DQ149" s="228">
        <v>0.55000000000000004</v>
      </c>
      <c r="DR149" s="228">
        <v>0.62</v>
      </c>
      <c r="DS149" s="228">
        <v>-7.0000000000000007E-2</v>
      </c>
      <c r="DT149" s="229">
        <v>-0.1129</v>
      </c>
      <c r="DU149" s="231">
        <v>1600</v>
      </c>
      <c r="DV149" s="231">
        <v>1300</v>
      </c>
      <c r="DW149" s="228">
        <v>0.48</v>
      </c>
      <c r="DX149" s="228">
        <v>0.49</v>
      </c>
      <c r="DY149" s="228">
        <v>-0.01</v>
      </c>
      <c r="DZ149" s="229">
        <v>-2.0400000000000001E-2</v>
      </c>
      <c r="EA149" s="229">
        <v>0.78500000000000003</v>
      </c>
      <c r="EB149" s="230">
        <v>1293000</v>
      </c>
      <c r="EC149" s="229">
        <v>4.7000000000000002E-3</v>
      </c>
      <c r="ED149" s="229">
        <v>0.78500000000000003</v>
      </c>
      <c r="EE149" s="228">
        <v>8.99</v>
      </c>
      <c r="EF149" s="229">
        <v>6.0000000000000001E-3</v>
      </c>
      <c r="EG149" s="230">
        <v>218204</v>
      </c>
      <c r="EH149" s="230">
        <v>195310</v>
      </c>
      <c r="EI149" s="229">
        <v>0.1172</v>
      </c>
      <c r="EJ149" s="229">
        <v>0.42720000000000002</v>
      </c>
      <c r="EK149" s="228">
        <v>219.68</v>
      </c>
      <c r="EL149" s="228">
        <v>100.87</v>
      </c>
      <c r="EM149" s="228">
        <v>270.49</v>
      </c>
      <c r="EN149" s="228">
        <v>25.45</v>
      </c>
      <c r="EO149" s="228">
        <v>591.03</v>
      </c>
      <c r="EP149" s="228">
        <v>682.08</v>
      </c>
      <c r="EQ149" s="228">
        <v>-91.05</v>
      </c>
      <c r="ER149" s="229">
        <v>-0.13350000000000001</v>
      </c>
      <c r="ES149" s="228">
        <v>44.8</v>
      </c>
      <c r="ET149" s="228">
        <v>22.58</v>
      </c>
      <c r="EU149" s="228">
        <v>239.83</v>
      </c>
      <c r="EV149" s="231">
        <v>12490416</v>
      </c>
      <c r="EW149" s="228">
        <v>307.20999999999998</v>
      </c>
      <c r="EX149" s="228">
        <v>682.22</v>
      </c>
      <c r="EY149" s="228">
        <v>-375.01</v>
      </c>
      <c r="EZ149" s="229">
        <v>-0.54969999999999997</v>
      </c>
      <c r="FA149" s="229">
        <v>0.16109999999999999</v>
      </c>
      <c r="FB149" s="227" t="s">
        <v>691</v>
      </c>
      <c r="FC149">
        <f t="shared" ref="FC149:FC194" si="3">BY216-CC216</f>
        <v>1054</v>
      </c>
    </row>
    <row r="150" spans="1:159" ht="17.25" thickBot="1" x14ac:dyDescent="0.3">
      <c r="A150" s="226">
        <v>46168</v>
      </c>
      <c r="B150" s="227" t="s">
        <v>614</v>
      </c>
      <c r="C150" s="227" t="s">
        <v>612</v>
      </c>
      <c r="D150" s="228">
        <v>3125</v>
      </c>
      <c r="E150" s="228">
        <v>0</v>
      </c>
      <c r="F150" s="228">
        <v>268.14999999999998</v>
      </c>
      <c r="G150" s="228">
        <v>271.75</v>
      </c>
      <c r="H150" s="228">
        <v>-3.6</v>
      </c>
      <c r="I150" s="229">
        <v>-1.32E-2</v>
      </c>
      <c r="J150" s="228">
        <v>266.35000000000002</v>
      </c>
      <c r="K150" s="228">
        <v>270.05</v>
      </c>
      <c r="L150" s="228">
        <v>-3.7</v>
      </c>
      <c r="M150" s="229">
        <v>-1.37E-2</v>
      </c>
      <c r="N150" s="228">
        <v>266.45</v>
      </c>
      <c r="O150" s="228">
        <v>270.10000000000002</v>
      </c>
      <c r="P150" s="228">
        <v>-3.65</v>
      </c>
      <c r="Q150" s="229">
        <v>-1.35E-2</v>
      </c>
      <c r="R150" s="228">
        <v>268.14999999999998</v>
      </c>
      <c r="S150" s="228">
        <v>271.75</v>
      </c>
      <c r="T150" s="228">
        <v>-3.6</v>
      </c>
      <c r="U150" s="229">
        <v>-1.32E-2</v>
      </c>
      <c r="V150" s="228">
        <v>269.64999999999998</v>
      </c>
      <c r="W150" s="228">
        <v>273.45</v>
      </c>
      <c r="X150" s="228">
        <v>-3.8</v>
      </c>
      <c r="Y150" s="229">
        <v>-1.3899999999999999E-2</v>
      </c>
      <c r="Z150" s="228">
        <v>1.8</v>
      </c>
      <c r="AA150" s="228">
        <v>0.05</v>
      </c>
      <c r="AB150" s="228">
        <v>1.75</v>
      </c>
      <c r="AC150" s="229">
        <v>6.7999999999999996E-3</v>
      </c>
      <c r="AD150" s="228">
        <v>0.1</v>
      </c>
      <c r="AE150" s="228">
        <v>0.05</v>
      </c>
      <c r="AF150" s="228">
        <v>0.05</v>
      </c>
      <c r="AG150" s="229">
        <v>4.0000000000000002E-4</v>
      </c>
      <c r="AH150" s="228">
        <v>1.8</v>
      </c>
      <c r="AI150" s="228">
        <v>1.7</v>
      </c>
      <c r="AJ150" s="228">
        <v>0.1</v>
      </c>
      <c r="AK150" s="229">
        <v>6.7999999999999996E-3</v>
      </c>
      <c r="AL150" s="228">
        <v>3.3</v>
      </c>
      <c r="AM150" s="228">
        <v>3.4</v>
      </c>
      <c r="AN150" s="228">
        <v>-0.1</v>
      </c>
      <c r="AO150" s="229">
        <v>1.24E-2</v>
      </c>
      <c r="AP150" s="228">
        <v>267.64</v>
      </c>
      <c r="AQ150" s="228">
        <v>269.72000000000003</v>
      </c>
      <c r="AR150" s="228">
        <v>0</v>
      </c>
      <c r="AS150" s="228">
        <v>640</v>
      </c>
      <c r="AT150" s="230">
        <v>1073</v>
      </c>
      <c r="AU150" s="228">
        <v>-432</v>
      </c>
      <c r="AV150" s="229">
        <v>-0.40310000000000001</v>
      </c>
      <c r="AW150" s="228">
        <v>284</v>
      </c>
      <c r="AX150" s="228">
        <v>480</v>
      </c>
      <c r="AY150" s="228">
        <v>-196</v>
      </c>
      <c r="AZ150" s="229">
        <v>-0.40889999999999999</v>
      </c>
      <c r="BA150" s="228">
        <v>353</v>
      </c>
      <c r="BB150" s="228">
        <v>587</v>
      </c>
      <c r="BC150" s="228">
        <v>-234</v>
      </c>
      <c r="BD150" s="229">
        <v>-0.39910000000000001</v>
      </c>
      <c r="BE150" s="228">
        <v>4</v>
      </c>
      <c r="BF150" s="228">
        <v>5</v>
      </c>
      <c r="BG150" s="228">
        <v>-2</v>
      </c>
      <c r="BH150" s="229">
        <v>-0.3175</v>
      </c>
      <c r="BI150" s="228">
        <v>771</v>
      </c>
      <c r="BJ150" s="230">
        <v>1979</v>
      </c>
      <c r="BK150" s="230">
        <v>-1208</v>
      </c>
      <c r="BL150" s="229">
        <v>-0.61050000000000004</v>
      </c>
      <c r="BM150" s="228">
        <v>253</v>
      </c>
      <c r="BN150" s="228">
        <v>641</v>
      </c>
      <c r="BO150" s="228">
        <v>-388</v>
      </c>
      <c r="BP150" s="229">
        <v>-0.60570000000000002</v>
      </c>
      <c r="BQ150" s="230">
        <v>1664</v>
      </c>
      <c r="BR150" s="230">
        <v>3693</v>
      </c>
      <c r="BS150" s="230">
        <v>-2029</v>
      </c>
      <c r="BT150" s="229">
        <v>-0.5494</v>
      </c>
      <c r="BU150" s="230">
        <v>7530095</v>
      </c>
      <c r="BV150" s="230">
        <v>8677683</v>
      </c>
      <c r="BW150" s="230">
        <v>-1147588</v>
      </c>
      <c r="BX150" s="229">
        <v>-0.13220000000000001</v>
      </c>
      <c r="BY150" s="230">
        <v>1368</v>
      </c>
      <c r="BZ150" s="230">
        <v>1403</v>
      </c>
      <c r="CA150" s="228">
        <v>-34</v>
      </c>
      <c r="CB150" s="229">
        <v>-2.4400000000000002E-2</v>
      </c>
      <c r="CC150" s="228">
        <v>42</v>
      </c>
      <c r="CD150" s="228">
        <v>228</v>
      </c>
      <c r="CE150" s="228">
        <v>-187</v>
      </c>
      <c r="CF150" s="229">
        <v>-0.81759999999999999</v>
      </c>
      <c r="CG150" s="230">
        <v>1359</v>
      </c>
      <c r="CH150" s="230">
        <v>1167</v>
      </c>
      <c r="CI150" s="228">
        <v>193</v>
      </c>
      <c r="CJ150" s="229">
        <v>0.1653</v>
      </c>
      <c r="CK150" s="228">
        <v>9</v>
      </c>
      <c r="CL150" s="228">
        <v>8</v>
      </c>
      <c r="CM150" s="228">
        <v>1</v>
      </c>
      <c r="CN150" s="229">
        <v>0.1613</v>
      </c>
      <c r="CO150" s="228">
        <v>591</v>
      </c>
      <c r="CP150" s="228">
        <v>931</v>
      </c>
      <c r="CQ150" s="228">
        <v>-340</v>
      </c>
      <c r="CR150" s="229">
        <v>-0.3654</v>
      </c>
      <c r="CS150" s="228">
        <v>197</v>
      </c>
      <c r="CT150" s="228">
        <v>312</v>
      </c>
      <c r="CU150" s="228">
        <v>-115</v>
      </c>
      <c r="CV150" s="229">
        <v>-0.36849999999999999</v>
      </c>
      <c r="CW150" s="230">
        <v>2157</v>
      </c>
      <c r="CX150" s="230">
        <v>2646</v>
      </c>
      <c r="CY150" s="228">
        <v>-490</v>
      </c>
      <c r="CZ150" s="229">
        <v>-0.185</v>
      </c>
      <c r="DA150" s="228">
        <v>34.090000000000003</v>
      </c>
      <c r="DB150" s="228">
        <v>34.28</v>
      </c>
      <c r="DC150" s="228">
        <v>-0.19</v>
      </c>
      <c r="DD150" s="228">
        <v>-0.19</v>
      </c>
      <c r="DE150" s="228">
        <v>35.200000000000003</v>
      </c>
      <c r="DF150" s="228">
        <v>35.24</v>
      </c>
      <c r="DG150" s="228">
        <v>-1.1100000000000001</v>
      </c>
      <c r="DH150" s="228">
        <v>-0.04</v>
      </c>
      <c r="DI150" s="228">
        <v>34.5</v>
      </c>
      <c r="DJ150" s="228">
        <v>34.619999999999997</v>
      </c>
      <c r="DK150" s="228">
        <v>-0.12</v>
      </c>
      <c r="DL150" s="228">
        <v>-0.12</v>
      </c>
      <c r="DM150" s="228">
        <v>32.67</v>
      </c>
      <c r="DN150" s="228">
        <v>32.72</v>
      </c>
      <c r="DO150" s="228">
        <v>-0.05</v>
      </c>
      <c r="DP150" s="228">
        <v>-0.05</v>
      </c>
      <c r="DQ150" s="228">
        <v>0.33</v>
      </c>
      <c r="DR150" s="228">
        <v>0.34</v>
      </c>
      <c r="DS150" s="228">
        <v>-0.01</v>
      </c>
      <c r="DT150" s="229">
        <v>-2.9399999999999999E-2</v>
      </c>
      <c r="DU150" s="228">
        <v>300</v>
      </c>
      <c r="DV150" s="228">
        <v>270</v>
      </c>
      <c r="DW150" s="228">
        <v>0.33</v>
      </c>
      <c r="DX150" s="228">
        <v>0.32</v>
      </c>
      <c r="DY150" s="228">
        <v>0.01</v>
      </c>
      <c r="DZ150" s="229">
        <v>3.1300000000000001E-2</v>
      </c>
      <c r="EA150" s="229">
        <v>0.97050000000000003</v>
      </c>
      <c r="EB150" s="230">
        <v>43796875</v>
      </c>
      <c r="EC150" s="229">
        <v>6.4000000000000003E-3</v>
      </c>
      <c r="ED150" s="229">
        <v>0.97050000000000003</v>
      </c>
      <c r="EE150" s="228">
        <v>2.08</v>
      </c>
      <c r="EF150" s="229">
        <v>7.7999999999999996E-3</v>
      </c>
      <c r="EG150" s="230">
        <v>3865980</v>
      </c>
      <c r="EH150" s="230">
        <v>3018902</v>
      </c>
      <c r="EI150" s="229">
        <v>0.28060000000000002</v>
      </c>
      <c r="EJ150" s="229">
        <v>0.51339999999999997</v>
      </c>
      <c r="EK150" s="228">
        <v>825.64</v>
      </c>
      <c r="EL150" s="228">
        <v>252.68</v>
      </c>
      <c r="EM150" s="228">
        <v>641.92999999999995</v>
      </c>
      <c r="EN150" s="228">
        <v>91.38</v>
      </c>
      <c r="EO150" s="231">
        <v>1720.24</v>
      </c>
      <c r="EP150" s="231">
        <v>3871.68</v>
      </c>
      <c r="EQ150" s="231">
        <v>-2151.44</v>
      </c>
      <c r="ER150" s="229">
        <v>-0.55569999999999997</v>
      </c>
      <c r="ES150" s="228">
        <v>645.55999999999995</v>
      </c>
      <c r="ET150" s="228">
        <v>194.19</v>
      </c>
      <c r="EU150" s="231">
        <v>1368.54</v>
      </c>
      <c r="EV150" s="231">
        <v>205669742</v>
      </c>
      <c r="EW150" s="231">
        <v>2208.29</v>
      </c>
      <c r="EX150" s="231">
        <v>2738.4</v>
      </c>
      <c r="EY150" s="228">
        <v>-530.11</v>
      </c>
      <c r="EZ150" s="229">
        <v>-0.19359999999999999</v>
      </c>
      <c r="FA150" s="229">
        <v>0.3911</v>
      </c>
      <c r="FB150" s="227" t="s">
        <v>567</v>
      </c>
      <c r="FC150">
        <f t="shared" si="3"/>
        <v>0</v>
      </c>
    </row>
    <row r="151" spans="1:159" ht="17.25" thickBot="1" x14ac:dyDescent="0.3">
      <c r="A151" s="226">
        <v>46168</v>
      </c>
      <c r="B151" s="227" t="s">
        <v>206</v>
      </c>
      <c r="C151" s="227" t="s">
        <v>528</v>
      </c>
      <c r="D151" s="228">
        <v>350</v>
      </c>
      <c r="E151" s="228">
        <v>0</v>
      </c>
      <c r="F151" s="231">
        <v>1685.7</v>
      </c>
      <c r="G151" s="231">
        <v>1699.1</v>
      </c>
      <c r="H151" s="228">
        <v>-13.4</v>
      </c>
      <c r="I151" s="229">
        <v>-7.9000000000000008E-3</v>
      </c>
      <c r="J151" s="231">
        <v>1693.7</v>
      </c>
      <c r="K151" s="231">
        <v>1712.4</v>
      </c>
      <c r="L151" s="228">
        <v>-18.7</v>
      </c>
      <c r="M151" s="229">
        <v>-1.09E-2</v>
      </c>
      <c r="N151" s="231">
        <v>1698.1</v>
      </c>
      <c r="O151" s="231">
        <v>1720.9</v>
      </c>
      <c r="P151" s="228">
        <v>-22.8</v>
      </c>
      <c r="Q151" s="229">
        <v>-1.32E-2</v>
      </c>
      <c r="R151" s="231">
        <v>1685.7</v>
      </c>
      <c r="S151" s="231">
        <v>1699.1</v>
      </c>
      <c r="T151" s="228">
        <v>-13.4</v>
      </c>
      <c r="U151" s="229">
        <v>-7.9000000000000008E-3</v>
      </c>
      <c r="V151" s="231">
        <v>1674.6</v>
      </c>
      <c r="W151" s="231">
        <v>1694.8</v>
      </c>
      <c r="X151" s="228">
        <v>-20.2</v>
      </c>
      <c r="Y151" s="229">
        <v>-1.1900000000000001E-2</v>
      </c>
      <c r="Z151" s="228">
        <v>-8</v>
      </c>
      <c r="AA151" s="228">
        <v>8.5</v>
      </c>
      <c r="AB151" s="228">
        <v>-16.5</v>
      </c>
      <c r="AC151" s="229">
        <v>-4.7000000000000002E-3</v>
      </c>
      <c r="AD151" s="228">
        <v>4.4000000000000004</v>
      </c>
      <c r="AE151" s="228">
        <v>8.5</v>
      </c>
      <c r="AF151" s="228">
        <v>-4.0999999999999996</v>
      </c>
      <c r="AG151" s="229">
        <v>2.5999999999999999E-3</v>
      </c>
      <c r="AH151" s="228">
        <v>-8</v>
      </c>
      <c r="AI151" s="228">
        <v>-13.3</v>
      </c>
      <c r="AJ151" s="228">
        <v>5.3</v>
      </c>
      <c r="AK151" s="229">
        <v>-4.7000000000000002E-3</v>
      </c>
      <c r="AL151" s="228">
        <v>-19.100000000000001</v>
      </c>
      <c r="AM151" s="228">
        <v>-17.600000000000001</v>
      </c>
      <c r="AN151" s="228">
        <v>-1.5</v>
      </c>
      <c r="AO151" s="229">
        <v>-1.1299999999999999E-2</v>
      </c>
      <c r="AP151" s="231">
        <v>1706.22</v>
      </c>
      <c r="AQ151" s="231">
        <v>1686.56</v>
      </c>
      <c r="AR151" s="228">
        <v>0</v>
      </c>
      <c r="AS151" s="228">
        <v>356</v>
      </c>
      <c r="AT151" s="230">
        <v>1112</v>
      </c>
      <c r="AU151" s="228">
        <v>-756</v>
      </c>
      <c r="AV151" s="229">
        <v>-0.67949999999999999</v>
      </c>
      <c r="AW151" s="228">
        <v>164</v>
      </c>
      <c r="AX151" s="228">
        <v>536</v>
      </c>
      <c r="AY151" s="228">
        <v>-372</v>
      </c>
      <c r="AZ151" s="229">
        <v>-0.69479999999999997</v>
      </c>
      <c r="BA151" s="228">
        <v>192</v>
      </c>
      <c r="BB151" s="228">
        <v>574</v>
      </c>
      <c r="BC151" s="228">
        <v>-382</v>
      </c>
      <c r="BD151" s="229">
        <v>-0.6663</v>
      </c>
      <c r="BE151" s="228">
        <v>1</v>
      </c>
      <c r="BF151" s="228">
        <v>2</v>
      </c>
      <c r="BG151" s="228">
        <v>-1</v>
      </c>
      <c r="BH151" s="229">
        <v>-0.43590000000000001</v>
      </c>
      <c r="BI151" s="228">
        <v>188</v>
      </c>
      <c r="BJ151" s="228">
        <v>403</v>
      </c>
      <c r="BK151" s="228">
        <v>-215</v>
      </c>
      <c r="BL151" s="229">
        <v>-0.53390000000000004</v>
      </c>
      <c r="BM151" s="228">
        <v>119</v>
      </c>
      <c r="BN151" s="228">
        <v>176</v>
      </c>
      <c r="BO151" s="228">
        <v>-57</v>
      </c>
      <c r="BP151" s="229">
        <v>-0.32190000000000002</v>
      </c>
      <c r="BQ151" s="228">
        <v>664</v>
      </c>
      <c r="BR151" s="230">
        <v>1692</v>
      </c>
      <c r="BS151" s="230">
        <v>-1028</v>
      </c>
      <c r="BT151" s="229">
        <v>-0.60760000000000003</v>
      </c>
      <c r="BU151" s="230">
        <v>362744</v>
      </c>
      <c r="BV151" s="230">
        <v>651510</v>
      </c>
      <c r="BW151" s="230">
        <v>-288766</v>
      </c>
      <c r="BX151" s="229">
        <v>-0.44319999999999998</v>
      </c>
      <c r="BY151" s="230">
        <v>1049</v>
      </c>
      <c r="BZ151" s="230">
        <v>1328</v>
      </c>
      <c r="CA151" s="228">
        <v>-279</v>
      </c>
      <c r="CB151" s="229">
        <v>-0.21</v>
      </c>
      <c r="CC151" s="228">
        <v>185</v>
      </c>
      <c r="CD151" s="228">
        <v>292</v>
      </c>
      <c r="CE151" s="228">
        <v>-107</v>
      </c>
      <c r="CF151" s="229">
        <v>-0.36799999999999999</v>
      </c>
      <c r="CG151" s="230">
        <v>1044</v>
      </c>
      <c r="CH151" s="230">
        <v>1032</v>
      </c>
      <c r="CI151" s="228">
        <v>12</v>
      </c>
      <c r="CJ151" s="229">
        <v>1.18E-2</v>
      </c>
      <c r="CK151" s="228">
        <v>5</v>
      </c>
      <c r="CL151" s="228">
        <v>4</v>
      </c>
      <c r="CM151" s="228">
        <v>1</v>
      </c>
      <c r="CN151" s="229">
        <v>0.254</v>
      </c>
      <c r="CO151" s="228">
        <v>52</v>
      </c>
      <c r="CP151" s="228">
        <v>215</v>
      </c>
      <c r="CQ151" s="228">
        <v>-163</v>
      </c>
      <c r="CR151" s="229">
        <v>-0.75649999999999995</v>
      </c>
      <c r="CS151" s="228">
        <v>41</v>
      </c>
      <c r="CT151" s="228">
        <v>134</v>
      </c>
      <c r="CU151" s="228">
        <v>-93</v>
      </c>
      <c r="CV151" s="229">
        <v>-0.69620000000000004</v>
      </c>
      <c r="CW151" s="230">
        <v>1142</v>
      </c>
      <c r="CX151" s="230">
        <v>1677</v>
      </c>
      <c r="CY151" s="228">
        <v>-535</v>
      </c>
      <c r="CZ151" s="229">
        <v>-0.31890000000000002</v>
      </c>
      <c r="DA151" s="228">
        <v>28.83</v>
      </c>
      <c r="DB151" s="228">
        <v>29.31</v>
      </c>
      <c r="DC151" s="228">
        <v>-0.48</v>
      </c>
      <c r="DD151" s="228">
        <v>-0.48</v>
      </c>
      <c r="DE151" s="228">
        <v>36.020000000000003</v>
      </c>
      <c r="DF151" s="228">
        <v>36.090000000000003</v>
      </c>
      <c r="DG151" s="228">
        <v>-7.19</v>
      </c>
      <c r="DH151" s="228">
        <v>-7.0000000000000007E-2</v>
      </c>
      <c r="DI151" s="228">
        <v>29.41</v>
      </c>
      <c r="DJ151" s="228">
        <v>29.34</v>
      </c>
      <c r="DK151" s="228">
        <v>7.0000000000000007E-2</v>
      </c>
      <c r="DL151" s="228">
        <v>7.0000000000000007E-2</v>
      </c>
      <c r="DM151" s="228">
        <v>28.09</v>
      </c>
      <c r="DN151" s="228">
        <v>29.24</v>
      </c>
      <c r="DO151" s="228">
        <v>-1.1499999999999999</v>
      </c>
      <c r="DP151" s="228">
        <v>-1.1499999999999999</v>
      </c>
      <c r="DQ151" s="228">
        <v>0.78</v>
      </c>
      <c r="DR151" s="228">
        <v>0.62</v>
      </c>
      <c r="DS151" s="228">
        <v>0.16</v>
      </c>
      <c r="DT151" s="229">
        <v>0.2581</v>
      </c>
      <c r="DU151" s="231">
        <v>1880</v>
      </c>
      <c r="DV151" s="231">
        <v>1500</v>
      </c>
      <c r="DW151" s="228">
        <v>0.63</v>
      </c>
      <c r="DX151" s="228">
        <v>0.44</v>
      </c>
      <c r="DY151" s="228">
        <v>0.19</v>
      </c>
      <c r="DZ151" s="229">
        <v>0.43180000000000002</v>
      </c>
      <c r="EA151" s="229">
        <v>0.85040000000000004</v>
      </c>
      <c r="EB151" s="230">
        <v>6145650</v>
      </c>
      <c r="EC151" s="229">
        <v>-7.3000000000000001E-3</v>
      </c>
      <c r="ED151" s="229">
        <v>0.85040000000000004</v>
      </c>
      <c r="EE151" s="228">
        <v>-19.66</v>
      </c>
      <c r="EF151" s="229">
        <v>-1.15E-2</v>
      </c>
      <c r="EG151" s="230">
        <v>211368</v>
      </c>
      <c r="EH151" s="230">
        <v>290341</v>
      </c>
      <c r="EI151" s="229">
        <v>-0.27200000000000002</v>
      </c>
      <c r="EJ151" s="229">
        <v>0.5827</v>
      </c>
      <c r="EK151" s="228">
        <v>193.7</v>
      </c>
      <c r="EL151" s="228">
        <v>118.11</v>
      </c>
      <c r="EM151" s="228">
        <v>358.56</v>
      </c>
      <c r="EN151" s="228">
        <v>97.69</v>
      </c>
      <c r="EO151" s="228">
        <v>670.37</v>
      </c>
      <c r="EP151" s="231">
        <v>1714.6</v>
      </c>
      <c r="EQ151" s="231">
        <v>-1044.22</v>
      </c>
      <c r="ER151" s="229">
        <v>-0.60899999999999999</v>
      </c>
      <c r="ES151" s="228">
        <v>53.24</v>
      </c>
      <c r="ET151" s="228">
        <v>40.32</v>
      </c>
      <c r="EU151" s="231">
        <v>1049.0999999999999</v>
      </c>
      <c r="EV151" s="231">
        <v>17614093</v>
      </c>
      <c r="EW151" s="231">
        <v>1142.67</v>
      </c>
      <c r="EX151" s="231">
        <v>1694.04</v>
      </c>
      <c r="EY151" s="228">
        <v>-551.37</v>
      </c>
      <c r="EZ151" s="229">
        <v>-0.32550000000000001</v>
      </c>
      <c r="FA151" s="229">
        <v>0.38469999999999999</v>
      </c>
      <c r="FB151" s="227" t="s">
        <v>567</v>
      </c>
      <c r="FC151">
        <f t="shared" si="3"/>
        <v>0</v>
      </c>
    </row>
    <row r="152" spans="1:159" ht="17.25" thickBot="1" x14ac:dyDescent="0.3">
      <c r="A152" s="226">
        <v>46168</v>
      </c>
      <c r="B152" s="227" t="s">
        <v>221</v>
      </c>
      <c r="C152" s="227" t="s">
        <v>518</v>
      </c>
      <c r="D152" s="228">
        <v>75</v>
      </c>
      <c r="E152" s="228">
        <v>0</v>
      </c>
      <c r="F152" s="231">
        <v>9783</v>
      </c>
      <c r="G152" s="231">
        <v>9624.5</v>
      </c>
      <c r="H152" s="228">
        <v>158.5</v>
      </c>
      <c r="I152" s="229">
        <v>1.6500000000000001E-2</v>
      </c>
      <c r="J152" s="231">
        <v>9882</v>
      </c>
      <c r="K152" s="231">
        <v>9703</v>
      </c>
      <c r="L152" s="228">
        <v>179</v>
      </c>
      <c r="M152" s="229">
        <v>1.84E-2</v>
      </c>
      <c r="N152" s="231">
        <v>9885.5</v>
      </c>
      <c r="O152" s="231">
        <v>9708</v>
      </c>
      <c r="P152" s="228">
        <v>177.5</v>
      </c>
      <c r="Q152" s="229">
        <v>1.83E-2</v>
      </c>
      <c r="R152" s="231">
        <v>9783</v>
      </c>
      <c r="S152" s="231">
        <v>9624.5</v>
      </c>
      <c r="T152" s="228">
        <v>158.5</v>
      </c>
      <c r="U152" s="229">
        <v>1.6500000000000001E-2</v>
      </c>
      <c r="V152" s="231">
        <v>9736.5</v>
      </c>
      <c r="W152" s="231">
        <v>9631</v>
      </c>
      <c r="X152" s="228">
        <v>105.5</v>
      </c>
      <c r="Y152" s="229">
        <v>1.0999999999999999E-2</v>
      </c>
      <c r="Z152" s="228">
        <v>-99</v>
      </c>
      <c r="AA152" s="228">
        <v>5</v>
      </c>
      <c r="AB152" s="228">
        <v>-104</v>
      </c>
      <c r="AC152" s="229">
        <v>-0.01</v>
      </c>
      <c r="AD152" s="228">
        <v>3.5</v>
      </c>
      <c r="AE152" s="228">
        <v>5</v>
      </c>
      <c r="AF152" s="228">
        <v>-1.5</v>
      </c>
      <c r="AG152" s="229">
        <v>4.0000000000000002E-4</v>
      </c>
      <c r="AH152" s="228">
        <v>-99</v>
      </c>
      <c r="AI152" s="228">
        <v>-78.5</v>
      </c>
      <c r="AJ152" s="228">
        <v>-20.5</v>
      </c>
      <c r="AK152" s="229">
        <v>-0.01</v>
      </c>
      <c r="AL152" s="228">
        <v>-145.5</v>
      </c>
      <c r="AM152" s="228">
        <v>-72</v>
      </c>
      <c r="AN152" s="228">
        <v>-73.5</v>
      </c>
      <c r="AO152" s="229">
        <v>-1.47E-2</v>
      </c>
      <c r="AP152" s="231">
        <v>9798.8700000000008</v>
      </c>
      <c r="AQ152" s="231">
        <v>9716.44</v>
      </c>
      <c r="AR152" s="228">
        <v>0</v>
      </c>
      <c r="AS152" s="228">
        <v>455</v>
      </c>
      <c r="AT152" s="228">
        <v>670</v>
      </c>
      <c r="AU152" s="228">
        <v>-215</v>
      </c>
      <c r="AV152" s="229">
        <v>-0.32140000000000002</v>
      </c>
      <c r="AW152" s="228">
        <v>183</v>
      </c>
      <c r="AX152" s="228">
        <v>327</v>
      </c>
      <c r="AY152" s="228">
        <v>-143</v>
      </c>
      <c r="AZ152" s="229">
        <v>-0.43890000000000001</v>
      </c>
      <c r="BA152" s="228">
        <v>268</v>
      </c>
      <c r="BB152" s="228">
        <v>342</v>
      </c>
      <c r="BC152" s="228">
        <v>-74</v>
      </c>
      <c r="BD152" s="229">
        <v>-0.2157</v>
      </c>
      <c r="BE152" s="228">
        <v>3</v>
      </c>
      <c r="BF152" s="228">
        <v>2</v>
      </c>
      <c r="BG152" s="228">
        <v>2</v>
      </c>
      <c r="BH152" s="229">
        <v>1.1429</v>
      </c>
      <c r="BI152" s="230">
        <v>1424</v>
      </c>
      <c r="BJ152" s="230">
        <v>1793</v>
      </c>
      <c r="BK152" s="228">
        <v>-369</v>
      </c>
      <c r="BL152" s="229">
        <v>-0.2056</v>
      </c>
      <c r="BM152" s="228">
        <v>857</v>
      </c>
      <c r="BN152" s="230">
        <v>1252</v>
      </c>
      <c r="BO152" s="228">
        <v>-396</v>
      </c>
      <c r="BP152" s="229">
        <v>-0.31580000000000003</v>
      </c>
      <c r="BQ152" s="230">
        <v>2736</v>
      </c>
      <c r="BR152" s="230">
        <v>3716</v>
      </c>
      <c r="BS152" s="228">
        <v>-980</v>
      </c>
      <c r="BT152" s="229">
        <v>-0.26369999999999999</v>
      </c>
      <c r="BU152" s="230">
        <v>266264</v>
      </c>
      <c r="BV152" s="230">
        <v>195688</v>
      </c>
      <c r="BW152" s="230">
        <v>70576</v>
      </c>
      <c r="BX152" s="229">
        <v>0.36070000000000002</v>
      </c>
      <c r="BY152" s="230">
        <v>1034</v>
      </c>
      <c r="BZ152" s="230">
        <v>1137</v>
      </c>
      <c r="CA152" s="228">
        <v>-103</v>
      </c>
      <c r="CB152" s="229">
        <v>-9.0499999999999997E-2</v>
      </c>
      <c r="CC152" s="228">
        <v>69</v>
      </c>
      <c r="CD152" s="228">
        <v>142</v>
      </c>
      <c r="CE152" s="228">
        <v>-73</v>
      </c>
      <c r="CF152" s="229">
        <v>-0.5131</v>
      </c>
      <c r="CG152" s="230">
        <v>1026</v>
      </c>
      <c r="CH152" s="228">
        <v>987</v>
      </c>
      <c r="CI152" s="228">
        <v>39</v>
      </c>
      <c r="CJ152" s="229">
        <v>3.9800000000000002E-2</v>
      </c>
      <c r="CK152" s="228">
        <v>8</v>
      </c>
      <c r="CL152" s="228">
        <v>7</v>
      </c>
      <c r="CM152" s="228">
        <v>0</v>
      </c>
      <c r="CN152" s="229">
        <v>2.6700000000000002E-2</v>
      </c>
      <c r="CO152" s="228">
        <v>254</v>
      </c>
      <c r="CP152" s="228">
        <v>734</v>
      </c>
      <c r="CQ152" s="228">
        <v>-480</v>
      </c>
      <c r="CR152" s="229">
        <v>-0.65400000000000003</v>
      </c>
      <c r="CS152" s="228">
        <v>185</v>
      </c>
      <c r="CT152" s="228">
        <v>634</v>
      </c>
      <c r="CU152" s="228">
        <v>-449</v>
      </c>
      <c r="CV152" s="229">
        <v>-0.7087</v>
      </c>
      <c r="CW152" s="230">
        <v>1473</v>
      </c>
      <c r="CX152" s="230">
        <v>2505</v>
      </c>
      <c r="CY152" s="230">
        <v>-1032</v>
      </c>
      <c r="CZ152" s="229">
        <v>-0.41210000000000002</v>
      </c>
      <c r="DA152" s="228">
        <v>33.33</v>
      </c>
      <c r="DB152" s="228">
        <v>31.99</v>
      </c>
      <c r="DC152" s="228">
        <v>1.34</v>
      </c>
      <c r="DD152" s="228">
        <v>1.34</v>
      </c>
      <c r="DE152" s="228">
        <v>40.82</v>
      </c>
      <c r="DF152" s="228">
        <v>40.840000000000003</v>
      </c>
      <c r="DG152" s="228">
        <v>-7.49</v>
      </c>
      <c r="DH152" s="228">
        <v>-0.02</v>
      </c>
      <c r="DI152" s="228">
        <v>33.369999999999997</v>
      </c>
      <c r="DJ152" s="228">
        <v>32.42</v>
      </c>
      <c r="DK152" s="228">
        <v>0.95</v>
      </c>
      <c r="DL152" s="228">
        <v>0.95</v>
      </c>
      <c r="DM152" s="228">
        <v>33.200000000000003</v>
      </c>
      <c r="DN152" s="228">
        <v>30.8</v>
      </c>
      <c r="DO152" s="228">
        <v>2.4</v>
      </c>
      <c r="DP152" s="228">
        <v>2.4</v>
      </c>
      <c r="DQ152" s="228">
        <v>0.73</v>
      </c>
      <c r="DR152" s="228">
        <v>0.86</v>
      </c>
      <c r="DS152" s="228">
        <v>-0.13</v>
      </c>
      <c r="DT152" s="229">
        <v>-0.1512</v>
      </c>
      <c r="DU152" s="231">
        <v>10000</v>
      </c>
      <c r="DV152" s="231">
        <v>9000</v>
      </c>
      <c r="DW152" s="228">
        <v>0.6</v>
      </c>
      <c r="DX152" s="228">
        <v>0.7</v>
      </c>
      <c r="DY152" s="228">
        <v>-0.1</v>
      </c>
      <c r="DZ152" s="229">
        <v>-0.1429</v>
      </c>
      <c r="EA152" s="229">
        <v>0.93710000000000004</v>
      </c>
      <c r="EB152" s="230">
        <v>1016325</v>
      </c>
      <c r="EC152" s="229">
        <v>-1.04E-2</v>
      </c>
      <c r="ED152" s="229">
        <v>0.93710000000000004</v>
      </c>
      <c r="EE152" s="228">
        <v>-82.43</v>
      </c>
      <c r="EF152" s="229">
        <v>-8.3999999999999995E-3</v>
      </c>
      <c r="EG152" s="230">
        <v>101572</v>
      </c>
      <c r="EH152" s="230">
        <v>64693</v>
      </c>
      <c r="EI152" s="229">
        <v>0.57010000000000005</v>
      </c>
      <c r="EJ152" s="229">
        <v>0.38150000000000001</v>
      </c>
      <c r="EK152" s="231">
        <v>1473.37</v>
      </c>
      <c r="EL152" s="228">
        <v>816.51</v>
      </c>
      <c r="EM152" s="228">
        <v>454.36</v>
      </c>
      <c r="EN152" s="228">
        <v>98.7</v>
      </c>
      <c r="EO152" s="231">
        <v>2744.24</v>
      </c>
      <c r="EP152" s="231">
        <v>3667.03</v>
      </c>
      <c r="EQ152" s="228">
        <v>-922.79</v>
      </c>
      <c r="ER152" s="229">
        <v>-0.25159999999999999</v>
      </c>
      <c r="ES152" s="228">
        <v>260.95</v>
      </c>
      <c r="ET152" s="228">
        <v>176.26</v>
      </c>
      <c r="EU152" s="231">
        <v>1033.76</v>
      </c>
      <c r="EV152" s="231">
        <v>3594855</v>
      </c>
      <c r="EW152" s="231">
        <v>1470.97</v>
      </c>
      <c r="EX152" s="231">
        <v>2425.46</v>
      </c>
      <c r="EY152" s="228">
        <v>-954.49</v>
      </c>
      <c r="EZ152" s="229">
        <v>-0.39350000000000002</v>
      </c>
      <c r="FA152" s="229">
        <v>0.41870000000000002</v>
      </c>
      <c r="FB152" s="227" t="s">
        <v>691</v>
      </c>
      <c r="FC152">
        <f t="shared" si="3"/>
        <v>0</v>
      </c>
    </row>
    <row r="153" spans="1:159" ht="17.25" thickBot="1" x14ac:dyDescent="0.3">
      <c r="A153" s="226">
        <v>46168</v>
      </c>
      <c r="B153" s="227" t="s">
        <v>193</v>
      </c>
      <c r="C153" s="227" t="s">
        <v>586</v>
      </c>
      <c r="D153" s="228">
        <v>1400</v>
      </c>
      <c r="E153" s="228">
        <v>0</v>
      </c>
      <c r="F153" s="228">
        <v>496.35</v>
      </c>
      <c r="G153" s="228">
        <v>486.8</v>
      </c>
      <c r="H153" s="228">
        <v>9.5500000000000007</v>
      </c>
      <c r="I153" s="229">
        <v>1.9599999999999999E-2</v>
      </c>
      <c r="J153" s="228">
        <v>492.1</v>
      </c>
      <c r="K153" s="228">
        <v>482.55</v>
      </c>
      <c r="L153" s="228">
        <v>9.5500000000000007</v>
      </c>
      <c r="M153" s="229">
        <v>1.9800000000000002E-2</v>
      </c>
      <c r="N153" s="228">
        <v>492.85</v>
      </c>
      <c r="O153" s="228">
        <v>483.45</v>
      </c>
      <c r="P153" s="228">
        <v>9.4</v>
      </c>
      <c r="Q153" s="229">
        <v>1.9400000000000001E-2</v>
      </c>
      <c r="R153" s="228">
        <v>496.35</v>
      </c>
      <c r="S153" s="228">
        <v>486.8</v>
      </c>
      <c r="T153" s="228">
        <v>9.5500000000000007</v>
      </c>
      <c r="U153" s="229">
        <v>1.9599999999999999E-2</v>
      </c>
      <c r="V153" s="228">
        <v>498.65</v>
      </c>
      <c r="W153" s="228">
        <v>489.05</v>
      </c>
      <c r="X153" s="228">
        <v>9.6</v>
      </c>
      <c r="Y153" s="229">
        <v>1.9599999999999999E-2</v>
      </c>
      <c r="Z153" s="228">
        <v>4.25</v>
      </c>
      <c r="AA153" s="228">
        <v>0.9</v>
      </c>
      <c r="AB153" s="228">
        <v>3.35</v>
      </c>
      <c r="AC153" s="229">
        <v>8.6E-3</v>
      </c>
      <c r="AD153" s="228">
        <v>0.75</v>
      </c>
      <c r="AE153" s="228">
        <v>0.9</v>
      </c>
      <c r="AF153" s="228">
        <v>-0.15</v>
      </c>
      <c r="AG153" s="229">
        <v>1.5E-3</v>
      </c>
      <c r="AH153" s="228">
        <v>4.25</v>
      </c>
      <c r="AI153" s="228">
        <v>4.25</v>
      </c>
      <c r="AJ153" s="228">
        <v>0</v>
      </c>
      <c r="AK153" s="229">
        <v>8.6E-3</v>
      </c>
      <c r="AL153" s="228">
        <v>6.55</v>
      </c>
      <c r="AM153" s="228">
        <v>6.5</v>
      </c>
      <c r="AN153" s="228">
        <v>0.05</v>
      </c>
      <c r="AO153" s="229">
        <v>1.3299999999999999E-2</v>
      </c>
      <c r="AP153" s="228">
        <v>492.75</v>
      </c>
      <c r="AQ153" s="228">
        <v>496.45</v>
      </c>
      <c r="AR153" s="228">
        <v>0</v>
      </c>
      <c r="AS153" s="228">
        <v>348</v>
      </c>
      <c r="AT153" s="228">
        <v>527</v>
      </c>
      <c r="AU153" s="228">
        <v>-179</v>
      </c>
      <c r="AV153" s="229">
        <v>-0.33889999999999998</v>
      </c>
      <c r="AW153" s="228">
        <v>150</v>
      </c>
      <c r="AX153" s="228">
        <v>248</v>
      </c>
      <c r="AY153" s="228">
        <v>-98</v>
      </c>
      <c r="AZ153" s="229">
        <v>-0.39489999999999997</v>
      </c>
      <c r="BA153" s="228">
        <v>196</v>
      </c>
      <c r="BB153" s="228">
        <v>277</v>
      </c>
      <c r="BC153" s="228">
        <v>-80</v>
      </c>
      <c r="BD153" s="229">
        <v>-0.2908</v>
      </c>
      <c r="BE153" s="228">
        <v>2</v>
      </c>
      <c r="BF153" s="228">
        <v>2</v>
      </c>
      <c r="BG153" s="228">
        <v>0</v>
      </c>
      <c r="BH153" s="229">
        <v>-8.8200000000000001E-2</v>
      </c>
      <c r="BI153" s="228">
        <v>532</v>
      </c>
      <c r="BJ153" s="228">
        <v>561</v>
      </c>
      <c r="BK153" s="228">
        <v>-28</v>
      </c>
      <c r="BL153" s="229">
        <v>-5.0599999999999999E-2</v>
      </c>
      <c r="BM153" s="228">
        <v>274</v>
      </c>
      <c r="BN153" s="228">
        <v>549</v>
      </c>
      <c r="BO153" s="228">
        <v>-275</v>
      </c>
      <c r="BP153" s="229">
        <v>-0.50149999999999995</v>
      </c>
      <c r="BQ153" s="230">
        <v>1155</v>
      </c>
      <c r="BR153" s="230">
        <v>1637</v>
      </c>
      <c r="BS153" s="228">
        <v>-482</v>
      </c>
      <c r="BT153" s="229">
        <v>-0.29470000000000002</v>
      </c>
      <c r="BU153" s="230">
        <v>3171316</v>
      </c>
      <c r="BV153" s="230">
        <v>4197648</v>
      </c>
      <c r="BW153" s="230">
        <v>-1026332</v>
      </c>
      <c r="BX153" s="229">
        <v>-0.2445</v>
      </c>
      <c r="BY153" s="228">
        <v>763</v>
      </c>
      <c r="BZ153" s="228">
        <v>860</v>
      </c>
      <c r="CA153" s="228">
        <v>-96</v>
      </c>
      <c r="CB153" s="229">
        <v>-0.11219999999999999</v>
      </c>
      <c r="CC153" s="228">
        <v>101</v>
      </c>
      <c r="CD153" s="228">
        <v>190</v>
      </c>
      <c r="CE153" s="228">
        <v>-88</v>
      </c>
      <c r="CF153" s="229">
        <v>-0.46610000000000001</v>
      </c>
      <c r="CG153" s="228">
        <v>757</v>
      </c>
      <c r="CH153" s="228">
        <v>664</v>
      </c>
      <c r="CI153" s="228">
        <v>93</v>
      </c>
      <c r="CJ153" s="229">
        <v>0.1404</v>
      </c>
      <c r="CK153" s="228">
        <v>6</v>
      </c>
      <c r="CL153" s="228">
        <v>6</v>
      </c>
      <c r="CM153" s="228">
        <v>0</v>
      </c>
      <c r="CN153" s="229">
        <v>-1.2E-2</v>
      </c>
      <c r="CO153" s="228">
        <v>105</v>
      </c>
      <c r="CP153" s="228">
        <v>460</v>
      </c>
      <c r="CQ153" s="228">
        <v>-354</v>
      </c>
      <c r="CR153" s="229">
        <v>-0.77070000000000005</v>
      </c>
      <c r="CS153" s="228">
        <v>72</v>
      </c>
      <c r="CT153" s="228">
        <v>312</v>
      </c>
      <c r="CU153" s="228">
        <v>-240</v>
      </c>
      <c r="CV153" s="229">
        <v>-0.77059999999999995</v>
      </c>
      <c r="CW153" s="228">
        <v>940</v>
      </c>
      <c r="CX153" s="230">
        <v>1631</v>
      </c>
      <c r="CY153" s="228">
        <v>-691</v>
      </c>
      <c r="CZ153" s="229">
        <v>-0.42380000000000001</v>
      </c>
      <c r="DA153" s="228">
        <v>29.7</v>
      </c>
      <c r="DB153" s="228">
        <v>32.020000000000003</v>
      </c>
      <c r="DC153" s="228">
        <v>-2.3199999999999998</v>
      </c>
      <c r="DD153" s="228">
        <v>-2.3199999999999998</v>
      </c>
      <c r="DE153" s="228">
        <v>42.39</v>
      </c>
      <c r="DF153" s="228">
        <v>42.41</v>
      </c>
      <c r="DG153" s="228">
        <v>-12.69</v>
      </c>
      <c r="DH153" s="228">
        <v>-0.02</v>
      </c>
      <c r="DI153" s="228">
        <v>29.88</v>
      </c>
      <c r="DJ153" s="228">
        <v>32.1</v>
      </c>
      <c r="DK153" s="228">
        <v>-2.2200000000000002</v>
      </c>
      <c r="DL153" s="228">
        <v>-2.2200000000000002</v>
      </c>
      <c r="DM153" s="228">
        <v>29.33</v>
      </c>
      <c r="DN153" s="228">
        <v>31.91</v>
      </c>
      <c r="DO153" s="228">
        <v>-2.58</v>
      </c>
      <c r="DP153" s="228">
        <v>-2.58</v>
      </c>
      <c r="DQ153" s="228">
        <v>0.68</v>
      </c>
      <c r="DR153" s="228">
        <v>0.68</v>
      </c>
      <c r="DS153" s="228">
        <v>0</v>
      </c>
      <c r="DT153" s="229">
        <v>0</v>
      </c>
      <c r="DU153" s="228">
        <v>530</v>
      </c>
      <c r="DV153" s="228">
        <v>480</v>
      </c>
      <c r="DW153" s="228">
        <v>0.51</v>
      </c>
      <c r="DX153" s="228">
        <v>0.98</v>
      </c>
      <c r="DY153" s="228">
        <v>-0.47</v>
      </c>
      <c r="DZ153" s="229">
        <v>-0.47960000000000003</v>
      </c>
      <c r="EA153" s="229">
        <v>0.88290000000000002</v>
      </c>
      <c r="EB153" s="230">
        <v>13496000</v>
      </c>
      <c r="EC153" s="229">
        <v>7.1000000000000004E-3</v>
      </c>
      <c r="ED153" s="229">
        <v>0.88290000000000002</v>
      </c>
      <c r="EE153" s="228">
        <v>3.7</v>
      </c>
      <c r="EF153" s="229">
        <v>7.4999999999999997E-3</v>
      </c>
      <c r="EG153" s="230">
        <v>1259240</v>
      </c>
      <c r="EH153" s="230">
        <v>2028247</v>
      </c>
      <c r="EI153" s="229">
        <v>-0.37909999999999999</v>
      </c>
      <c r="EJ153" s="229">
        <v>0.39710000000000001</v>
      </c>
      <c r="EK153" s="228">
        <v>548.79999999999995</v>
      </c>
      <c r="EL153" s="228">
        <v>266.62</v>
      </c>
      <c r="EM153" s="228">
        <v>347.38</v>
      </c>
      <c r="EN153" s="228">
        <v>61.98</v>
      </c>
      <c r="EO153" s="231">
        <v>1162.8</v>
      </c>
      <c r="EP153" s="231">
        <v>1636.79</v>
      </c>
      <c r="EQ153" s="228">
        <v>-474</v>
      </c>
      <c r="ER153" s="229">
        <v>-0.28960000000000002</v>
      </c>
      <c r="ES153" s="228">
        <v>111.31</v>
      </c>
      <c r="ET153" s="228">
        <v>67.97</v>
      </c>
      <c r="EU153" s="228">
        <v>763.09</v>
      </c>
      <c r="EV153" s="231">
        <v>105756420</v>
      </c>
      <c r="EW153" s="228">
        <v>942.37</v>
      </c>
      <c r="EX153" s="231">
        <v>1618.31</v>
      </c>
      <c r="EY153" s="228">
        <v>-675.94</v>
      </c>
      <c r="EZ153" s="229">
        <v>-0.41770000000000002</v>
      </c>
      <c r="FA153" s="229">
        <v>0.17910000000000001</v>
      </c>
      <c r="FB153" s="227" t="s">
        <v>691</v>
      </c>
      <c r="FC153">
        <f t="shared" si="3"/>
        <v>0</v>
      </c>
    </row>
    <row r="154" spans="1:159" ht="17.25" thickBot="1" x14ac:dyDescent="0.3">
      <c r="A154" s="226">
        <v>46168</v>
      </c>
      <c r="B154" s="227" t="s">
        <v>193</v>
      </c>
      <c r="C154" s="227" t="s">
        <v>269</v>
      </c>
      <c r="D154" s="228">
        <v>2250</v>
      </c>
      <c r="E154" s="228">
        <v>0</v>
      </c>
      <c r="F154" s="228">
        <v>289.85000000000002</v>
      </c>
      <c r="G154" s="228">
        <v>287.2</v>
      </c>
      <c r="H154" s="228">
        <v>2.65</v>
      </c>
      <c r="I154" s="229">
        <v>9.1999999999999998E-3</v>
      </c>
      <c r="J154" s="228">
        <v>287.5</v>
      </c>
      <c r="K154" s="228">
        <v>284.95</v>
      </c>
      <c r="L154" s="228">
        <v>2.5499999999999998</v>
      </c>
      <c r="M154" s="229">
        <v>8.8999999999999999E-3</v>
      </c>
      <c r="N154" s="228">
        <v>288.39999999999998</v>
      </c>
      <c r="O154" s="228">
        <v>285.25</v>
      </c>
      <c r="P154" s="228">
        <v>3.15</v>
      </c>
      <c r="Q154" s="229">
        <v>1.0999999999999999E-2</v>
      </c>
      <c r="R154" s="228">
        <v>289.85000000000002</v>
      </c>
      <c r="S154" s="228">
        <v>287.2</v>
      </c>
      <c r="T154" s="228">
        <v>2.65</v>
      </c>
      <c r="U154" s="229">
        <v>9.1999999999999998E-3</v>
      </c>
      <c r="V154" s="228">
        <v>291.7</v>
      </c>
      <c r="W154" s="228">
        <v>288.85000000000002</v>
      </c>
      <c r="X154" s="228">
        <v>2.85</v>
      </c>
      <c r="Y154" s="229">
        <v>9.9000000000000008E-3</v>
      </c>
      <c r="Z154" s="228">
        <v>2.35</v>
      </c>
      <c r="AA154" s="228">
        <v>0.3</v>
      </c>
      <c r="AB154" s="228">
        <v>2.0499999999999998</v>
      </c>
      <c r="AC154" s="229">
        <v>8.2000000000000007E-3</v>
      </c>
      <c r="AD154" s="228">
        <v>0.9</v>
      </c>
      <c r="AE154" s="228">
        <v>0.3</v>
      </c>
      <c r="AF154" s="228">
        <v>0.6</v>
      </c>
      <c r="AG154" s="229">
        <v>3.0999999999999999E-3</v>
      </c>
      <c r="AH154" s="228">
        <v>2.35</v>
      </c>
      <c r="AI154" s="228">
        <v>2.25</v>
      </c>
      <c r="AJ154" s="228">
        <v>0.1</v>
      </c>
      <c r="AK154" s="229">
        <v>8.2000000000000007E-3</v>
      </c>
      <c r="AL154" s="228">
        <v>4.2</v>
      </c>
      <c r="AM154" s="228">
        <v>3.9</v>
      </c>
      <c r="AN154" s="228">
        <v>0.3</v>
      </c>
      <c r="AO154" s="229">
        <v>1.46E-2</v>
      </c>
      <c r="AP154" s="228">
        <v>287.7</v>
      </c>
      <c r="AQ154" s="228">
        <v>289.58999999999997</v>
      </c>
      <c r="AR154" s="228">
        <v>0</v>
      </c>
      <c r="AS154" s="228">
        <v>761</v>
      </c>
      <c r="AT154" s="230">
        <v>1473</v>
      </c>
      <c r="AU154" s="228">
        <v>-711</v>
      </c>
      <c r="AV154" s="229">
        <v>-0.4829</v>
      </c>
      <c r="AW154" s="228">
        <v>307</v>
      </c>
      <c r="AX154" s="228">
        <v>681</v>
      </c>
      <c r="AY154" s="228">
        <v>-374</v>
      </c>
      <c r="AZ154" s="229">
        <v>-0.54879999999999995</v>
      </c>
      <c r="BA154" s="228">
        <v>450</v>
      </c>
      <c r="BB154" s="228">
        <v>783</v>
      </c>
      <c r="BC154" s="228">
        <v>-333</v>
      </c>
      <c r="BD154" s="229">
        <v>-0.42520000000000002</v>
      </c>
      <c r="BE154" s="228">
        <v>4</v>
      </c>
      <c r="BF154" s="228">
        <v>9</v>
      </c>
      <c r="BG154" s="228">
        <v>-5</v>
      </c>
      <c r="BH154" s="229">
        <v>-0.51090000000000002</v>
      </c>
      <c r="BI154" s="230">
        <v>1902</v>
      </c>
      <c r="BJ154" s="230">
        <v>1935</v>
      </c>
      <c r="BK154" s="228">
        <v>-33</v>
      </c>
      <c r="BL154" s="229">
        <v>-1.7100000000000001E-2</v>
      </c>
      <c r="BM154" s="228">
        <v>985</v>
      </c>
      <c r="BN154" s="230">
        <v>1391</v>
      </c>
      <c r="BO154" s="228">
        <v>-406</v>
      </c>
      <c r="BP154" s="229">
        <v>-0.29160000000000003</v>
      </c>
      <c r="BQ154" s="230">
        <v>3648</v>
      </c>
      <c r="BR154" s="230">
        <v>4798</v>
      </c>
      <c r="BS154" s="230">
        <v>-1150</v>
      </c>
      <c r="BT154" s="229">
        <v>-0.23960000000000001</v>
      </c>
      <c r="BU154" s="230">
        <v>11156866</v>
      </c>
      <c r="BV154" s="230">
        <v>13607767</v>
      </c>
      <c r="BW154" s="230">
        <v>-2450901</v>
      </c>
      <c r="BX154" s="229">
        <v>-0.18010000000000001</v>
      </c>
      <c r="BY154" s="230">
        <v>2737</v>
      </c>
      <c r="BZ154" s="230">
        <v>2909</v>
      </c>
      <c r="CA154" s="228">
        <v>-172</v>
      </c>
      <c r="CB154" s="229">
        <v>-5.91E-2</v>
      </c>
      <c r="CC154" s="228">
        <v>223</v>
      </c>
      <c r="CD154" s="228">
        <v>367</v>
      </c>
      <c r="CE154" s="228">
        <v>-143</v>
      </c>
      <c r="CF154" s="229">
        <v>-0.39040000000000002</v>
      </c>
      <c r="CG154" s="230">
        <v>2573</v>
      </c>
      <c r="CH154" s="230">
        <v>2380</v>
      </c>
      <c r="CI154" s="228">
        <v>193</v>
      </c>
      <c r="CJ154" s="229">
        <v>8.09E-2</v>
      </c>
      <c r="CK154" s="228">
        <v>164</v>
      </c>
      <c r="CL154" s="228">
        <v>162</v>
      </c>
      <c r="CM154" s="228">
        <v>2</v>
      </c>
      <c r="CN154" s="229">
        <v>1.21E-2</v>
      </c>
      <c r="CO154" s="228">
        <v>610</v>
      </c>
      <c r="CP154" s="230">
        <v>2282</v>
      </c>
      <c r="CQ154" s="230">
        <v>-1673</v>
      </c>
      <c r="CR154" s="229">
        <v>-0.7329</v>
      </c>
      <c r="CS154" s="228">
        <v>378</v>
      </c>
      <c r="CT154" s="228">
        <v>741</v>
      </c>
      <c r="CU154" s="228">
        <v>-363</v>
      </c>
      <c r="CV154" s="229">
        <v>-0.48980000000000001</v>
      </c>
      <c r="CW154" s="230">
        <v>3725</v>
      </c>
      <c r="CX154" s="230">
        <v>5932</v>
      </c>
      <c r="CY154" s="230">
        <v>-2208</v>
      </c>
      <c r="CZ154" s="229">
        <v>-0.37219999999999998</v>
      </c>
      <c r="DA154" s="228">
        <v>25.8</v>
      </c>
      <c r="DB154" s="228">
        <v>26.54</v>
      </c>
      <c r="DC154" s="228">
        <v>-0.74</v>
      </c>
      <c r="DD154" s="228">
        <v>-0.74</v>
      </c>
      <c r="DE154" s="228">
        <v>32.06</v>
      </c>
      <c r="DF154" s="228">
        <v>32.119999999999997</v>
      </c>
      <c r="DG154" s="228">
        <v>-6.26</v>
      </c>
      <c r="DH154" s="228">
        <v>-0.06</v>
      </c>
      <c r="DI154" s="228">
        <v>25.81</v>
      </c>
      <c r="DJ154" s="228">
        <v>27.01</v>
      </c>
      <c r="DK154" s="228">
        <v>-1.2</v>
      </c>
      <c r="DL154" s="228">
        <v>-1.2</v>
      </c>
      <c r="DM154" s="228">
        <v>25.78</v>
      </c>
      <c r="DN154" s="228">
        <v>25.72</v>
      </c>
      <c r="DO154" s="228">
        <v>0.06</v>
      </c>
      <c r="DP154" s="228">
        <v>0.06</v>
      </c>
      <c r="DQ154" s="228">
        <v>0.62</v>
      </c>
      <c r="DR154" s="228">
        <v>0.32</v>
      </c>
      <c r="DS154" s="228">
        <v>0.3</v>
      </c>
      <c r="DT154" s="229">
        <v>0.9375</v>
      </c>
      <c r="DU154" s="228">
        <v>305</v>
      </c>
      <c r="DV154" s="228">
        <v>280</v>
      </c>
      <c r="DW154" s="228">
        <v>0.52</v>
      </c>
      <c r="DX154" s="228">
        <v>0.72</v>
      </c>
      <c r="DY154" s="228">
        <v>-0.2</v>
      </c>
      <c r="DZ154" s="229">
        <v>-0.27779999999999999</v>
      </c>
      <c r="EA154" s="229">
        <v>0.92449999999999999</v>
      </c>
      <c r="EB154" s="230">
        <v>87705000</v>
      </c>
      <c r="EC154" s="229">
        <v>5.0000000000000001E-3</v>
      </c>
      <c r="ED154" s="229">
        <v>0.92449999999999999</v>
      </c>
      <c r="EE154" s="228">
        <v>1.89</v>
      </c>
      <c r="EF154" s="229">
        <v>6.6E-3</v>
      </c>
      <c r="EG154" s="230">
        <v>4915104</v>
      </c>
      <c r="EH154" s="230">
        <v>5685536</v>
      </c>
      <c r="EI154" s="229">
        <v>-0.13550000000000001</v>
      </c>
      <c r="EJ154" s="229">
        <v>0.4405</v>
      </c>
      <c r="EK154" s="231">
        <v>1986.06</v>
      </c>
      <c r="EL154" s="228">
        <v>971.49</v>
      </c>
      <c r="EM154" s="228">
        <v>758.81</v>
      </c>
      <c r="EN154" s="228">
        <v>167.14</v>
      </c>
      <c r="EO154" s="231">
        <v>3716.36</v>
      </c>
      <c r="EP154" s="231">
        <v>4820.05</v>
      </c>
      <c r="EQ154" s="231">
        <v>-1103.68</v>
      </c>
      <c r="ER154" s="229">
        <v>-0.22900000000000001</v>
      </c>
      <c r="ES154" s="228">
        <v>639.05999999999995</v>
      </c>
      <c r="ET154" s="228">
        <v>366.96</v>
      </c>
      <c r="EU154" s="231">
        <v>2737.72</v>
      </c>
      <c r="EV154" s="231">
        <v>711370982</v>
      </c>
      <c r="EW154" s="231">
        <v>3743.74</v>
      </c>
      <c r="EX154" s="231">
        <v>6008.62</v>
      </c>
      <c r="EY154" s="231">
        <v>-2264.88</v>
      </c>
      <c r="EZ154" s="229">
        <v>-0.37690000000000001</v>
      </c>
      <c r="FA154" s="229">
        <v>0.18060000000000001</v>
      </c>
      <c r="FB154" s="227" t="s">
        <v>691</v>
      </c>
      <c r="FC154">
        <f t="shared" si="3"/>
        <v>0</v>
      </c>
    </row>
    <row r="155" spans="1:159" ht="17.25" thickBot="1" x14ac:dyDescent="0.3">
      <c r="A155" s="226">
        <v>46168</v>
      </c>
      <c r="B155" s="227" t="s">
        <v>197</v>
      </c>
      <c r="C155" s="227" t="s">
        <v>270</v>
      </c>
      <c r="D155" s="228">
        <v>15</v>
      </c>
      <c r="E155" s="228">
        <v>0</v>
      </c>
      <c r="F155" s="231">
        <v>38375</v>
      </c>
      <c r="G155" s="231">
        <v>38560</v>
      </c>
      <c r="H155" s="228">
        <v>-185</v>
      </c>
      <c r="I155" s="229">
        <v>-4.7999999999999996E-3</v>
      </c>
      <c r="J155" s="231">
        <v>38305</v>
      </c>
      <c r="K155" s="231">
        <v>38545</v>
      </c>
      <c r="L155" s="228">
        <v>-240</v>
      </c>
      <c r="M155" s="229">
        <v>-6.1999999999999998E-3</v>
      </c>
      <c r="N155" s="231">
        <v>38315</v>
      </c>
      <c r="O155" s="231">
        <v>38545</v>
      </c>
      <c r="P155" s="228">
        <v>-230</v>
      </c>
      <c r="Q155" s="229">
        <v>-6.0000000000000001E-3</v>
      </c>
      <c r="R155" s="231">
        <v>38375</v>
      </c>
      <c r="S155" s="231">
        <v>38560</v>
      </c>
      <c r="T155" s="228">
        <v>-185</v>
      </c>
      <c r="U155" s="229">
        <v>-4.7999999999999996E-3</v>
      </c>
      <c r="V155" s="231">
        <v>38200</v>
      </c>
      <c r="W155" s="231">
        <v>38650</v>
      </c>
      <c r="X155" s="228">
        <v>-450</v>
      </c>
      <c r="Y155" s="229">
        <v>-1.1599999999999999E-2</v>
      </c>
      <c r="Z155" s="228">
        <v>70</v>
      </c>
      <c r="AA155" s="228">
        <v>0</v>
      </c>
      <c r="AB155" s="228">
        <v>70</v>
      </c>
      <c r="AC155" s="229">
        <v>1.8E-3</v>
      </c>
      <c r="AD155" s="228">
        <v>10</v>
      </c>
      <c r="AE155" s="228">
        <v>0</v>
      </c>
      <c r="AF155" s="228">
        <v>10</v>
      </c>
      <c r="AG155" s="229">
        <v>2.9999999999999997E-4</v>
      </c>
      <c r="AH155" s="228">
        <v>70</v>
      </c>
      <c r="AI155" s="228">
        <v>15</v>
      </c>
      <c r="AJ155" s="228">
        <v>55</v>
      </c>
      <c r="AK155" s="229">
        <v>1.8E-3</v>
      </c>
      <c r="AL155" s="228">
        <v>-105</v>
      </c>
      <c r="AM155" s="228">
        <v>105</v>
      </c>
      <c r="AN155" s="228">
        <v>-210</v>
      </c>
      <c r="AO155" s="229">
        <v>-2.7000000000000001E-3</v>
      </c>
      <c r="AP155" s="231">
        <v>38325.74</v>
      </c>
      <c r="AQ155" s="231">
        <v>38400.07</v>
      </c>
      <c r="AR155" s="228">
        <v>0</v>
      </c>
      <c r="AS155" s="228">
        <v>206</v>
      </c>
      <c r="AT155" s="228">
        <v>828</v>
      </c>
      <c r="AU155" s="228">
        <v>-622</v>
      </c>
      <c r="AV155" s="229">
        <v>-0.751</v>
      </c>
      <c r="AW155" s="228">
        <v>100</v>
      </c>
      <c r="AX155" s="228">
        <v>389</v>
      </c>
      <c r="AY155" s="228">
        <v>-289</v>
      </c>
      <c r="AZ155" s="229">
        <v>-0.74250000000000005</v>
      </c>
      <c r="BA155" s="228">
        <v>105</v>
      </c>
      <c r="BB155" s="228">
        <v>438</v>
      </c>
      <c r="BC155" s="228">
        <v>-333</v>
      </c>
      <c r="BD155" s="229">
        <v>-0.7601</v>
      </c>
      <c r="BE155" s="228">
        <v>1</v>
      </c>
      <c r="BF155" s="228">
        <v>2</v>
      </c>
      <c r="BG155" s="228">
        <v>-1</v>
      </c>
      <c r="BH155" s="229">
        <v>-0.36670000000000003</v>
      </c>
      <c r="BI155" s="228">
        <v>690</v>
      </c>
      <c r="BJ155" s="230">
        <v>2288</v>
      </c>
      <c r="BK155" s="230">
        <v>-1598</v>
      </c>
      <c r="BL155" s="229">
        <v>-0.69830000000000003</v>
      </c>
      <c r="BM155" s="228">
        <v>324</v>
      </c>
      <c r="BN155" s="230">
        <v>1796</v>
      </c>
      <c r="BO155" s="230">
        <v>-1472</v>
      </c>
      <c r="BP155" s="229">
        <v>-0.81979999999999997</v>
      </c>
      <c r="BQ155" s="230">
        <v>1220</v>
      </c>
      <c r="BR155" s="230">
        <v>4912</v>
      </c>
      <c r="BS155" s="230">
        <v>-3692</v>
      </c>
      <c r="BT155" s="229">
        <v>-0.75160000000000005</v>
      </c>
      <c r="BU155" s="230">
        <v>13516</v>
      </c>
      <c r="BV155" s="230">
        <v>34022</v>
      </c>
      <c r="BW155" s="230">
        <v>-20506</v>
      </c>
      <c r="BX155" s="229">
        <v>-0.60270000000000001</v>
      </c>
      <c r="BY155" s="230">
        <v>1070</v>
      </c>
      <c r="BZ155" s="230">
        <v>1144</v>
      </c>
      <c r="CA155" s="228">
        <v>-74</v>
      </c>
      <c r="CB155" s="229">
        <v>-6.4699999999999994E-2</v>
      </c>
      <c r="CC155" s="228">
        <v>69</v>
      </c>
      <c r="CD155" s="228">
        <v>103</v>
      </c>
      <c r="CE155" s="228">
        <v>-34</v>
      </c>
      <c r="CF155" s="229">
        <v>-0.32719999999999999</v>
      </c>
      <c r="CG155" s="230">
        <v>1064</v>
      </c>
      <c r="CH155" s="230">
        <v>1036</v>
      </c>
      <c r="CI155" s="228">
        <v>28</v>
      </c>
      <c r="CJ155" s="229">
        <v>2.7199999999999998E-2</v>
      </c>
      <c r="CK155" s="228">
        <v>6</v>
      </c>
      <c r="CL155" s="228">
        <v>5</v>
      </c>
      <c r="CM155" s="228">
        <v>1</v>
      </c>
      <c r="CN155" s="229">
        <v>0.14080000000000001</v>
      </c>
      <c r="CO155" s="228">
        <v>172</v>
      </c>
      <c r="CP155" s="228">
        <v>591</v>
      </c>
      <c r="CQ155" s="228">
        <v>-419</v>
      </c>
      <c r="CR155" s="229">
        <v>-0.70889999999999997</v>
      </c>
      <c r="CS155" s="228">
        <v>66</v>
      </c>
      <c r="CT155" s="228">
        <v>248</v>
      </c>
      <c r="CU155" s="228">
        <v>-182</v>
      </c>
      <c r="CV155" s="229">
        <v>-0.7329</v>
      </c>
      <c r="CW155" s="230">
        <v>1309</v>
      </c>
      <c r="CX155" s="230">
        <v>1983</v>
      </c>
      <c r="CY155" s="228">
        <v>-675</v>
      </c>
      <c r="CZ155" s="229">
        <v>-0.3402</v>
      </c>
      <c r="DA155" s="228">
        <v>28.17</v>
      </c>
      <c r="DB155" s="228">
        <v>28.98</v>
      </c>
      <c r="DC155" s="228">
        <v>-0.81</v>
      </c>
      <c r="DD155" s="228">
        <v>-0.81</v>
      </c>
      <c r="DE155" s="228">
        <v>29.16</v>
      </c>
      <c r="DF155" s="228">
        <v>29.23</v>
      </c>
      <c r="DG155" s="228">
        <v>-0.99</v>
      </c>
      <c r="DH155" s="228">
        <v>-7.0000000000000007E-2</v>
      </c>
      <c r="DI155" s="228">
        <v>28.03</v>
      </c>
      <c r="DJ155" s="228">
        <v>28.86</v>
      </c>
      <c r="DK155" s="228">
        <v>-0.83</v>
      </c>
      <c r="DL155" s="228">
        <v>-0.83</v>
      </c>
      <c r="DM155" s="228">
        <v>28.42</v>
      </c>
      <c r="DN155" s="228">
        <v>29.33</v>
      </c>
      <c r="DO155" s="228">
        <v>-0.91</v>
      </c>
      <c r="DP155" s="228">
        <v>-0.91</v>
      </c>
      <c r="DQ155" s="228">
        <v>0.38</v>
      </c>
      <c r="DR155" s="228">
        <v>0.42</v>
      </c>
      <c r="DS155" s="228">
        <v>-0.04</v>
      </c>
      <c r="DT155" s="229">
        <v>-9.5200000000000007E-2</v>
      </c>
      <c r="DU155" s="231">
        <v>40000</v>
      </c>
      <c r="DV155" s="231">
        <v>37000</v>
      </c>
      <c r="DW155" s="228">
        <v>0.47</v>
      </c>
      <c r="DX155" s="228">
        <v>0.79</v>
      </c>
      <c r="DY155" s="228">
        <v>-0.32</v>
      </c>
      <c r="DZ155" s="229">
        <v>-0.40510000000000002</v>
      </c>
      <c r="EA155" s="229">
        <v>0.93920000000000003</v>
      </c>
      <c r="EB155" s="230">
        <v>271360</v>
      </c>
      <c r="EC155" s="229">
        <v>1.6000000000000001E-3</v>
      </c>
      <c r="ED155" s="229">
        <v>0.93920000000000003</v>
      </c>
      <c r="EE155" s="228">
        <v>74.33</v>
      </c>
      <c r="EF155" s="229">
        <v>1.9E-3</v>
      </c>
      <c r="EG155" s="230">
        <v>4446</v>
      </c>
      <c r="EH155" s="230">
        <v>13254</v>
      </c>
      <c r="EI155" s="229">
        <v>-0.66459999999999997</v>
      </c>
      <c r="EJ155" s="229">
        <v>0.32890000000000003</v>
      </c>
      <c r="EK155" s="228">
        <v>726.14</v>
      </c>
      <c r="EL155" s="228">
        <v>313.83</v>
      </c>
      <c r="EM155" s="228">
        <v>206.55</v>
      </c>
      <c r="EN155" s="228">
        <v>154.21</v>
      </c>
      <c r="EO155" s="231">
        <v>1246.52</v>
      </c>
      <c r="EP155" s="231">
        <v>4996.82</v>
      </c>
      <c r="EQ155" s="231">
        <v>-3750.31</v>
      </c>
      <c r="ER155" s="229">
        <v>-0.75049999999999994</v>
      </c>
      <c r="ES155" s="228">
        <v>182.05</v>
      </c>
      <c r="ET155" s="228">
        <v>63.1</v>
      </c>
      <c r="EU155" s="231">
        <v>1070.23</v>
      </c>
      <c r="EV155" s="231">
        <v>955549</v>
      </c>
      <c r="EW155" s="231">
        <v>1315.39</v>
      </c>
      <c r="EX155" s="231">
        <v>2008.24</v>
      </c>
      <c r="EY155" s="228">
        <v>-692.85</v>
      </c>
      <c r="EZ155" s="229">
        <v>-0.34499999999999997</v>
      </c>
      <c r="FA155" s="229">
        <v>0.35680000000000001</v>
      </c>
      <c r="FB155" s="227" t="s">
        <v>567</v>
      </c>
      <c r="FC155">
        <f t="shared" si="3"/>
        <v>0</v>
      </c>
    </row>
    <row r="156" spans="1:159" ht="17.25" thickBot="1" x14ac:dyDescent="0.3">
      <c r="A156" s="226">
        <v>46168</v>
      </c>
      <c r="B156" s="227" t="s">
        <v>168</v>
      </c>
      <c r="C156" s="227" t="s">
        <v>663</v>
      </c>
      <c r="D156" s="228">
        <v>900</v>
      </c>
      <c r="E156" s="228">
        <v>0</v>
      </c>
      <c r="F156" s="228">
        <v>467.35</v>
      </c>
      <c r="G156" s="228">
        <v>471.15</v>
      </c>
      <c r="H156" s="228">
        <v>-3.8</v>
      </c>
      <c r="I156" s="229">
        <v>-8.0999999999999996E-3</v>
      </c>
      <c r="J156" s="228">
        <v>465.75</v>
      </c>
      <c r="K156" s="228">
        <v>468.45</v>
      </c>
      <c r="L156" s="228">
        <v>-2.7</v>
      </c>
      <c r="M156" s="229">
        <v>-5.7999999999999996E-3</v>
      </c>
      <c r="N156" s="228">
        <v>464.3</v>
      </c>
      <c r="O156" s="228">
        <v>468.25</v>
      </c>
      <c r="P156" s="228">
        <v>-3.95</v>
      </c>
      <c r="Q156" s="229">
        <v>-8.3999999999999995E-3</v>
      </c>
      <c r="R156" s="228">
        <v>467.35</v>
      </c>
      <c r="S156" s="228">
        <v>471.15</v>
      </c>
      <c r="T156" s="228">
        <v>-3.8</v>
      </c>
      <c r="U156" s="229">
        <v>-8.0999999999999996E-3</v>
      </c>
      <c r="V156" s="228">
        <v>470.55</v>
      </c>
      <c r="W156" s="228">
        <v>472.5</v>
      </c>
      <c r="X156" s="228">
        <v>-1.95</v>
      </c>
      <c r="Y156" s="229">
        <v>-4.1000000000000003E-3</v>
      </c>
      <c r="Z156" s="228">
        <v>1.6</v>
      </c>
      <c r="AA156" s="228">
        <v>-0.2</v>
      </c>
      <c r="AB156" s="228">
        <v>1.8</v>
      </c>
      <c r="AC156" s="229">
        <v>3.3999999999999998E-3</v>
      </c>
      <c r="AD156" s="228">
        <v>-1.45</v>
      </c>
      <c r="AE156" s="228">
        <v>-0.2</v>
      </c>
      <c r="AF156" s="228">
        <v>-1.25</v>
      </c>
      <c r="AG156" s="229">
        <v>-3.0999999999999999E-3</v>
      </c>
      <c r="AH156" s="228">
        <v>1.6</v>
      </c>
      <c r="AI156" s="228">
        <v>2.7</v>
      </c>
      <c r="AJ156" s="228">
        <v>-1.1000000000000001</v>
      </c>
      <c r="AK156" s="229">
        <v>3.3999999999999998E-3</v>
      </c>
      <c r="AL156" s="228">
        <v>4.8</v>
      </c>
      <c r="AM156" s="228">
        <v>4.05</v>
      </c>
      <c r="AN156" s="228">
        <v>0.75</v>
      </c>
      <c r="AO156" s="229">
        <v>1.03E-2</v>
      </c>
      <c r="AP156" s="228">
        <v>465.28</v>
      </c>
      <c r="AQ156" s="228">
        <v>468.31</v>
      </c>
      <c r="AR156" s="228">
        <v>0</v>
      </c>
      <c r="AS156" s="228">
        <v>627</v>
      </c>
      <c r="AT156" s="230">
        <v>1081</v>
      </c>
      <c r="AU156" s="228">
        <v>-453</v>
      </c>
      <c r="AV156" s="229">
        <v>-0.4194</v>
      </c>
      <c r="AW156" s="228">
        <v>280</v>
      </c>
      <c r="AX156" s="228">
        <v>535</v>
      </c>
      <c r="AY156" s="228">
        <v>-254</v>
      </c>
      <c r="AZ156" s="229">
        <v>-0.47560000000000002</v>
      </c>
      <c r="BA156" s="228">
        <v>346</v>
      </c>
      <c r="BB156" s="228">
        <v>545</v>
      </c>
      <c r="BC156" s="228">
        <v>-199</v>
      </c>
      <c r="BD156" s="229">
        <v>-0.36570000000000003</v>
      </c>
      <c r="BE156" s="228">
        <v>1</v>
      </c>
      <c r="BF156" s="228">
        <v>1</v>
      </c>
      <c r="BG156" s="228">
        <v>0</v>
      </c>
      <c r="BH156" s="229">
        <v>0.29630000000000001</v>
      </c>
      <c r="BI156" s="228">
        <v>132</v>
      </c>
      <c r="BJ156" s="228">
        <v>294</v>
      </c>
      <c r="BK156" s="228">
        <v>-161</v>
      </c>
      <c r="BL156" s="229">
        <v>-0.54930000000000001</v>
      </c>
      <c r="BM156" s="228">
        <v>79</v>
      </c>
      <c r="BN156" s="228">
        <v>203</v>
      </c>
      <c r="BO156" s="228">
        <v>-123</v>
      </c>
      <c r="BP156" s="229">
        <v>-0.60809999999999997</v>
      </c>
      <c r="BQ156" s="228">
        <v>839</v>
      </c>
      <c r="BR156" s="230">
        <v>1577</v>
      </c>
      <c r="BS156" s="228">
        <v>-738</v>
      </c>
      <c r="BT156" s="229">
        <v>-0.46779999999999999</v>
      </c>
      <c r="BU156" s="230">
        <v>1824975</v>
      </c>
      <c r="BV156" s="230">
        <v>2185053</v>
      </c>
      <c r="BW156" s="230">
        <v>-360078</v>
      </c>
      <c r="BX156" s="229">
        <v>-0.1648</v>
      </c>
      <c r="BY156" s="230">
        <v>1512</v>
      </c>
      <c r="BZ156" s="230">
        <v>1554</v>
      </c>
      <c r="CA156" s="228">
        <v>-42</v>
      </c>
      <c r="CB156" s="229">
        <v>-2.7E-2</v>
      </c>
      <c r="CC156" s="228">
        <v>24</v>
      </c>
      <c r="CD156" s="228">
        <v>223</v>
      </c>
      <c r="CE156" s="228">
        <v>-199</v>
      </c>
      <c r="CF156" s="229">
        <v>-0.89100000000000001</v>
      </c>
      <c r="CG156" s="230">
        <v>1507</v>
      </c>
      <c r="CH156" s="230">
        <v>1327</v>
      </c>
      <c r="CI156" s="228">
        <v>180</v>
      </c>
      <c r="CJ156" s="229">
        <v>0.13600000000000001</v>
      </c>
      <c r="CK156" s="228">
        <v>4</v>
      </c>
      <c r="CL156" s="228">
        <v>3</v>
      </c>
      <c r="CM156" s="228">
        <v>1</v>
      </c>
      <c r="CN156" s="229">
        <v>0.3538</v>
      </c>
      <c r="CO156" s="228">
        <v>102</v>
      </c>
      <c r="CP156" s="228">
        <v>250</v>
      </c>
      <c r="CQ156" s="228">
        <v>-148</v>
      </c>
      <c r="CR156" s="229">
        <v>-0.59040000000000004</v>
      </c>
      <c r="CS156" s="228">
        <v>96</v>
      </c>
      <c r="CT156" s="228">
        <v>200</v>
      </c>
      <c r="CU156" s="228">
        <v>-104</v>
      </c>
      <c r="CV156" s="229">
        <v>-0.51890000000000003</v>
      </c>
      <c r="CW156" s="230">
        <v>1710</v>
      </c>
      <c r="CX156" s="230">
        <v>2003</v>
      </c>
      <c r="CY156" s="228">
        <v>-293</v>
      </c>
      <c r="CZ156" s="229">
        <v>-0.14630000000000001</v>
      </c>
      <c r="DA156" s="228">
        <v>29.08</v>
      </c>
      <c r="DB156" s="228">
        <v>28.39</v>
      </c>
      <c r="DC156" s="228">
        <v>0.69</v>
      </c>
      <c r="DD156" s="228">
        <v>0.69</v>
      </c>
      <c r="DE156" s="228">
        <v>31.53</v>
      </c>
      <c r="DF156" s="228">
        <v>31.59</v>
      </c>
      <c r="DG156" s="228">
        <v>-2.4500000000000002</v>
      </c>
      <c r="DH156" s="228">
        <v>-0.06</v>
      </c>
      <c r="DI156" s="228">
        <v>29.44</v>
      </c>
      <c r="DJ156" s="228">
        <v>29.07</v>
      </c>
      <c r="DK156" s="228">
        <v>0.37</v>
      </c>
      <c r="DL156" s="228">
        <v>0.37</v>
      </c>
      <c r="DM156" s="228">
        <v>28.14</v>
      </c>
      <c r="DN156" s="228">
        <v>27.64</v>
      </c>
      <c r="DO156" s="228">
        <v>0.5</v>
      </c>
      <c r="DP156" s="228">
        <v>0.5</v>
      </c>
      <c r="DQ156" s="228">
        <v>0.94</v>
      </c>
      <c r="DR156" s="228">
        <v>0.8</v>
      </c>
      <c r="DS156" s="228">
        <v>0.14000000000000001</v>
      </c>
      <c r="DT156" s="229">
        <v>0.17499999999999999</v>
      </c>
      <c r="DU156" s="228">
        <v>500</v>
      </c>
      <c r="DV156" s="228">
        <v>510</v>
      </c>
      <c r="DW156" s="228">
        <v>0.6</v>
      </c>
      <c r="DX156" s="228">
        <v>0.69</v>
      </c>
      <c r="DY156" s="228">
        <v>-0.09</v>
      </c>
      <c r="DZ156" s="229">
        <v>-0.13039999999999999</v>
      </c>
      <c r="EA156" s="229">
        <v>0.98409999999999997</v>
      </c>
      <c r="EB156" s="230">
        <v>28459475</v>
      </c>
      <c r="EC156" s="229">
        <v>6.6E-3</v>
      </c>
      <c r="ED156" s="229">
        <v>0.98409999999999997</v>
      </c>
      <c r="EE156" s="228">
        <v>3.03</v>
      </c>
      <c r="EF156" s="229">
        <v>6.4999999999999997E-3</v>
      </c>
      <c r="EG156" s="230">
        <v>705054</v>
      </c>
      <c r="EH156" s="230">
        <v>660490</v>
      </c>
      <c r="EI156" s="229">
        <v>6.7500000000000004E-2</v>
      </c>
      <c r="EJ156" s="229">
        <v>0.38629999999999998</v>
      </c>
      <c r="EK156" s="228">
        <v>137.12</v>
      </c>
      <c r="EL156" s="228">
        <v>80.22</v>
      </c>
      <c r="EM156" s="228">
        <v>627.24</v>
      </c>
      <c r="EN156" s="228">
        <v>183.67</v>
      </c>
      <c r="EO156" s="228">
        <v>844.58</v>
      </c>
      <c r="EP156" s="231">
        <v>1616.22</v>
      </c>
      <c r="EQ156" s="228">
        <v>-771.64</v>
      </c>
      <c r="ER156" s="229">
        <v>-0.47739999999999999</v>
      </c>
      <c r="ES156" s="228">
        <v>108.13</v>
      </c>
      <c r="ET156" s="228">
        <v>99.6</v>
      </c>
      <c r="EU156" s="231">
        <v>1511.64</v>
      </c>
      <c r="EV156" s="231">
        <v>51786533</v>
      </c>
      <c r="EW156" s="231">
        <v>1719.36</v>
      </c>
      <c r="EX156" s="231">
        <v>2025.58</v>
      </c>
      <c r="EY156" s="228">
        <v>-306.22000000000003</v>
      </c>
      <c r="EZ156" s="229">
        <v>-0.1512</v>
      </c>
      <c r="FA156" s="229">
        <v>0.70650000000000002</v>
      </c>
      <c r="FB156" s="227" t="s">
        <v>567</v>
      </c>
      <c r="FC156">
        <f t="shared" si="3"/>
        <v>0</v>
      </c>
    </row>
    <row r="157" spans="1:159" ht="17.25" thickBot="1" x14ac:dyDescent="0.3">
      <c r="A157" s="226">
        <v>46168</v>
      </c>
      <c r="B157" s="227" t="s">
        <v>614</v>
      </c>
      <c r="C157" s="227" t="s">
        <v>574</v>
      </c>
      <c r="D157" s="228">
        <v>725</v>
      </c>
      <c r="E157" s="228">
        <v>0</v>
      </c>
      <c r="F157" s="231">
        <v>1141.3</v>
      </c>
      <c r="G157" s="231">
        <v>1106.5</v>
      </c>
      <c r="H157" s="228">
        <v>34.799999999999997</v>
      </c>
      <c r="I157" s="229">
        <v>3.15E-2</v>
      </c>
      <c r="J157" s="231">
        <v>1131.5999999999999</v>
      </c>
      <c r="K157" s="231">
        <v>1097.4000000000001</v>
      </c>
      <c r="L157" s="228">
        <v>34.200000000000003</v>
      </c>
      <c r="M157" s="229">
        <v>3.1199999999999999E-2</v>
      </c>
      <c r="N157" s="231">
        <v>1132.4000000000001</v>
      </c>
      <c r="O157" s="231">
        <v>1097.4000000000001</v>
      </c>
      <c r="P157" s="228">
        <v>35</v>
      </c>
      <c r="Q157" s="229">
        <v>3.1899999999999998E-2</v>
      </c>
      <c r="R157" s="231">
        <v>1141.3</v>
      </c>
      <c r="S157" s="231">
        <v>1106.5</v>
      </c>
      <c r="T157" s="228">
        <v>34.799999999999997</v>
      </c>
      <c r="U157" s="229">
        <v>3.15E-2</v>
      </c>
      <c r="V157" s="231">
        <v>1145.9000000000001</v>
      </c>
      <c r="W157" s="231">
        <v>1116.4000000000001</v>
      </c>
      <c r="X157" s="228">
        <v>29.5</v>
      </c>
      <c r="Y157" s="229">
        <v>2.64E-2</v>
      </c>
      <c r="Z157" s="228">
        <v>9.6999999999999993</v>
      </c>
      <c r="AA157" s="228">
        <v>0</v>
      </c>
      <c r="AB157" s="228">
        <v>9.6999999999999993</v>
      </c>
      <c r="AC157" s="229">
        <v>8.6E-3</v>
      </c>
      <c r="AD157" s="228">
        <v>0.8</v>
      </c>
      <c r="AE157" s="228">
        <v>0</v>
      </c>
      <c r="AF157" s="228">
        <v>0.8</v>
      </c>
      <c r="AG157" s="229">
        <v>6.9999999999999999E-4</v>
      </c>
      <c r="AH157" s="228">
        <v>9.6999999999999993</v>
      </c>
      <c r="AI157" s="228">
        <v>9.1</v>
      </c>
      <c r="AJ157" s="228">
        <v>0.6</v>
      </c>
      <c r="AK157" s="229">
        <v>8.6E-3</v>
      </c>
      <c r="AL157" s="228">
        <v>14.3</v>
      </c>
      <c r="AM157" s="228">
        <v>19</v>
      </c>
      <c r="AN157" s="228">
        <v>-4.7</v>
      </c>
      <c r="AO157" s="229">
        <v>1.26E-2</v>
      </c>
      <c r="AP157" s="231">
        <v>1118.55</v>
      </c>
      <c r="AQ157" s="231">
        <v>1128.82</v>
      </c>
      <c r="AR157" s="228">
        <v>0</v>
      </c>
      <c r="AS157" s="230">
        <v>1318</v>
      </c>
      <c r="AT157" s="230">
        <v>1395</v>
      </c>
      <c r="AU157" s="228">
        <v>-78</v>
      </c>
      <c r="AV157" s="229">
        <v>-5.5599999999999997E-2</v>
      </c>
      <c r="AW157" s="228">
        <v>451</v>
      </c>
      <c r="AX157" s="228">
        <v>687</v>
      </c>
      <c r="AY157" s="228">
        <v>-237</v>
      </c>
      <c r="AZ157" s="229">
        <v>-0.34429999999999999</v>
      </c>
      <c r="BA157" s="228">
        <v>861</v>
      </c>
      <c r="BB157" s="228">
        <v>704</v>
      </c>
      <c r="BC157" s="228">
        <v>157</v>
      </c>
      <c r="BD157" s="229">
        <v>0.22320000000000001</v>
      </c>
      <c r="BE157" s="228">
        <v>6</v>
      </c>
      <c r="BF157" s="228">
        <v>4</v>
      </c>
      <c r="BG157" s="228">
        <v>2</v>
      </c>
      <c r="BH157" s="229">
        <v>0.4259</v>
      </c>
      <c r="BI157" s="230">
        <v>1849</v>
      </c>
      <c r="BJ157" s="230">
        <v>1437</v>
      </c>
      <c r="BK157" s="228">
        <v>412</v>
      </c>
      <c r="BL157" s="229">
        <v>0.28699999999999998</v>
      </c>
      <c r="BM157" s="228">
        <v>916</v>
      </c>
      <c r="BN157" s="230">
        <v>1172</v>
      </c>
      <c r="BO157" s="228">
        <v>-256</v>
      </c>
      <c r="BP157" s="229">
        <v>-0.21829999999999999</v>
      </c>
      <c r="BQ157" s="230">
        <v>4083</v>
      </c>
      <c r="BR157" s="230">
        <v>4004</v>
      </c>
      <c r="BS157" s="228">
        <v>79</v>
      </c>
      <c r="BT157" s="229">
        <v>1.9699999999999999E-2</v>
      </c>
      <c r="BU157" s="230">
        <v>3672732</v>
      </c>
      <c r="BV157" s="230">
        <v>1922788</v>
      </c>
      <c r="BW157" s="230">
        <v>1749944</v>
      </c>
      <c r="BX157" s="229">
        <v>0.91010000000000002</v>
      </c>
      <c r="BY157" s="230">
        <v>1957</v>
      </c>
      <c r="BZ157" s="230">
        <v>1894</v>
      </c>
      <c r="CA157" s="228">
        <v>63</v>
      </c>
      <c r="CB157" s="229">
        <v>3.3300000000000003E-2</v>
      </c>
      <c r="CC157" s="228">
        <v>334</v>
      </c>
      <c r="CD157" s="228">
        <v>352</v>
      </c>
      <c r="CE157" s="228">
        <v>-17</v>
      </c>
      <c r="CF157" s="229">
        <v>-4.9599999999999998E-2</v>
      </c>
      <c r="CG157" s="230">
        <v>1815</v>
      </c>
      <c r="CH157" s="230">
        <v>1401</v>
      </c>
      <c r="CI157" s="228">
        <v>414</v>
      </c>
      <c r="CJ157" s="229">
        <v>0.29580000000000001</v>
      </c>
      <c r="CK157" s="228">
        <v>142</v>
      </c>
      <c r="CL157" s="228">
        <v>141</v>
      </c>
      <c r="CM157" s="228">
        <v>0</v>
      </c>
      <c r="CN157" s="229">
        <v>3.5000000000000001E-3</v>
      </c>
      <c r="CO157" s="228">
        <v>345</v>
      </c>
      <c r="CP157" s="230">
        <v>1037</v>
      </c>
      <c r="CQ157" s="228">
        <v>-691</v>
      </c>
      <c r="CR157" s="229">
        <v>-0.66700000000000004</v>
      </c>
      <c r="CS157" s="228">
        <v>224</v>
      </c>
      <c r="CT157" s="228">
        <v>753</v>
      </c>
      <c r="CU157" s="228">
        <v>-529</v>
      </c>
      <c r="CV157" s="229">
        <v>-0.70230000000000004</v>
      </c>
      <c r="CW157" s="230">
        <v>2526</v>
      </c>
      <c r="CX157" s="230">
        <v>3683</v>
      </c>
      <c r="CY157" s="230">
        <v>-1157</v>
      </c>
      <c r="CZ157" s="229">
        <v>-0.31409999999999999</v>
      </c>
      <c r="DA157" s="228">
        <v>32.65</v>
      </c>
      <c r="DB157" s="228">
        <v>34.42</v>
      </c>
      <c r="DC157" s="228">
        <v>-1.77</v>
      </c>
      <c r="DD157" s="228">
        <v>-1.77</v>
      </c>
      <c r="DE157" s="228">
        <v>51.91</v>
      </c>
      <c r="DF157" s="228">
        <v>51.88</v>
      </c>
      <c r="DG157" s="228">
        <v>-19.260000000000002</v>
      </c>
      <c r="DH157" s="228">
        <v>0.03</v>
      </c>
      <c r="DI157" s="228">
        <v>32.26</v>
      </c>
      <c r="DJ157" s="228">
        <v>34.75</v>
      </c>
      <c r="DK157" s="228">
        <v>-2.4900000000000002</v>
      </c>
      <c r="DL157" s="228">
        <v>-2.4900000000000002</v>
      </c>
      <c r="DM157" s="228">
        <v>33.43</v>
      </c>
      <c r="DN157" s="228">
        <v>33.950000000000003</v>
      </c>
      <c r="DO157" s="228">
        <v>-0.52</v>
      </c>
      <c r="DP157" s="228">
        <v>-0.52</v>
      </c>
      <c r="DQ157" s="228">
        <v>0.65</v>
      </c>
      <c r="DR157" s="228">
        <v>0.73</v>
      </c>
      <c r="DS157" s="228">
        <v>-0.08</v>
      </c>
      <c r="DT157" s="229">
        <v>-0.1096</v>
      </c>
      <c r="DU157" s="231">
        <v>1200</v>
      </c>
      <c r="DV157" s="231">
        <v>1100</v>
      </c>
      <c r="DW157" s="228">
        <v>0.5</v>
      </c>
      <c r="DX157" s="228">
        <v>0.82</v>
      </c>
      <c r="DY157" s="228">
        <v>-0.32</v>
      </c>
      <c r="DZ157" s="229">
        <v>-0.39019999999999999</v>
      </c>
      <c r="EA157" s="229">
        <v>0.85409999999999997</v>
      </c>
      <c r="EB157" s="230">
        <v>13510375</v>
      </c>
      <c r="EC157" s="229">
        <v>7.9000000000000008E-3</v>
      </c>
      <c r="ED157" s="229">
        <v>0.85409999999999997</v>
      </c>
      <c r="EE157" s="228">
        <v>10.27</v>
      </c>
      <c r="EF157" s="229">
        <v>9.1999999999999998E-3</v>
      </c>
      <c r="EG157" s="230">
        <v>1871844</v>
      </c>
      <c r="EH157" s="230">
        <v>802037</v>
      </c>
      <c r="EI157" s="229">
        <v>1.3339000000000001</v>
      </c>
      <c r="EJ157" s="229">
        <v>0.50970000000000004</v>
      </c>
      <c r="EK157" s="231">
        <v>1890</v>
      </c>
      <c r="EL157" s="228">
        <v>898.89</v>
      </c>
      <c r="EM157" s="231">
        <v>1299.27</v>
      </c>
      <c r="EN157" s="228">
        <v>110.77</v>
      </c>
      <c r="EO157" s="231">
        <v>4088.16</v>
      </c>
      <c r="EP157" s="231">
        <v>3938.48</v>
      </c>
      <c r="EQ157" s="228">
        <v>149.68</v>
      </c>
      <c r="ER157" s="229">
        <v>3.7999999999999999E-2</v>
      </c>
      <c r="ES157" s="228">
        <v>353.36</v>
      </c>
      <c r="ET157" s="228">
        <v>216.3</v>
      </c>
      <c r="EU157" s="231">
        <v>1957.31</v>
      </c>
      <c r="EV157" s="231">
        <v>95930888</v>
      </c>
      <c r="EW157" s="231">
        <v>2526.9699999999998</v>
      </c>
      <c r="EX157" s="231">
        <v>3618.19</v>
      </c>
      <c r="EY157" s="231">
        <v>-1091.22</v>
      </c>
      <c r="EZ157" s="229">
        <v>-0.30159999999999998</v>
      </c>
      <c r="FA157" s="229">
        <v>0.23069999999999999</v>
      </c>
      <c r="FB157" s="227" t="s">
        <v>555</v>
      </c>
      <c r="FC157">
        <f t="shared" si="3"/>
        <v>0</v>
      </c>
    </row>
    <row r="158" spans="1:159" ht="17.25" thickBot="1" x14ac:dyDescent="0.3">
      <c r="A158" s="226">
        <v>46168</v>
      </c>
      <c r="B158" s="227" t="s">
        <v>221</v>
      </c>
      <c r="C158" s="227" t="s">
        <v>529</v>
      </c>
      <c r="D158" s="228">
        <v>100</v>
      </c>
      <c r="E158" s="228">
        <v>0</v>
      </c>
      <c r="F158" s="231">
        <v>5111.8</v>
      </c>
      <c r="G158" s="231">
        <v>5009.1000000000004</v>
      </c>
      <c r="H158" s="228">
        <v>102.7</v>
      </c>
      <c r="I158" s="229">
        <v>2.0500000000000001E-2</v>
      </c>
      <c r="J158" s="231">
        <v>5105.8</v>
      </c>
      <c r="K158" s="231">
        <v>5038</v>
      </c>
      <c r="L158" s="228">
        <v>67.8</v>
      </c>
      <c r="M158" s="229">
        <v>1.35E-2</v>
      </c>
      <c r="N158" s="231">
        <v>5115.2</v>
      </c>
      <c r="O158" s="231">
        <v>5059.2</v>
      </c>
      <c r="P158" s="228">
        <v>56</v>
      </c>
      <c r="Q158" s="229">
        <v>1.11E-2</v>
      </c>
      <c r="R158" s="231">
        <v>5111.8</v>
      </c>
      <c r="S158" s="231">
        <v>5009.1000000000004</v>
      </c>
      <c r="T158" s="228">
        <v>102.7</v>
      </c>
      <c r="U158" s="229">
        <v>2.0500000000000001E-2</v>
      </c>
      <c r="V158" s="231">
        <v>5087</v>
      </c>
      <c r="W158" s="231">
        <v>5003.5</v>
      </c>
      <c r="X158" s="228">
        <v>83.5</v>
      </c>
      <c r="Y158" s="229">
        <v>1.67E-2</v>
      </c>
      <c r="Z158" s="228">
        <v>6</v>
      </c>
      <c r="AA158" s="228">
        <v>21.2</v>
      </c>
      <c r="AB158" s="228">
        <v>-15.2</v>
      </c>
      <c r="AC158" s="229">
        <v>1.1999999999999999E-3</v>
      </c>
      <c r="AD158" s="228">
        <v>9.4</v>
      </c>
      <c r="AE158" s="228">
        <v>21.2</v>
      </c>
      <c r="AF158" s="228">
        <v>-11.8</v>
      </c>
      <c r="AG158" s="229">
        <v>1.8E-3</v>
      </c>
      <c r="AH158" s="228">
        <v>6</v>
      </c>
      <c r="AI158" s="228">
        <v>-28.9</v>
      </c>
      <c r="AJ158" s="228">
        <v>34.9</v>
      </c>
      <c r="AK158" s="229">
        <v>1.1999999999999999E-3</v>
      </c>
      <c r="AL158" s="228">
        <v>-18.8</v>
      </c>
      <c r="AM158" s="228">
        <v>-34.5</v>
      </c>
      <c r="AN158" s="228">
        <v>15.7</v>
      </c>
      <c r="AO158" s="229">
        <v>-3.7000000000000002E-3</v>
      </c>
      <c r="AP158" s="231">
        <v>5113.37</v>
      </c>
      <c r="AQ158" s="231">
        <v>5078.74</v>
      </c>
      <c r="AR158" s="228">
        <v>0</v>
      </c>
      <c r="AS158" s="228">
        <v>683</v>
      </c>
      <c r="AT158" s="230">
        <v>1179</v>
      </c>
      <c r="AU158" s="228">
        <v>-496</v>
      </c>
      <c r="AV158" s="229">
        <v>-0.42049999999999998</v>
      </c>
      <c r="AW158" s="228">
        <v>301</v>
      </c>
      <c r="AX158" s="228">
        <v>564</v>
      </c>
      <c r="AY158" s="228">
        <v>-262</v>
      </c>
      <c r="AZ158" s="229">
        <v>-0.46560000000000001</v>
      </c>
      <c r="BA158" s="228">
        <v>375</v>
      </c>
      <c r="BB158" s="228">
        <v>608</v>
      </c>
      <c r="BC158" s="228">
        <v>-232</v>
      </c>
      <c r="BD158" s="229">
        <v>-0.38229999999999997</v>
      </c>
      <c r="BE158" s="228">
        <v>7</v>
      </c>
      <c r="BF158" s="228">
        <v>8</v>
      </c>
      <c r="BG158" s="228">
        <v>-1</v>
      </c>
      <c r="BH158" s="229">
        <v>-0.13730000000000001</v>
      </c>
      <c r="BI158" s="228">
        <v>895</v>
      </c>
      <c r="BJ158" s="228">
        <v>996</v>
      </c>
      <c r="BK158" s="228">
        <v>-102</v>
      </c>
      <c r="BL158" s="229">
        <v>-0.1019</v>
      </c>
      <c r="BM158" s="228">
        <v>508</v>
      </c>
      <c r="BN158" s="228">
        <v>564</v>
      </c>
      <c r="BO158" s="228">
        <v>-56</v>
      </c>
      <c r="BP158" s="229">
        <v>-9.8699999999999996E-2</v>
      </c>
      <c r="BQ158" s="230">
        <v>2086</v>
      </c>
      <c r="BR158" s="230">
        <v>2739</v>
      </c>
      <c r="BS158" s="228">
        <v>-653</v>
      </c>
      <c r="BT158" s="229">
        <v>-0.2384</v>
      </c>
      <c r="BU158" s="230">
        <v>466458</v>
      </c>
      <c r="BV158" s="230">
        <v>351910</v>
      </c>
      <c r="BW158" s="230">
        <v>114548</v>
      </c>
      <c r="BX158" s="229">
        <v>0.32550000000000001</v>
      </c>
      <c r="BY158" s="230">
        <v>1733</v>
      </c>
      <c r="BZ158" s="230">
        <v>2061</v>
      </c>
      <c r="CA158" s="228">
        <v>-327</v>
      </c>
      <c r="CB158" s="229">
        <v>-0.1588</v>
      </c>
      <c r="CC158" s="228">
        <v>287</v>
      </c>
      <c r="CD158" s="228">
        <v>346</v>
      </c>
      <c r="CE158" s="228">
        <v>-59</v>
      </c>
      <c r="CF158" s="229">
        <v>-0.1696</v>
      </c>
      <c r="CG158" s="230">
        <v>1714</v>
      </c>
      <c r="CH158" s="230">
        <v>1697</v>
      </c>
      <c r="CI158" s="228">
        <v>17</v>
      </c>
      <c r="CJ158" s="229">
        <v>1.01E-2</v>
      </c>
      <c r="CK158" s="228">
        <v>19</v>
      </c>
      <c r="CL158" s="228">
        <v>17</v>
      </c>
      <c r="CM158" s="228">
        <v>2</v>
      </c>
      <c r="CN158" s="229">
        <v>9.5200000000000007E-2</v>
      </c>
      <c r="CO158" s="228">
        <v>210</v>
      </c>
      <c r="CP158" s="228">
        <v>737</v>
      </c>
      <c r="CQ158" s="228">
        <v>-527</v>
      </c>
      <c r="CR158" s="229">
        <v>-0.71499999999999997</v>
      </c>
      <c r="CS158" s="228">
        <v>160</v>
      </c>
      <c r="CT158" s="228">
        <v>613</v>
      </c>
      <c r="CU158" s="228">
        <v>-454</v>
      </c>
      <c r="CV158" s="229">
        <v>-0.73970000000000002</v>
      </c>
      <c r="CW158" s="230">
        <v>2103</v>
      </c>
      <c r="CX158" s="230">
        <v>3411</v>
      </c>
      <c r="CY158" s="230">
        <v>-1308</v>
      </c>
      <c r="CZ158" s="229">
        <v>-0.38340000000000002</v>
      </c>
      <c r="DA158" s="228">
        <v>34.049999999999997</v>
      </c>
      <c r="DB158" s="228">
        <v>35.47</v>
      </c>
      <c r="DC158" s="228">
        <v>-1.42</v>
      </c>
      <c r="DD158" s="228">
        <v>-1.42</v>
      </c>
      <c r="DE158" s="228">
        <v>41.59</v>
      </c>
      <c r="DF158" s="228">
        <v>41.61</v>
      </c>
      <c r="DG158" s="228">
        <v>-7.54</v>
      </c>
      <c r="DH158" s="228">
        <v>-0.02</v>
      </c>
      <c r="DI158" s="228">
        <v>33.83</v>
      </c>
      <c r="DJ158" s="228">
        <v>35.6</v>
      </c>
      <c r="DK158" s="228">
        <v>-1.77</v>
      </c>
      <c r="DL158" s="228">
        <v>-1.77</v>
      </c>
      <c r="DM158" s="228">
        <v>34.5</v>
      </c>
      <c r="DN158" s="228">
        <v>35.15</v>
      </c>
      <c r="DO158" s="228">
        <v>-0.65</v>
      </c>
      <c r="DP158" s="228">
        <v>-0.65</v>
      </c>
      <c r="DQ158" s="228">
        <v>0.76</v>
      </c>
      <c r="DR158" s="228">
        <v>0.83</v>
      </c>
      <c r="DS158" s="228">
        <v>-7.0000000000000007E-2</v>
      </c>
      <c r="DT158" s="229">
        <v>-8.43E-2</v>
      </c>
      <c r="DU158" s="231">
        <v>5200</v>
      </c>
      <c r="DV158" s="231">
        <v>4850</v>
      </c>
      <c r="DW158" s="228">
        <v>0.56999999999999995</v>
      </c>
      <c r="DX158" s="228">
        <v>0.56999999999999995</v>
      </c>
      <c r="DY158" s="228">
        <v>0</v>
      </c>
      <c r="DZ158" s="229">
        <v>0</v>
      </c>
      <c r="EA158" s="229">
        <v>0.85780000000000001</v>
      </c>
      <c r="EB158" s="230">
        <v>3354225</v>
      </c>
      <c r="EC158" s="229">
        <v>-6.9999999999999999E-4</v>
      </c>
      <c r="ED158" s="229">
        <v>0.85780000000000001</v>
      </c>
      <c r="EE158" s="228">
        <v>-34.630000000000003</v>
      </c>
      <c r="EF158" s="229">
        <v>-6.7999999999999996E-3</v>
      </c>
      <c r="EG158" s="230">
        <v>150737</v>
      </c>
      <c r="EH158" s="230">
        <v>138243</v>
      </c>
      <c r="EI158" s="229">
        <v>9.0399999999999994E-2</v>
      </c>
      <c r="EJ158" s="229">
        <v>0.32319999999999999</v>
      </c>
      <c r="EK158" s="228">
        <v>924.89</v>
      </c>
      <c r="EL158" s="228">
        <v>494.79</v>
      </c>
      <c r="EM158" s="228">
        <v>682.61</v>
      </c>
      <c r="EN158" s="228">
        <v>217.71</v>
      </c>
      <c r="EO158" s="231">
        <v>2102.29</v>
      </c>
      <c r="EP158" s="231">
        <v>2720.82</v>
      </c>
      <c r="EQ158" s="228">
        <v>-618.54</v>
      </c>
      <c r="ER158" s="229">
        <v>-0.2273</v>
      </c>
      <c r="ES158" s="228">
        <v>213.58</v>
      </c>
      <c r="ET158" s="228">
        <v>151.44</v>
      </c>
      <c r="EU158" s="231">
        <v>1733.36</v>
      </c>
      <c r="EV158" s="231">
        <v>16286398</v>
      </c>
      <c r="EW158" s="231">
        <v>2098.38</v>
      </c>
      <c r="EX158" s="231">
        <v>3342.22</v>
      </c>
      <c r="EY158" s="231">
        <v>-1243.8399999999999</v>
      </c>
      <c r="EZ158" s="229">
        <v>-0.37219999999999998</v>
      </c>
      <c r="FA158" s="229">
        <v>0.25259999999999999</v>
      </c>
      <c r="FB158" s="227" t="s">
        <v>691</v>
      </c>
      <c r="FC158">
        <f t="shared" si="3"/>
        <v>0</v>
      </c>
    </row>
    <row r="159" spans="1:159" ht="17.25" thickBot="1" x14ac:dyDescent="0.3">
      <c r="A159" s="226">
        <v>46168</v>
      </c>
      <c r="B159" s="227" t="s">
        <v>193</v>
      </c>
      <c r="C159" s="227" t="s">
        <v>272</v>
      </c>
      <c r="D159" s="228">
        <v>1900</v>
      </c>
      <c r="E159" s="228">
        <v>0</v>
      </c>
      <c r="F159" s="228">
        <v>281.85000000000002</v>
      </c>
      <c r="G159" s="228">
        <v>283.45</v>
      </c>
      <c r="H159" s="228">
        <v>-1.6</v>
      </c>
      <c r="I159" s="229">
        <v>-5.5999999999999999E-3</v>
      </c>
      <c r="J159" s="228">
        <v>280.2</v>
      </c>
      <c r="K159" s="228">
        <v>282.25</v>
      </c>
      <c r="L159" s="228">
        <v>-2.0499999999999998</v>
      </c>
      <c r="M159" s="229">
        <v>-7.3000000000000001E-3</v>
      </c>
      <c r="N159" s="228">
        <v>280.60000000000002</v>
      </c>
      <c r="O159" s="228">
        <v>282.39999999999998</v>
      </c>
      <c r="P159" s="228">
        <v>-1.8</v>
      </c>
      <c r="Q159" s="229">
        <v>-6.4000000000000003E-3</v>
      </c>
      <c r="R159" s="228">
        <v>281.85000000000002</v>
      </c>
      <c r="S159" s="228">
        <v>283.45</v>
      </c>
      <c r="T159" s="228">
        <v>-1.6</v>
      </c>
      <c r="U159" s="229">
        <v>-5.5999999999999999E-3</v>
      </c>
      <c r="V159" s="228">
        <v>281.55</v>
      </c>
      <c r="W159" s="228">
        <v>283.2</v>
      </c>
      <c r="X159" s="228">
        <v>-1.65</v>
      </c>
      <c r="Y159" s="229">
        <v>-5.7999999999999996E-3</v>
      </c>
      <c r="Z159" s="228">
        <v>1.65</v>
      </c>
      <c r="AA159" s="228">
        <v>0.15</v>
      </c>
      <c r="AB159" s="228">
        <v>1.5</v>
      </c>
      <c r="AC159" s="229">
        <v>5.8999999999999999E-3</v>
      </c>
      <c r="AD159" s="228">
        <v>0.4</v>
      </c>
      <c r="AE159" s="228">
        <v>0.15</v>
      </c>
      <c r="AF159" s="228">
        <v>0.25</v>
      </c>
      <c r="AG159" s="229">
        <v>1.4E-3</v>
      </c>
      <c r="AH159" s="228">
        <v>1.65</v>
      </c>
      <c r="AI159" s="228">
        <v>1.2</v>
      </c>
      <c r="AJ159" s="228">
        <v>0.45</v>
      </c>
      <c r="AK159" s="229">
        <v>5.8999999999999999E-3</v>
      </c>
      <c r="AL159" s="228">
        <v>1.35</v>
      </c>
      <c r="AM159" s="228">
        <v>0.95</v>
      </c>
      <c r="AN159" s="228">
        <v>0.4</v>
      </c>
      <c r="AO159" s="229">
        <v>4.7999999999999996E-3</v>
      </c>
      <c r="AP159" s="228">
        <v>279.08999999999997</v>
      </c>
      <c r="AQ159" s="228">
        <v>280.81</v>
      </c>
      <c r="AR159" s="228">
        <v>0</v>
      </c>
      <c r="AS159" s="228">
        <v>371</v>
      </c>
      <c r="AT159" s="228">
        <v>567</v>
      </c>
      <c r="AU159" s="228">
        <v>-196</v>
      </c>
      <c r="AV159" s="229">
        <v>-0.3453</v>
      </c>
      <c r="AW159" s="228">
        <v>150</v>
      </c>
      <c r="AX159" s="228">
        <v>244</v>
      </c>
      <c r="AY159" s="228">
        <v>-95</v>
      </c>
      <c r="AZ159" s="229">
        <v>-0.38750000000000001</v>
      </c>
      <c r="BA159" s="228">
        <v>219</v>
      </c>
      <c r="BB159" s="228">
        <v>318</v>
      </c>
      <c r="BC159" s="228">
        <v>-99</v>
      </c>
      <c r="BD159" s="229">
        <v>-0.31030000000000002</v>
      </c>
      <c r="BE159" s="228">
        <v>2</v>
      </c>
      <c r="BF159" s="228">
        <v>5</v>
      </c>
      <c r="BG159" s="228">
        <v>-3</v>
      </c>
      <c r="BH159" s="229">
        <v>-0.51060000000000005</v>
      </c>
      <c r="BI159" s="228">
        <v>278</v>
      </c>
      <c r="BJ159" s="228">
        <v>486</v>
      </c>
      <c r="BK159" s="228">
        <v>-207</v>
      </c>
      <c r="BL159" s="229">
        <v>-0.4269</v>
      </c>
      <c r="BM159" s="228">
        <v>210</v>
      </c>
      <c r="BN159" s="228">
        <v>274</v>
      </c>
      <c r="BO159" s="228">
        <v>-64</v>
      </c>
      <c r="BP159" s="229">
        <v>-0.2334</v>
      </c>
      <c r="BQ159" s="228">
        <v>860</v>
      </c>
      <c r="BR159" s="230">
        <v>1327</v>
      </c>
      <c r="BS159" s="228">
        <v>-467</v>
      </c>
      <c r="BT159" s="229">
        <v>-0.35210000000000002</v>
      </c>
      <c r="BU159" s="230">
        <v>1722751</v>
      </c>
      <c r="BV159" s="230">
        <v>1878443</v>
      </c>
      <c r="BW159" s="230">
        <v>-155692</v>
      </c>
      <c r="BX159" s="229">
        <v>-8.2900000000000001E-2</v>
      </c>
      <c r="BY159" s="228">
        <v>764</v>
      </c>
      <c r="BZ159" s="228">
        <v>911</v>
      </c>
      <c r="CA159" s="228">
        <v>-147</v>
      </c>
      <c r="CB159" s="229">
        <v>-0.1613</v>
      </c>
      <c r="CC159" s="228">
        <v>128</v>
      </c>
      <c r="CD159" s="228">
        <v>205</v>
      </c>
      <c r="CE159" s="228">
        <v>-78</v>
      </c>
      <c r="CF159" s="229">
        <v>-0.37759999999999999</v>
      </c>
      <c r="CG159" s="228">
        <v>754</v>
      </c>
      <c r="CH159" s="228">
        <v>696</v>
      </c>
      <c r="CI159" s="228">
        <v>57</v>
      </c>
      <c r="CJ159" s="229">
        <v>8.2100000000000006E-2</v>
      </c>
      <c r="CK159" s="228">
        <v>11</v>
      </c>
      <c r="CL159" s="228">
        <v>10</v>
      </c>
      <c r="CM159" s="228">
        <v>1</v>
      </c>
      <c r="CN159" s="229">
        <v>0.1236</v>
      </c>
      <c r="CO159" s="228">
        <v>185</v>
      </c>
      <c r="CP159" s="228">
        <v>302</v>
      </c>
      <c r="CQ159" s="228">
        <v>-117</v>
      </c>
      <c r="CR159" s="229">
        <v>-0.38890000000000002</v>
      </c>
      <c r="CS159" s="228">
        <v>203</v>
      </c>
      <c r="CT159" s="228">
        <v>310</v>
      </c>
      <c r="CU159" s="228">
        <v>-106</v>
      </c>
      <c r="CV159" s="229">
        <v>-0.34350000000000003</v>
      </c>
      <c r="CW159" s="230">
        <v>1152</v>
      </c>
      <c r="CX159" s="230">
        <v>1523</v>
      </c>
      <c r="CY159" s="228">
        <v>-371</v>
      </c>
      <c r="CZ159" s="229">
        <v>-0.24349999999999999</v>
      </c>
      <c r="DA159" s="228">
        <v>24.52</v>
      </c>
      <c r="DB159" s="228">
        <v>27.37</v>
      </c>
      <c r="DC159" s="228">
        <v>-2.85</v>
      </c>
      <c r="DD159" s="228">
        <v>-2.85</v>
      </c>
      <c r="DE159" s="228">
        <v>37.96</v>
      </c>
      <c r="DF159" s="228">
        <v>38.04</v>
      </c>
      <c r="DG159" s="228">
        <v>-13.44</v>
      </c>
      <c r="DH159" s="228">
        <v>-0.08</v>
      </c>
      <c r="DI159" s="228">
        <v>24.9</v>
      </c>
      <c r="DJ159" s="228">
        <v>27.29</v>
      </c>
      <c r="DK159" s="228">
        <v>-2.39</v>
      </c>
      <c r="DL159" s="228">
        <v>-2.39</v>
      </c>
      <c r="DM159" s="228">
        <v>24.02</v>
      </c>
      <c r="DN159" s="228">
        <v>27.48</v>
      </c>
      <c r="DO159" s="228">
        <v>-3.46</v>
      </c>
      <c r="DP159" s="228">
        <v>-3.46</v>
      </c>
      <c r="DQ159" s="228">
        <v>1.1000000000000001</v>
      </c>
      <c r="DR159" s="228">
        <v>1.02</v>
      </c>
      <c r="DS159" s="228">
        <v>0.08</v>
      </c>
      <c r="DT159" s="229">
        <v>7.8399999999999997E-2</v>
      </c>
      <c r="DU159" s="228">
        <v>300</v>
      </c>
      <c r="DV159" s="228">
        <v>280</v>
      </c>
      <c r="DW159" s="228">
        <v>0.76</v>
      </c>
      <c r="DX159" s="228">
        <v>0.56000000000000005</v>
      </c>
      <c r="DY159" s="228">
        <v>0.2</v>
      </c>
      <c r="DZ159" s="229">
        <v>0.35709999999999997</v>
      </c>
      <c r="EA159" s="229">
        <v>0.85670000000000002</v>
      </c>
      <c r="EB159" s="230">
        <v>25043900</v>
      </c>
      <c r="EC159" s="229">
        <v>4.4999999999999997E-3</v>
      </c>
      <c r="ED159" s="229">
        <v>0.85670000000000002</v>
      </c>
      <c r="EE159" s="228">
        <v>1.72</v>
      </c>
      <c r="EF159" s="229">
        <v>6.1999999999999998E-3</v>
      </c>
      <c r="EG159" s="230">
        <v>810264</v>
      </c>
      <c r="EH159" s="230">
        <v>737022</v>
      </c>
      <c r="EI159" s="229">
        <v>9.9400000000000002E-2</v>
      </c>
      <c r="EJ159" s="229">
        <v>0.4703</v>
      </c>
      <c r="EK159" s="228">
        <v>292.52</v>
      </c>
      <c r="EL159" s="228">
        <v>219.53</v>
      </c>
      <c r="EM159" s="228">
        <v>369.15</v>
      </c>
      <c r="EN159" s="228">
        <v>93.56</v>
      </c>
      <c r="EO159" s="228">
        <v>881.2</v>
      </c>
      <c r="EP159" s="231">
        <v>1341.9</v>
      </c>
      <c r="EQ159" s="228">
        <v>-460.69</v>
      </c>
      <c r="ER159" s="229">
        <v>-0.34329999999999999</v>
      </c>
      <c r="ES159" s="228">
        <v>190.05</v>
      </c>
      <c r="ET159" s="228">
        <v>200.01</v>
      </c>
      <c r="EU159" s="228">
        <v>764.22</v>
      </c>
      <c r="EV159" s="231">
        <v>112500013</v>
      </c>
      <c r="EW159" s="231">
        <v>1154.29</v>
      </c>
      <c r="EX159" s="231">
        <v>1522.72</v>
      </c>
      <c r="EY159" s="228">
        <v>-368.43</v>
      </c>
      <c r="EZ159" s="229">
        <v>-0.24199999999999999</v>
      </c>
      <c r="FA159" s="229">
        <v>0.3634</v>
      </c>
      <c r="FB159" s="227" t="s">
        <v>567</v>
      </c>
      <c r="FC159">
        <f t="shared" si="3"/>
        <v>0</v>
      </c>
    </row>
    <row r="160" spans="1:159" ht="17.25" thickBot="1" x14ac:dyDescent="0.3">
      <c r="A160" s="226">
        <v>46168</v>
      </c>
      <c r="B160" s="227" t="s">
        <v>175</v>
      </c>
      <c r="C160" s="227" t="s">
        <v>273</v>
      </c>
      <c r="D160" s="228">
        <v>1300</v>
      </c>
      <c r="E160" s="228">
        <v>0</v>
      </c>
      <c r="F160" s="228">
        <v>434.5</v>
      </c>
      <c r="G160" s="228">
        <v>438.9</v>
      </c>
      <c r="H160" s="228">
        <v>-4.4000000000000004</v>
      </c>
      <c r="I160" s="229">
        <v>-0.01</v>
      </c>
      <c r="J160" s="228">
        <v>433.7</v>
      </c>
      <c r="K160" s="228">
        <v>438.9</v>
      </c>
      <c r="L160" s="228">
        <v>-5.2</v>
      </c>
      <c r="M160" s="229">
        <v>-1.18E-2</v>
      </c>
      <c r="N160" s="228">
        <v>433.3</v>
      </c>
      <c r="O160" s="228">
        <v>439.5</v>
      </c>
      <c r="P160" s="228">
        <v>-6.2</v>
      </c>
      <c r="Q160" s="229">
        <v>-1.41E-2</v>
      </c>
      <c r="R160" s="228">
        <v>434.5</v>
      </c>
      <c r="S160" s="228">
        <v>438.9</v>
      </c>
      <c r="T160" s="228">
        <v>-4.4000000000000004</v>
      </c>
      <c r="U160" s="229">
        <v>-0.01</v>
      </c>
      <c r="V160" s="228">
        <v>436</v>
      </c>
      <c r="W160" s="228">
        <v>440.7</v>
      </c>
      <c r="X160" s="228">
        <v>-4.7</v>
      </c>
      <c r="Y160" s="229">
        <v>-1.0699999999999999E-2</v>
      </c>
      <c r="Z160" s="228">
        <v>0.8</v>
      </c>
      <c r="AA160" s="228">
        <v>0.6</v>
      </c>
      <c r="AB160" s="228">
        <v>0.2</v>
      </c>
      <c r="AC160" s="229">
        <v>1.8E-3</v>
      </c>
      <c r="AD160" s="228">
        <v>-0.4</v>
      </c>
      <c r="AE160" s="228">
        <v>0.6</v>
      </c>
      <c r="AF160" s="228">
        <v>-1</v>
      </c>
      <c r="AG160" s="229">
        <v>-8.9999999999999998E-4</v>
      </c>
      <c r="AH160" s="228">
        <v>0.8</v>
      </c>
      <c r="AI160" s="228">
        <v>0</v>
      </c>
      <c r="AJ160" s="228">
        <v>0.8</v>
      </c>
      <c r="AK160" s="229">
        <v>1.8E-3</v>
      </c>
      <c r="AL160" s="228">
        <v>2.2999999999999998</v>
      </c>
      <c r="AM160" s="228">
        <v>1.8</v>
      </c>
      <c r="AN160" s="228">
        <v>0.5</v>
      </c>
      <c r="AO160" s="229">
        <v>5.3E-3</v>
      </c>
      <c r="AP160" s="228">
        <v>435.7</v>
      </c>
      <c r="AQ160" s="228">
        <v>435.97</v>
      </c>
      <c r="AR160" s="228">
        <v>0</v>
      </c>
      <c r="AS160" s="228">
        <v>980</v>
      </c>
      <c r="AT160" s="230">
        <v>1439</v>
      </c>
      <c r="AU160" s="228">
        <v>-459</v>
      </c>
      <c r="AV160" s="229">
        <v>-0.31929999999999997</v>
      </c>
      <c r="AW160" s="228">
        <v>445</v>
      </c>
      <c r="AX160" s="228">
        <v>677</v>
      </c>
      <c r="AY160" s="228">
        <v>-232</v>
      </c>
      <c r="AZ160" s="229">
        <v>-0.34300000000000003</v>
      </c>
      <c r="BA160" s="228">
        <v>503</v>
      </c>
      <c r="BB160" s="228">
        <v>694</v>
      </c>
      <c r="BC160" s="228">
        <v>-191</v>
      </c>
      <c r="BD160" s="229">
        <v>-0.2747</v>
      </c>
      <c r="BE160" s="228">
        <v>31</v>
      </c>
      <c r="BF160" s="228">
        <v>68</v>
      </c>
      <c r="BG160" s="228">
        <v>-36</v>
      </c>
      <c r="BH160" s="229">
        <v>-0.53790000000000004</v>
      </c>
      <c r="BI160" s="228">
        <v>690</v>
      </c>
      <c r="BJ160" s="230">
        <v>1075</v>
      </c>
      <c r="BK160" s="228">
        <v>-385</v>
      </c>
      <c r="BL160" s="229">
        <v>-0.35820000000000002</v>
      </c>
      <c r="BM160" s="228">
        <v>348</v>
      </c>
      <c r="BN160" s="228">
        <v>514</v>
      </c>
      <c r="BO160" s="228">
        <v>-166</v>
      </c>
      <c r="BP160" s="229">
        <v>-0.3226</v>
      </c>
      <c r="BQ160" s="230">
        <v>2018</v>
      </c>
      <c r="BR160" s="230">
        <v>3028</v>
      </c>
      <c r="BS160" s="230">
        <v>-1010</v>
      </c>
      <c r="BT160" s="229">
        <v>-0.3337</v>
      </c>
      <c r="BU160" s="230">
        <v>4808947</v>
      </c>
      <c r="BV160" s="230">
        <v>4729675</v>
      </c>
      <c r="BW160" s="230">
        <v>79272</v>
      </c>
      <c r="BX160" s="229">
        <v>1.6799999999999999E-2</v>
      </c>
      <c r="BY160" s="230">
        <v>2504</v>
      </c>
      <c r="BZ160" s="230">
        <v>2731</v>
      </c>
      <c r="CA160" s="228">
        <v>-227</v>
      </c>
      <c r="CB160" s="229">
        <v>-8.3199999999999996E-2</v>
      </c>
      <c r="CC160" s="228">
        <v>246</v>
      </c>
      <c r="CD160" s="228">
        <v>562</v>
      </c>
      <c r="CE160" s="228">
        <v>-316</v>
      </c>
      <c r="CF160" s="229">
        <v>-0.56299999999999994</v>
      </c>
      <c r="CG160" s="230">
        <v>2307</v>
      </c>
      <c r="CH160" s="230">
        <v>1990</v>
      </c>
      <c r="CI160" s="228">
        <v>317</v>
      </c>
      <c r="CJ160" s="229">
        <v>0.15920000000000001</v>
      </c>
      <c r="CK160" s="228">
        <v>197</v>
      </c>
      <c r="CL160" s="228">
        <v>179</v>
      </c>
      <c r="CM160" s="228">
        <v>18</v>
      </c>
      <c r="CN160" s="229">
        <v>0.10059999999999999</v>
      </c>
      <c r="CO160" s="228">
        <v>369</v>
      </c>
      <c r="CP160" s="228">
        <v>941</v>
      </c>
      <c r="CQ160" s="228">
        <v>-573</v>
      </c>
      <c r="CR160" s="229">
        <v>-0.60840000000000005</v>
      </c>
      <c r="CS160" s="228">
        <v>321</v>
      </c>
      <c r="CT160" s="228">
        <v>583</v>
      </c>
      <c r="CU160" s="228">
        <v>-262</v>
      </c>
      <c r="CV160" s="229">
        <v>-0.4496</v>
      </c>
      <c r="CW160" s="230">
        <v>3193</v>
      </c>
      <c r="CX160" s="230">
        <v>4255</v>
      </c>
      <c r="CY160" s="230">
        <v>-1062</v>
      </c>
      <c r="CZ160" s="229">
        <v>-0.2495</v>
      </c>
      <c r="DA160" s="228">
        <v>27.36</v>
      </c>
      <c r="DB160" s="228">
        <v>29.1</v>
      </c>
      <c r="DC160" s="228">
        <v>-1.74</v>
      </c>
      <c r="DD160" s="228">
        <v>-1.74</v>
      </c>
      <c r="DE160" s="228">
        <v>41.08</v>
      </c>
      <c r="DF160" s="228">
        <v>41.16</v>
      </c>
      <c r="DG160" s="228">
        <v>-13.72</v>
      </c>
      <c r="DH160" s="228">
        <v>-0.08</v>
      </c>
      <c r="DI160" s="228">
        <v>27.82</v>
      </c>
      <c r="DJ160" s="228">
        <v>29.43</v>
      </c>
      <c r="DK160" s="228">
        <v>-1.61</v>
      </c>
      <c r="DL160" s="228">
        <v>-1.61</v>
      </c>
      <c r="DM160" s="228">
        <v>26.59</v>
      </c>
      <c r="DN160" s="228">
        <v>28.34</v>
      </c>
      <c r="DO160" s="228">
        <v>-1.75</v>
      </c>
      <c r="DP160" s="228">
        <v>-1.75</v>
      </c>
      <c r="DQ160" s="228">
        <v>0.87</v>
      </c>
      <c r="DR160" s="228">
        <v>0.62</v>
      </c>
      <c r="DS160" s="228">
        <v>0.25</v>
      </c>
      <c r="DT160" s="229">
        <v>0.4032</v>
      </c>
      <c r="DU160" s="228">
        <v>450</v>
      </c>
      <c r="DV160" s="228">
        <v>440</v>
      </c>
      <c r="DW160" s="228">
        <v>0.5</v>
      </c>
      <c r="DX160" s="228">
        <v>0.48</v>
      </c>
      <c r="DY160" s="228">
        <v>0.02</v>
      </c>
      <c r="DZ160" s="229">
        <v>4.1700000000000001E-2</v>
      </c>
      <c r="EA160" s="229">
        <v>0.91069999999999995</v>
      </c>
      <c r="EB160" s="230">
        <v>49918700</v>
      </c>
      <c r="EC160" s="229">
        <v>2.8E-3</v>
      </c>
      <c r="ED160" s="229">
        <v>0.91069999999999995</v>
      </c>
      <c r="EE160" s="228">
        <v>0.27</v>
      </c>
      <c r="EF160" s="229">
        <v>5.9999999999999995E-4</v>
      </c>
      <c r="EG160" s="230">
        <v>2854078</v>
      </c>
      <c r="EH160" s="230">
        <v>2466019</v>
      </c>
      <c r="EI160" s="229">
        <v>0.15740000000000001</v>
      </c>
      <c r="EJ160" s="229">
        <v>0.59350000000000003</v>
      </c>
      <c r="EK160" s="228">
        <v>726.29</v>
      </c>
      <c r="EL160" s="228">
        <v>357.74</v>
      </c>
      <c r="EM160" s="228">
        <v>982.81</v>
      </c>
      <c r="EN160" s="228">
        <v>181.97</v>
      </c>
      <c r="EO160" s="231">
        <v>2066.84</v>
      </c>
      <c r="EP160" s="231">
        <v>3111.25</v>
      </c>
      <c r="EQ160" s="231">
        <v>-1044.4100000000001</v>
      </c>
      <c r="ER160" s="229">
        <v>-0.3357</v>
      </c>
      <c r="ES160" s="228">
        <v>389.82</v>
      </c>
      <c r="ET160" s="228">
        <v>317.18</v>
      </c>
      <c r="EU160" s="231">
        <v>2504.4899999999998</v>
      </c>
      <c r="EV160" s="231">
        <v>217835555</v>
      </c>
      <c r="EW160" s="231">
        <v>3211.48</v>
      </c>
      <c r="EX160" s="231">
        <v>4357.6899999999996</v>
      </c>
      <c r="EY160" s="231">
        <v>-1146.21</v>
      </c>
      <c r="EZ160" s="229">
        <v>-0.26300000000000001</v>
      </c>
      <c r="FA160" s="229">
        <v>0.33739999999999998</v>
      </c>
      <c r="FB160" s="227" t="s">
        <v>567</v>
      </c>
      <c r="FC160">
        <f t="shared" si="3"/>
        <v>0</v>
      </c>
    </row>
    <row r="161" spans="1:159" ht="17.25" thickBot="1" x14ac:dyDescent="0.3">
      <c r="A161" s="226">
        <v>46168</v>
      </c>
      <c r="B161" s="227" t="s">
        <v>184</v>
      </c>
      <c r="C161" s="227" t="s">
        <v>676</v>
      </c>
      <c r="D161" s="228">
        <v>950</v>
      </c>
      <c r="E161" s="228">
        <v>0</v>
      </c>
      <c r="F161" s="228">
        <v>468.3</v>
      </c>
      <c r="G161" s="228">
        <v>468.45</v>
      </c>
      <c r="H161" s="228">
        <v>-0.15</v>
      </c>
      <c r="I161" s="229">
        <v>-2.9999999999999997E-4</v>
      </c>
      <c r="J161" s="228">
        <v>466.95</v>
      </c>
      <c r="K161" s="228">
        <v>471.25</v>
      </c>
      <c r="L161" s="228">
        <v>-4.3</v>
      </c>
      <c r="M161" s="229">
        <v>-9.1000000000000004E-3</v>
      </c>
      <c r="N161" s="228">
        <v>467</v>
      </c>
      <c r="O161" s="228">
        <v>472.85</v>
      </c>
      <c r="P161" s="228">
        <v>-5.85</v>
      </c>
      <c r="Q161" s="229">
        <v>-1.24E-2</v>
      </c>
      <c r="R161" s="228">
        <v>468.3</v>
      </c>
      <c r="S161" s="228">
        <v>468.45</v>
      </c>
      <c r="T161" s="228">
        <v>-0.15</v>
      </c>
      <c r="U161" s="229">
        <v>-2.9999999999999997E-4</v>
      </c>
      <c r="V161" s="228">
        <v>467.3</v>
      </c>
      <c r="W161" s="228">
        <v>467.6</v>
      </c>
      <c r="X161" s="228">
        <v>-0.3</v>
      </c>
      <c r="Y161" s="229">
        <v>-5.9999999999999995E-4</v>
      </c>
      <c r="Z161" s="228">
        <v>1.35</v>
      </c>
      <c r="AA161" s="228">
        <v>1.6</v>
      </c>
      <c r="AB161" s="228">
        <v>-0.25</v>
      </c>
      <c r="AC161" s="229">
        <v>2.8999999999999998E-3</v>
      </c>
      <c r="AD161" s="228">
        <v>0.05</v>
      </c>
      <c r="AE161" s="228">
        <v>1.6</v>
      </c>
      <c r="AF161" s="228">
        <v>-1.55</v>
      </c>
      <c r="AG161" s="229">
        <v>1E-4</v>
      </c>
      <c r="AH161" s="228">
        <v>1.35</v>
      </c>
      <c r="AI161" s="228">
        <v>-2.8</v>
      </c>
      <c r="AJ161" s="228">
        <v>4.1500000000000004</v>
      </c>
      <c r="AK161" s="229">
        <v>2.8999999999999998E-3</v>
      </c>
      <c r="AL161" s="228">
        <v>0.35</v>
      </c>
      <c r="AM161" s="228">
        <v>-3.65</v>
      </c>
      <c r="AN161" s="228">
        <v>4</v>
      </c>
      <c r="AO161" s="229">
        <v>6.9999999999999999E-4</v>
      </c>
      <c r="AP161" s="228">
        <v>473.64</v>
      </c>
      <c r="AQ161" s="228">
        <v>471.24</v>
      </c>
      <c r="AR161" s="228">
        <v>0</v>
      </c>
      <c r="AS161" s="228">
        <v>484</v>
      </c>
      <c r="AT161" s="228">
        <v>474</v>
      </c>
      <c r="AU161" s="228">
        <v>10</v>
      </c>
      <c r="AV161" s="229">
        <v>2.12E-2</v>
      </c>
      <c r="AW161" s="228">
        <v>173</v>
      </c>
      <c r="AX161" s="228">
        <v>192</v>
      </c>
      <c r="AY161" s="228">
        <v>-19</v>
      </c>
      <c r="AZ161" s="229">
        <v>-9.7799999999999998E-2</v>
      </c>
      <c r="BA161" s="228">
        <v>302</v>
      </c>
      <c r="BB161" s="228">
        <v>278</v>
      </c>
      <c r="BC161" s="228">
        <v>24</v>
      </c>
      <c r="BD161" s="229">
        <v>8.7300000000000003E-2</v>
      </c>
      <c r="BE161" s="228">
        <v>9</v>
      </c>
      <c r="BF161" s="228">
        <v>4</v>
      </c>
      <c r="BG161" s="228">
        <v>5</v>
      </c>
      <c r="BH161" s="229">
        <v>1.0625</v>
      </c>
      <c r="BI161" s="228">
        <v>512</v>
      </c>
      <c r="BJ161" s="228">
        <v>631</v>
      </c>
      <c r="BK161" s="228">
        <v>-119</v>
      </c>
      <c r="BL161" s="229">
        <v>-0.18840000000000001</v>
      </c>
      <c r="BM161" s="228">
        <v>310</v>
      </c>
      <c r="BN161" s="228">
        <v>258</v>
      </c>
      <c r="BO161" s="228">
        <v>51</v>
      </c>
      <c r="BP161" s="229">
        <v>0.19919999999999999</v>
      </c>
      <c r="BQ161" s="230">
        <v>1305</v>
      </c>
      <c r="BR161" s="230">
        <v>1363</v>
      </c>
      <c r="BS161" s="228">
        <v>-57</v>
      </c>
      <c r="BT161" s="229">
        <v>-4.2099999999999999E-2</v>
      </c>
      <c r="BU161" s="230">
        <v>2367430</v>
      </c>
      <c r="BV161" s="230">
        <v>3011092</v>
      </c>
      <c r="BW161" s="230">
        <v>-643662</v>
      </c>
      <c r="BX161" s="229">
        <v>-0.21379999999999999</v>
      </c>
      <c r="BY161" s="228">
        <v>613</v>
      </c>
      <c r="BZ161" s="228">
        <v>673</v>
      </c>
      <c r="CA161" s="228">
        <v>-59</v>
      </c>
      <c r="CB161" s="229">
        <v>-8.8300000000000003E-2</v>
      </c>
      <c r="CC161" s="228">
        <v>68</v>
      </c>
      <c r="CD161" s="228">
        <v>146</v>
      </c>
      <c r="CE161" s="228">
        <v>-79</v>
      </c>
      <c r="CF161" s="229">
        <v>-0.53810000000000002</v>
      </c>
      <c r="CG161" s="228">
        <v>594</v>
      </c>
      <c r="CH161" s="228">
        <v>509</v>
      </c>
      <c r="CI161" s="228">
        <v>85</v>
      </c>
      <c r="CJ161" s="229">
        <v>0.1666</v>
      </c>
      <c r="CK161" s="228">
        <v>20</v>
      </c>
      <c r="CL161" s="228">
        <v>17</v>
      </c>
      <c r="CM161" s="228">
        <v>2</v>
      </c>
      <c r="CN161" s="229">
        <v>0.12559999999999999</v>
      </c>
      <c r="CO161" s="228">
        <v>229</v>
      </c>
      <c r="CP161" s="228">
        <v>485</v>
      </c>
      <c r="CQ161" s="228">
        <v>-256</v>
      </c>
      <c r="CR161" s="229">
        <v>-0.52759999999999996</v>
      </c>
      <c r="CS161" s="228">
        <v>195</v>
      </c>
      <c r="CT161" s="228">
        <v>302</v>
      </c>
      <c r="CU161" s="228">
        <v>-107</v>
      </c>
      <c r="CV161" s="229">
        <v>-0.35520000000000002</v>
      </c>
      <c r="CW161" s="230">
        <v>1038</v>
      </c>
      <c r="CX161" s="230">
        <v>1460</v>
      </c>
      <c r="CY161" s="228">
        <v>-423</v>
      </c>
      <c r="CZ161" s="229">
        <v>-0.28949999999999998</v>
      </c>
      <c r="DA161" s="228">
        <v>48.9</v>
      </c>
      <c r="DB161" s="228">
        <v>52.71</v>
      </c>
      <c r="DC161" s="228">
        <v>-3.81</v>
      </c>
      <c r="DD161" s="228">
        <v>-3.81</v>
      </c>
      <c r="DE161" s="228">
        <v>65.510000000000005</v>
      </c>
      <c r="DF161" s="228">
        <v>65.67</v>
      </c>
      <c r="DG161" s="228">
        <v>-16.61</v>
      </c>
      <c r="DH161" s="228">
        <v>-0.16</v>
      </c>
      <c r="DI161" s="228">
        <v>49.39</v>
      </c>
      <c r="DJ161" s="228">
        <v>53.1</v>
      </c>
      <c r="DK161" s="228">
        <v>-3.71</v>
      </c>
      <c r="DL161" s="228">
        <v>-3.71</v>
      </c>
      <c r="DM161" s="228">
        <v>48.17</v>
      </c>
      <c r="DN161" s="228">
        <v>51.96</v>
      </c>
      <c r="DO161" s="228">
        <v>-3.79</v>
      </c>
      <c r="DP161" s="228">
        <v>-3.79</v>
      </c>
      <c r="DQ161" s="228">
        <v>0.85</v>
      </c>
      <c r="DR161" s="228">
        <v>0.62</v>
      </c>
      <c r="DS161" s="228">
        <v>0.23</v>
      </c>
      <c r="DT161" s="229">
        <v>0.371</v>
      </c>
      <c r="DU161" s="228">
        <v>500</v>
      </c>
      <c r="DV161" s="228">
        <v>470</v>
      </c>
      <c r="DW161" s="228">
        <v>0.6</v>
      </c>
      <c r="DX161" s="228">
        <v>0.41</v>
      </c>
      <c r="DY161" s="228">
        <v>0.19</v>
      </c>
      <c r="DZ161" s="229">
        <v>0.46339999999999998</v>
      </c>
      <c r="EA161" s="229">
        <v>0.90069999999999995</v>
      </c>
      <c r="EB161" s="230">
        <v>11242300</v>
      </c>
      <c r="EC161" s="229">
        <v>2.8E-3</v>
      </c>
      <c r="ED161" s="229">
        <v>0.90069999999999995</v>
      </c>
      <c r="EE161" s="228">
        <v>-2.4</v>
      </c>
      <c r="EF161" s="229">
        <v>-5.1000000000000004E-3</v>
      </c>
      <c r="EG161" s="230">
        <v>712162</v>
      </c>
      <c r="EH161" s="230">
        <v>1027720</v>
      </c>
      <c r="EI161" s="229">
        <v>-0.307</v>
      </c>
      <c r="EJ161" s="229">
        <v>0.30080000000000001</v>
      </c>
      <c r="EK161" s="228">
        <v>562.54</v>
      </c>
      <c r="EL161" s="228">
        <v>308.35000000000002</v>
      </c>
      <c r="EM161" s="228">
        <v>487.51</v>
      </c>
      <c r="EN161" s="228">
        <v>88.36</v>
      </c>
      <c r="EO161" s="231">
        <v>1358.41</v>
      </c>
      <c r="EP161" s="231">
        <v>1408.21</v>
      </c>
      <c r="EQ161" s="228">
        <v>-49.8</v>
      </c>
      <c r="ER161" s="229">
        <v>-3.5400000000000001E-2</v>
      </c>
      <c r="ES161" s="228">
        <v>255.7</v>
      </c>
      <c r="ET161" s="228">
        <v>187.59</v>
      </c>
      <c r="EU161" s="228">
        <v>613.45000000000005</v>
      </c>
      <c r="EV161" s="231">
        <v>24101986</v>
      </c>
      <c r="EW161" s="231">
        <v>1056.75</v>
      </c>
      <c r="EX161" s="231">
        <v>1520.16</v>
      </c>
      <c r="EY161" s="228">
        <v>-463.41</v>
      </c>
      <c r="EZ161" s="229">
        <v>-0.30480000000000002</v>
      </c>
      <c r="FA161" s="229">
        <v>0.91930000000000001</v>
      </c>
      <c r="FB161" s="227" t="s">
        <v>567</v>
      </c>
      <c r="FC161">
        <f t="shared" si="3"/>
        <v>0</v>
      </c>
    </row>
    <row r="162" spans="1:159" ht="17.25" thickBot="1" x14ac:dyDescent="0.3">
      <c r="A162" s="226">
        <v>46168</v>
      </c>
      <c r="B162" s="227" t="s">
        <v>206</v>
      </c>
      <c r="C162" s="227" t="s">
        <v>644</v>
      </c>
      <c r="D162" s="228">
        <v>350</v>
      </c>
      <c r="E162" s="228">
        <v>0</v>
      </c>
      <c r="F162" s="231">
        <v>1796.1</v>
      </c>
      <c r="G162" s="231">
        <v>1824.6</v>
      </c>
      <c r="H162" s="228">
        <v>-28.5</v>
      </c>
      <c r="I162" s="229">
        <v>-1.5599999999999999E-2</v>
      </c>
      <c r="J162" s="231">
        <v>1785.4</v>
      </c>
      <c r="K162" s="231">
        <v>1809.6</v>
      </c>
      <c r="L162" s="228">
        <v>-24.2</v>
      </c>
      <c r="M162" s="229">
        <v>-1.34E-2</v>
      </c>
      <c r="N162" s="231">
        <v>1787</v>
      </c>
      <c r="O162" s="231">
        <v>1813.8</v>
      </c>
      <c r="P162" s="228">
        <v>-26.8</v>
      </c>
      <c r="Q162" s="229">
        <v>-1.4800000000000001E-2</v>
      </c>
      <c r="R162" s="231">
        <v>1796.1</v>
      </c>
      <c r="S162" s="231">
        <v>1824.6</v>
      </c>
      <c r="T162" s="228">
        <v>-28.5</v>
      </c>
      <c r="U162" s="229">
        <v>-1.5599999999999999E-2</v>
      </c>
      <c r="V162" s="231">
        <v>1800</v>
      </c>
      <c r="W162" s="231">
        <v>1828.1</v>
      </c>
      <c r="X162" s="228">
        <v>-28.1</v>
      </c>
      <c r="Y162" s="229">
        <v>-1.54E-2</v>
      </c>
      <c r="Z162" s="228">
        <v>10.7</v>
      </c>
      <c r="AA162" s="228">
        <v>4.2</v>
      </c>
      <c r="AB162" s="228">
        <v>6.5</v>
      </c>
      <c r="AC162" s="229">
        <v>6.0000000000000001E-3</v>
      </c>
      <c r="AD162" s="228">
        <v>1.6</v>
      </c>
      <c r="AE162" s="228">
        <v>4.2</v>
      </c>
      <c r="AF162" s="228">
        <v>-2.6</v>
      </c>
      <c r="AG162" s="229">
        <v>8.9999999999999998E-4</v>
      </c>
      <c r="AH162" s="228">
        <v>10.7</v>
      </c>
      <c r="AI162" s="228">
        <v>15</v>
      </c>
      <c r="AJ162" s="228">
        <v>-4.3</v>
      </c>
      <c r="AK162" s="229">
        <v>6.0000000000000001E-3</v>
      </c>
      <c r="AL162" s="228">
        <v>14.6</v>
      </c>
      <c r="AM162" s="228">
        <v>18.5</v>
      </c>
      <c r="AN162" s="228">
        <v>-3.9</v>
      </c>
      <c r="AO162" s="229">
        <v>8.2000000000000007E-3</v>
      </c>
      <c r="AP162" s="231">
        <v>1793.34</v>
      </c>
      <c r="AQ162" s="231">
        <v>1805.95</v>
      </c>
      <c r="AR162" s="228">
        <v>0</v>
      </c>
      <c r="AS162" s="228">
        <v>126</v>
      </c>
      <c r="AT162" s="228">
        <v>387</v>
      </c>
      <c r="AU162" s="228">
        <v>-261</v>
      </c>
      <c r="AV162" s="229">
        <v>-0.67330000000000001</v>
      </c>
      <c r="AW162" s="228">
        <v>65</v>
      </c>
      <c r="AX162" s="228">
        <v>207</v>
      </c>
      <c r="AY162" s="228">
        <v>-142</v>
      </c>
      <c r="AZ162" s="229">
        <v>-0.68689999999999996</v>
      </c>
      <c r="BA162" s="228">
        <v>62</v>
      </c>
      <c r="BB162" s="228">
        <v>180</v>
      </c>
      <c r="BC162" s="228">
        <v>-118</v>
      </c>
      <c r="BD162" s="229">
        <v>-0.65769999999999995</v>
      </c>
      <c r="BE162" s="228">
        <v>0</v>
      </c>
      <c r="BF162" s="228">
        <v>1</v>
      </c>
      <c r="BG162" s="228">
        <v>0</v>
      </c>
      <c r="BH162" s="229">
        <v>-0.66669999999999996</v>
      </c>
      <c r="BI162" s="228">
        <v>119</v>
      </c>
      <c r="BJ162" s="228">
        <v>171</v>
      </c>
      <c r="BK162" s="228">
        <v>-52</v>
      </c>
      <c r="BL162" s="229">
        <v>-0.30409999999999998</v>
      </c>
      <c r="BM162" s="228">
        <v>48</v>
      </c>
      <c r="BN162" s="228">
        <v>115</v>
      </c>
      <c r="BO162" s="228">
        <v>-67</v>
      </c>
      <c r="BP162" s="229">
        <v>-0.58389999999999997</v>
      </c>
      <c r="BQ162" s="228">
        <v>294</v>
      </c>
      <c r="BR162" s="228">
        <v>674</v>
      </c>
      <c r="BS162" s="228">
        <v>-380</v>
      </c>
      <c r="BT162" s="229">
        <v>-0.56420000000000003</v>
      </c>
      <c r="BU162" s="230">
        <v>305766</v>
      </c>
      <c r="BV162" s="230">
        <v>265765</v>
      </c>
      <c r="BW162" s="230">
        <v>40001</v>
      </c>
      <c r="BX162" s="229">
        <v>0.15049999999999999</v>
      </c>
      <c r="BY162" s="228">
        <v>631</v>
      </c>
      <c r="BZ162" s="228">
        <v>752</v>
      </c>
      <c r="CA162" s="228">
        <v>-121</v>
      </c>
      <c r="CB162" s="229">
        <v>-0.1613</v>
      </c>
      <c r="CC162" s="228">
        <v>120</v>
      </c>
      <c r="CD162" s="228">
        <v>138</v>
      </c>
      <c r="CE162" s="228">
        <v>-18</v>
      </c>
      <c r="CF162" s="229">
        <v>-0.12989999999999999</v>
      </c>
      <c r="CG162" s="228">
        <v>603</v>
      </c>
      <c r="CH162" s="228">
        <v>586</v>
      </c>
      <c r="CI162" s="228">
        <v>17</v>
      </c>
      <c r="CJ162" s="229">
        <v>2.9100000000000001E-2</v>
      </c>
      <c r="CK162" s="228">
        <v>28</v>
      </c>
      <c r="CL162" s="228">
        <v>28</v>
      </c>
      <c r="CM162" s="228">
        <v>0</v>
      </c>
      <c r="CN162" s="229">
        <v>0</v>
      </c>
      <c r="CO162" s="228">
        <v>34</v>
      </c>
      <c r="CP162" s="228">
        <v>171</v>
      </c>
      <c r="CQ162" s="228">
        <v>-137</v>
      </c>
      <c r="CR162" s="229">
        <v>-0.80200000000000005</v>
      </c>
      <c r="CS162" s="228">
        <v>14</v>
      </c>
      <c r="CT162" s="228">
        <v>111</v>
      </c>
      <c r="CU162" s="228">
        <v>-97</v>
      </c>
      <c r="CV162" s="229">
        <v>-0.87439999999999996</v>
      </c>
      <c r="CW162" s="228">
        <v>679</v>
      </c>
      <c r="CX162" s="230">
        <v>1034</v>
      </c>
      <c r="CY162" s="228">
        <v>-355</v>
      </c>
      <c r="CZ162" s="229">
        <v>-0.34370000000000001</v>
      </c>
      <c r="DA162" s="228">
        <v>28.04</v>
      </c>
      <c r="DB162" s="228">
        <v>29.61</v>
      </c>
      <c r="DC162" s="228">
        <v>-1.57</v>
      </c>
      <c r="DD162" s="228">
        <v>-1.57</v>
      </c>
      <c r="DE162" s="228">
        <v>39.01</v>
      </c>
      <c r="DF162" s="228">
        <v>39.06</v>
      </c>
      <c r="DG162" s="228">
        <v>-10.97</v>
      </c>
      <c r="DH162" s="228">
        <v>-0.05</v>
      </c>
      <c r="DI162" s="228">
        <v>28.12</v>
      </c>
      <c r="DJ162" s="228">
        <v>28.85</v>
      </c>
      <c r="DK162" s="228">
        <v>-0.73</v>
      </c>
      <c r="DL162" s="228">
        <v>-0.73</v>
      </c>
      <c r="DM162" s="228">
        <v>27.85</v>
      </c>
      <c r="DN162" s="228">
        <v>31.49</v>
      </c>
      <c r="DO162" s="228">
        <v>-3.64</v>
      </c>
      <c r="DP162" s="228">
        <v>-3.64</v>
      </c>
      <c r="DQ162" s="228">
        <v>0.41</v>
      </c>
      <c r="DR162" s="228">
        <v>0.65</v>
      </c>
      <c r="DS162" s="228">
        <v>-0.24</v>
      </c>
      <c r="DT162" s="229">
        <v>-0.36919999999999997</v>
      </c>
      <c r="DU162" s="231">
        <v>1840</v>
      </c>
      <c r="DV162" s="231">
        <v>1700</v>
      </c>
      <c r="DW162" s="228">
        <v>0.4</v>
      </c>
      <c r="DX162" s="228">
        <v>0.67</v>
      </c>
      <c r="DY162" s="228">
        <v>-0.27</v>
      </c>
      <c r="DZ162" s="229">
        <v>-0.40300000000000002</v>
      </c>
      <c r="EA162" s="229">
        <v>0.83979999999999999</v>
      </c>
      <c r="EB162" s="230">
        <v>3418450</v>
      </c>
      <c r="EC162" s="229">
        <v>5.1000000000000004E-3</v>
      </c>
      <c r="ED162" s="229">
        <v>0.83979999999999999</v>
      </c>
      <c r="EE162" s="228">
        <v>12.61</v>
      </c>
      <c r="EF162" s="229">
        <v>7.0000000000000001E-3</v>
      </c>
      <c r="EG162" s="230">
        <v>166932</v>
      </c>
      <c r="EH162" s="230">
        <v>125059</v>
      </c>
      <c r="EI162" s="229">
        <v>0.33479999999999999</v>
      </c>
      <c r="EJ162" s="229">
        <v>0.54590000000000005</v>
      </c>
      <c r="EK162" s="228">
        <v>122.89</v>
      </c>
      <c r="EL162" s="228">
        <v>48.58</v>
      </c>
      <c r="EM162" s="228">
        <v>126.72</v>
      </c>
      <c r="EN162" s="228">
        <v>43.59</v>
      </c>
      <c r="EO162" s="228">
        <v>298.19</v>
      </c>
      <c r="EP162" s="228">
        <v>681.32</v>
      </c>
      <c r="EQ162" s="228">
        <v>-383.13</v>
      </c>
      <c r="ER162" s="229">
        <v>-0.56230000000000002</v>
      </c>
      <c r="ES162" s="228">
        <v>34.97</v>
      </c>
      <c r="ET162" s="228">
        <v>13.43</v>
      </c>
      <c r="EU162" s="228">
        <v>631.08000000000004</v>
      </c>
      <c r="EV162" s="231">
        <v>21502901</v>
      </c>
      <c r="EW162" s="228">
        <v>679.49</v>
      </c>
      <c r="EX162" s="231">
        <v>1046.02</v>
      </c>
      <c r="EY162" s="228">
        <v>-366.53</v>
      </c>
      <c r="EZ162" s="229">
        <v>-0.35039999999999999</v>
      </c>
      <c r="FA162" s="229">
        <v>0.17580000000000001</v>
      </c>
      <c r="FB162" s="227" t="s">
        <v>567</v>
      </c>
      <c r="FC162">
        <f t="shared" si="3"/>
        <v>0</v>
      </c>
    </row>
    <row r="163" spans="1:159" ht="17.25" thickBot="1" x14ac:dyDescent="0.3">
      <c r="A163" s="226">
        <v>46168</v>
      </c>
      <c r="B163" s="227" t="s">
        <v>168</v>
      </c>
      <c r="C163" s="227" t="s">
        <v>274</v>
      </c>
      <c r="D163" s="228">
        <v>500</v>
      </c>
      <c r="E163" s="228">
        <v>0</v>
      </c>
      <c r="F163" s="231">
        <v>1485.6</v>
      </c>
      <c r="G163" s="231">
        <v>1488</v>
      </c>
      <c r="H163" s="228">
        <v>-2.4</v>
      </c>
      <c r="I163" s="229">
        <v>-1.6000000000000001E-3</v>
      </c>
      <c r="J163" s="231">
        <v>1478.5</v>
      </c>
      <c r="K163" s="231">
        <v>1477.2</v>
      </c>
      <c r="L163" s="228">
        <v>1.3</v>
      </c>
      <c r="M163" s="229">
        <v>8.9999999999999998E-4</v>
      </c>
      <c r="N163" s="231">
        <v>1474.9</v>
      </c>
      <c r="O163" s="231">
        <v>1478.1</v>
      </c>
      <c r="P163" s="228">
        <v>-3.2</v>
      </c>
      <c r="Q163" s="229">
        <v>-2.2000000000000001E-3</v>
      </c>
      <c r="R163" s="231">
        <v>1485.6</v>
      </c>
      <c r="S163" s="231">
        <v>1488</v>
      </c>
      <c r="T163" s="228">
        <v>-2.4</v>
      </c>
      <c r="U163" s="229">
        <v>-1.6000000000000001E-3</v>
      </c>
      <c r="V163" s="231">
        <v>1481</v>
      </c>
      <c r="W163" s="231">
        <v>1491.6</v>
      </c>
      <c r="X163" s="228">
        <v>-10.6</v>
      </c>
      <c r="Y163" s="229">
        <v>-7.1000000000000004E-3</v>
      </c>
      <c r="Z163" s="228">
        <v>7.1</v>
      </c>
      <c r="AA163" s="228">
        <v>0.9</v>
      </c>
      <c r="AB163" s="228">
        <v>6.2</v>
      </c>
      <c r="AC163" s="229">
        <v>4.7999999999999996E-3</v>
      </c>
      <c r="AD163" s="228">
        <v>-3.6</v>
      </c>
      <c r="AE163" s="228">
        <v>0.9</v>
      </c>
      <c r="AF163" s="228">
        <v>-4.5</v>
      </c>
      <c r="AG163" s="229">
        <v>-2.3999999999999998E-3</v>
      </c>
      <c r="AH163" s="228">
        <v>7.1</v>
      </c>
      <c r="AI163" s="228">
        <v>10.8</v>
      </c>
      <c r="AJ163" s="228">
        <v>-3.7</v>
      </c>
      <c r="AK163" s="229">
        <v>4.7999999999999996E-3</v>
      </c>
      <c r="AL163" s="228">
        <v>2.5</v>
      </c>
      <c r="AM163" s="228">
        <v>14.4</v>
      </c>
      <c r="AN163" s="228">
        <v>-11.9</v>
      </c>
      <c r="AO163" s="229">
        <v>1.6999999999999999E-3</v>
      </c>
      <c r="AP163" s="231">
        <v>1472.63</v>
      </c>
      <c r="AQ163" s="231">
        <v>1483.13</v>
      </c>
      <c r="AR163" s="228">
        <v>0</v>
      </c>
      <c r="AS163" s="228">
        <v>403</v>
      </c>
      <c r="AT163" s="228">
        <v>730</v>
      </c>
      <c r="AU163" s="228">
        <v>-327</v>
      </c>
      <c r="AV163" s="229">
        <v>-0.44779999999999998</v>
      </c>
      <c r="AW163" s="228">
        <v>193</v>
      </c>
      <c r="AX163" s="228">
        <v>342</v>
      </c>
      <c r="AY163" s="228">
        <v>-149</v>
      </c>
      <c r="AZ163" s="229">
        <v>-0.43640000000000001</v>
      </c>
      <c r="BA163" s="228">
        <v>205</v>
      </c>
      <c r="BB163" s="228">
        <v>386</v>
      </c>
      <c r="BC163" s="228">
        <v>-181</v>
      </c>
      <c r="BD163" s="229">
        <v>-0.46879999999999999</v>
      </c>
      <c r="BE163" s="228">
        <v>6</v>
      </c>
      <c r="BF163" s="228">
        <v>3</v>
      </c>
      <c r="BG163" s="228">
        <v>3</v>
      </c>
      <c r="BH163" s="229">
        <v>1.1714</v>
      </c>
      <c r="BI163" s="228">
        <v>302</v>
      </c>
      <c r="BJ163" s="228">
        <v>530</v>
      </c>
      <c r="BK163" s="228">
        <v>-228</v>
      </c>
      <c r="BL163" s="229">
        <v>-0.43049999999999999</v>
      </c>
      <c r="BM163" s="228">
        <v>124</v>
      </c>
      <c r="BN163" s="228">
        <v>187</v>
      </c>
      <c r="BO163" s="228">
        <v>-63</v>
      </c>
      <c r="BP163" s="229">
        <v>-0.3382</v>
      </c>
      <c r="BQ163" s="228">
        <v>829</v>
      </c>
      <c r="BR163" s="230">
        <v>1447</v>
      </c>
      <c r="BS163" s="228">
        <v>-618</v>
      </c>
      <c r="BT163" s="229">
        <v>-0.42730000000000001</v>
      </c>
      <c r="BU163" s="230">
        <v>461653</v>
      </c>
      <c r="BV163" s="230">
        <v>664332</v>
      </c>
      <c r="BW163" s="230">
        <v>-202679</v>
      </c>
      <c r="BX163" s="229">
        <v>-0.30509999999999998</v>
      </c>
      <c r="BY163" s="228">
        <v>996</v>
      </c>
      <c r="BZ163" s="230">
        <v>1061</v>
      </c>
      <c r="CA163" s="228">
        <v>-65</v>
      </c>
      <c r="CB163" s="229">
        <v>-6.0999999999999999E-2</v>
      </c>
      <c r="CC163" s="228">
        <v>40</v>
      </c>
      <c r="CD163" s="228">
        <v>171</v>
      </c>
      <c r="CE163" s="228">
        <v>-131</v>
      </c>
      <c r="CF163" s="229">
        <v>-0.76719999999999999</v>
      </c>
      <c r="CG163" s="228">
        <v>982</v>
      </c>
      <c r="CH163" s="228">
        <v>879</v>
      </c>
      <c r="CI163" s="228">
        <v>103</v>
      </c>
      <c r="CJ163" s="229">
        <v>0.1177</v>
      </c>
      <c r="CK163" s="228">
        <v>14</v>
      </c>
      <c r="CL163" s="228">
        <v>11</v>
      </c>
      <c r="CM163" s="228">
        <v>3</v>
      </c>
      <c r="CN163" s="229">
        <v>0.30280000000000001</v>
      </c>
      <c r="CO163" s="228">
        <v>85</v>
      </c>
      <c r="CP163" s="228">
        <v>504</v>
      </c>
      <c r="CQ163" s="228">
        <v>-419</v>
      </c>
      <c r="CR163" s="229">
        <v>-0.83160000000000001</v>
      </c>
      <c r="CS163" s="228">
        <v>51</v>
      </c>
      <c r="CT163" s="228">
        <v>244</v>
      </c>
      <c r="CU163" s="228">
        <v>-193</v>
      </c>
      <c r="CV163" s="229">
        <v>-0.79220000000000002</v>
      </c>
      <c r="CW163" s="230">
        <v>1132</v>
      </c>
      <c r="CX163" s="230">
        <v>1809</v>
      </c>
      <c r="CY163" s="228">
        <v>-677</v>
      </c>
      <c r="CZ163" s="229">
        <v>-0.37440000000000001</v>
      </c>
      <c r="DA163" s="228">
        <v>23.46</v>
      </c>
      <c r="DB163" s="228">
        <v>23.98</v>
      </c>
      <c r="DC163" s="228">
        <v>-0.52</v>
      </c>
      <c r="DD163" s="228">
        <v>-0.52</v>
      </c>
      <c r="DE163" s="228">
        <v>26.22</v>
      </c>
      <c r="DF163" s="228">
        <v>26.28</v>
      </c>
      <c r="DG163" s="228">
        <v>-2.76</v>
      </c>
      <c r="DH163" s="228">
        <v>-0.06</v>
      </c>
      <c r="DI163" s="228">
        <v>23.45</v>
      </c>
      <c r="DJ163" s="228">
        <v>23.99</v>
      </c>
      <c r="DK163" s="228">
        <v>-0.54</v>
      </c>
      <c r="DL163" s="228">
        <v>-0.54</v>
      </c>
      <c r="DM163" s="228">
        <v>23.49</v>
      </c>
      <c r="DN163" s="228">
        <v>23.97</v>
      </c>
      <c r="DO163" s="228">
        <v>-0.48</v>
      </c>
      <c r="DP163" s="228">
        <v>-0.48</v>
      </c>
      <c r="DQ163" s="228">
        <v>0.6</v>
      </c>
      <c r="DR163" s="228">
        <v>0.48</v>
      </c>
      <c r="DS163" s="228">
        <v>0.12</v>
      </c>
      <c r="DT163" s="229">
        <v>0.25</v>
      </c>
      <c r="DU163" s="231">
        <v>1500</v>
      </c>
      <c r="DV163" s="231">
        <v>1340</v>
      </c>
      <c r="DW163" s="228">
        <v>0.41</v>
      </c>
      <c r="DX163" s="228">
        <v>0.35</v>
      </c>
      <c r="DY163" s="228">
        <v>0.06</v>
      </c>
      <c r="DZ163" s="229">
        <v>0.1714</v>
      </c>
      <c r="EA163" s="229">
        <v>0.96150000000000002</v>
      </c>
      <c r="EB163" s="230">
        <v>5986500</v>
      </c>
      <c r="EC163" s="229">
        <v>7.3000000000000001E-3</v>
      </c>
      <c r="ED163" s="229">
        <v>0.96150000000000002</v>
      </c>
      <c r="EE163" s="228">
        <v>10.5</v>
      </c>
      <c r="EF163" s="229">
        <v>7.1000000000000004E-3</v>
      </c>
      <c r="EG163" s="230">
        <v>262982</v>
      </c>
      <c r="EH163" s="230">
        <v>332597</v>
      </c>
      <c r="EI163" s="229">
        <v>-0.20930000000000001</v>
      </c>
      <c r="EJ163" s="229">
        <v>0.56969999999999998</v>
      </c>
      <c r="EK163" s="228">
        <v>309.33</v>
      </c>
      <c r="EL163" s="228">
        <v>120.09</v>
      </c>
      <c r="EM163" s="228">
        <v>401.31</v>
      </c>
      <c r="EN163" s="228">
        <v>62.48</v>
      </c>
      <c r="EO163" s="228">
        <v>830.72</v>
      </c>
      <c r="EP163" s="231">
        <v>1458.94</v>
      </c>
      <c r="EQ163" s="228">
        <v>-628.22</v>
      </c>
      <c r="ER163" s="229">
        <v>-0.43059999999999998</v>
      </c>
      <c r="ES163" s="228">
        <v>87.45</v>
      </c>
      <c r="ET163" s="228">
        <v>48.35</v>
      </c>
      <c r="EU163" s="228">
        <v>995.98</v>
      </c>
      <c r="EV163" s="231">
        <v>31214205</v>
      </c>
      <c r="EW163" s="231">
        <v>1131.77</v>
      </c>
      <c r="EX163" s="231">
        <v>1808.13</v>
      </c>
      <c r="EY163" s="228">
        <v>-676.36</v>
      </c>
      <c r="EZ163" s="229">
        <v>-0.37409999999999999</v>
      </c>
      <c r="FA163" s="229">
        <v>0.24399999999999999</v>
      </c>
      <c r="FB163" s="227" t="s">
        <v>567</v>
      </c>
      <c r="FC163">
        <f t="shared" si="3"/>
        <v>0</v>
      </c>
    </row>
    <row r="164" spans="1:159" ht="17.25" thickBot="1" x14ac:dyDescent="0.3">
      <c r="A164" s="226">
        <v>46168</v>
      </c>
      <c r="B164" s="227" t="s">
        <v>498</v>
      </c>
      <c r="C164" s="227" t="s">
        <v>483</v>
      </c>
      <c r="D164" s="228">
        <v>175</v>
      </c>
      <c r="E164" s="228">
        <v>0</v>
      </c>
      <c r="F164" s="231">
        <v>2807.2</v>
      </c>
      <c r="G164" s="231">
        <v>2818.1</v>
      </c>
      <c r="H164" s="228">
        <v>-10.9</v>
      </c>
      <c r="I164" s="229">
        <v>-3.8999999999999998E-3</v>
      </c>
      <c r="J164" s="231">
        <v>2837.9</v>
      </c>
      <c r="K164" s="231">
        <v>2849</v>
      </c>
      <c r="L164" s="228">
        <v>-11.1</v>
      </c>
      <c r="M164" s="229">
        <v>-3.8999999999999998E-3</v>
      </c>
      <c r="N164" s="231">
        <v>2844.9</v>
      </c>
      <c r="O164" s="231">
        <v>2862.8</v>
      </c>
      <c r="P164" s="228">
        <v>-17.899999999999999</v>
      </c>
      <c r="Q164" s="229">
        <v>-6.3E-3</v>
      </c>
      <c r="R164" s="231">
        <v>2807.2</v>
      </c>
      <c r="S164" s="231">
        <v>2818.1</v>
      </c>
      <c r="T164" s="228">
        <v>-10.9</v>
      </c>
      <c r="U164" s="229">
        <v>-3.8999999999999998E-3</v>
      </c>
      <c r="V164" s="231">
        <v>2783.4</v>
      </c>
      <c r="W164" s="231">
        <v>2787.7</v>
      </c>
      <c r="X164" s="228">
        <v>-4.3</v>
      </c>
      <c r="Y164" s="229">
        <v>-1.5E-3</v>
      </c>
      <c r="Z164" s="228">
        <v>-30.7</v>
      </c>
      <c r="AA164" s="228">
        <v>13.8</v>
      </c>
      <c r="AB164" s="228">
        <v>-44.5</v>
      </c>
      <c r="AC164" s="229">
        <v>-1.0800000000000001E-2</v>
      </c>
      <c r="AD164" s="228">
        <v>7</v>
      </c>
      <c r="AE164" s="228">
        <v>13.8</v>
      </c>
      <c r="AF164" s="228">
        <v>-6.8</v>
      </c>
      <c r="AG164" s="229">
        <v>2.5000000000000001E-3</v>
      </c>
      <c r="AH164" s="228">
        <v>-30.7</v>
      </c>
      <c r="AI164" s="228">
        <v>-30.9</v>
      </c>
      <c r="AJ164" s="228">
        <v>0.2</v>
      </c>
      <c r="AK164" s="229">
        <v>-1.0800000000000001E-2</v>
      </c>
      <c r="AL164" s="228">
        <v>-54.5</v>
      </c>
      <c r="AM164" s="228">
        <v>-61.3</v>
      </c>
      <c r="AN164" s="228">
        <v>6.8</v>
      </c>
      <c r="AO164" s="229">
        <v>-1.9199999999999998E-2</v>
      </c>
      <c r="AP164" s="231">
        <v>2841.63</v>
      </c>
      <c r="AQ164" s="231">
        <v>2808.99</v>
      </c>
      <c r="AR164" s="228">
        <v>0</v>
      </c>
      <c r="AS164" s="228">
        <v>363</v>
      </c>
      <c r="AT164" s="228">
        <v>778</v>
      </c>
      <c r="AU164" s="228">
        <v>-415</v>
      </c>
      <c r="AV164" s="229">
        <v>-0.53369999999999995</v>
      </c>
      <c r="AW164" s="228">
        <v>146</v>
      </c>
      <c r="AX164" s="228">
        <v>362</v>
      </c>
      <c r="AY164" s="228">
        <v>-216</v>
      </c>
      <c r="AZ164" s="229">
        <v>-0.59770000000000001</v>
      </c>
      <c r="BA164" s="228">
        <v>208</v>
      </c>
      <c r="BB164" s="228">
        <v>403</v>
      </c>
      <c r="BC164" s="228">
        <v>-194</v>
      </c>
      <c r="BD164" s="229">
        <v>-0.4829</v>
      </c>
      <c r="BE164" s="228">
        <v>9</v>
      </c>
      <c r="BF164" s="228">
        <v>14</v>
      </c>
      <c r="BG164" s="228">
        <v>-5</v>
      </c>
      <c r="BH164" s="229">
        <v>-0.33810000000000001</v>
      </c>
      <c r="BI164" s="228">
        <v>446</v>
      </c>
      <c r="BJ164" s="230">
        <v>1406</v>
      </c>
      <c r="BK164" s="228">
        <v>-959</v>
      </c>
      <c r="BL164" s="229">
        <v>-0.6825</v>
      </c>
      <c r="BM164" s="228">
        <v>304</v>
      </c>
      <c r="BN164" s="228">
        <v>462</v>
      </c>
      <c r="BO164" s="228">
        <v>-158</v>
      </c>
      <c r="BP164" s="229">
        <v>-0.34189999999999998</v>
      </c>
      <c r="BQ164" s="230">
        <v>1113</v>
      </c>
      <c r="BR164" s="230">
        <v>2646</v>
      </c>
      <c r="BS164" s="230">
        <v>-1533</v>
      </c>
      <c r="BT164" s="229">
        <v>-0.57930000000000004</v>
      </c>
      <c r="BU164" s="230">
        <v>255962</v>
      </c>
      <c r="BV164" s="230">
        <v>379740</v>
      </c>
      <c r="BW164" s="230">
        <v>-123778</v>
      </c>
      <c r="BX164" s="229">
        <v>-0.32600000000000001</v>
      </c>
      <c r="BY164" s="230">
        <v>1031</v>
      </c>
      <c r="BZ164" s="230">
        <v>1156</v>
      </c>
      <c r="CA164" s="228">
        <v>-124</v>
      </c>
      <c r="CB164" s="229">
        <v>-0.1077</v>
      </c>
      <c r="CC164" s="228">
        <v>72</v>
      </c>
      <c r="CD164" s="228">
        <v>163</v>
      </c>
      <c r="CE164" s="228">
        <v>-91</v>
      </c>
      <c r="CF164" s="229">
        <v>-0.55759999999999998</v>
      </c>
      <c r="CG164" s="230">
        <v>1007</v>
      </c>
      <c r="CH164" s="228">
        <v>973</v>
      </c>
      <c r="CI164" s="228">
        <v>34</v>
      </c>
      <c r="CJ164" s="229">
        <v>3.49E-2</v>
      </c>
      <c r="CK164" s="228">
        <v>24</v>
      </c>
      <c r="CL164" s="228">
        <v>20</v>
      </c>
      <c r="CM164" s="228">
        <v>4</v>
      </c>
      <c r="CN164" s="229">
        <v>0.2203</v>
      </c>
      <c r="CO164" s="228">
        <v>317</v>
      </c>
      <c r="CP164" s="228">
        <v>603</v>
      </c>
      <c r="CQ164" s="228">
        <v>-286</v>
      </c>
      <c r="CR164" s="229">
        <v>-0.47360000000000002</v>
      </c>
      <c r="CS164" s="228">
        <v>154</v>
      </c>
      <c r="CT164" s="228">
        <v>342</v>
      </c>
      <c r="CU164" s="228">
        <v>-188</v>
      </c>
      <c r="CV164" s="229">
        <v>-0.55030000000000001</v>
      </c>
      <c r="CW164" s="230">
        <v>1503</v>
      </c>
      <c r="CX164" s="230">
        <v>2101</v>
      </c>
      <c r="CY164" s="228">
        <v>-598</v>
      </c>
      <c r="CZ164" s="229">
        <v>-0.28470000000000001</v>
      </c>
      <c r="DA164" s="228">
        <v>30.54</v>
      </c>
      <c r="DB164" s="228">
        <v>30.7</v>
      </c>
      <c r="DC164" s="228">
        <v>-0.16</v>
      </c>
      <c r="DD164" s="228">
        <v>-0.16</v>
      </c>
      <c r="DE164" s="228">
        <v>33.78</v>
      </c>
      <c r="DF164" s="228">
        <v>33.86</v>
      </c>
      <c r="DG164" s="228">
        <v>-3.24</v>
      </c>
      <c r="DH164" s="228">
        <v>-0.08</v>
      </c>
      <c r="DI164" s="228">
        <v>31.17</v>
      </c>
      <c r="DJ164" s="228">
        <v>30.65</v>
      </c>
      <c r="DK164" s="228">
        <v>0.52</v>
      </c>
      <c r="DL164" s="228">
        <v>0.52</v>
      </c>
      <c r="DM164" s="228">
        <v>29.2</v>
      </c>
      <c r="DN164" s="228">
        <v>30.88</v>
      </c>
      <c r="DO164" s="228">
        <v>-1.68</v>
      </c>
      <c r="DP164" s="228">
        <v>-1.68</v>
      </c>
      <c r="DQ164" s="228">
        <v>0.48</v>
      </c>
      <c r="DR164" s="228">
        <v>0.56999999999999995</v>
      </c>
      <c r="DS164" s="228">
        <v>-0.09</v>
      </c>
      <c r="DT164" s="229">
        <v>-0.15790000000000001</v>
      </c>
      <c r="DU164" s="231">
        <v>3200</v>
      </c>
      <c r="DV164" s="231">
        <v>2800</v>
      </c>
      <c r="DW164" s="228">
        <v>0.68</v>
      </c>
      <c r="DX164" s="228">
        <v>0.33</v>
      </c>
      <c r="DY164" s="228">
        <v>0.35</v>
      </c>
      <c r="DZ164" s="229">
        <v>1.0606</v>
      </c>
      <c r="EA164" s="229">
        <v>0.93469999999999998</v>
      </c>
      <c r="EB164" s="230">
        <v>3537625</v>
      </c>
      <c r="EC164" s="229">
        <v>-1.3299999999999999E-2</v>
      </c>
      <c r="ED164" s="229">
        <v>0.93469999999999998</v>
      </c>
      <c r="EE164" s="228">
        <v>-32.64</v>
      </c>
      <c r="EF164" s="229">
        <v>-1.15E-2</v>
      </c>
      <c r="EG164" s="230">
        <v>146860</v>
      </c>
      <c r="EH164" s="230">
        <v>174354</v>
      </c>
      <c r="EI164" s="229">
        <v>-0.15770000000000001</v>
      </c>
      <c r="EJ164" s="229">
        <v>0.57379999999999998</v>
      </c>
      <c r="EK164" s="228">
        <v>483.34</v>
      </c>
      <c r="EL164" s="228">
        <v>305.22000000000003</v>
      </c>
      <c r="EM164" s="228">
        <v>364.82</v>
      </c>
      <c r="EN164" s="228">
        <v>160.11000000000001</v>
      </c>
      <c r="EO164" s="231">
        <v>1153.3800000000001</v>
      </c>
      <c r="EP164" s="231">
        <v>2717.4</v>
      </c>
      <c r="EQ164" s="231">
        <v>-1564.02</v>
      </c>
      <c r="ER164" s="229">
        <v>-0.5756</v>
      </c>
      <c r="ES164" s="228">
        <v>345.89</v>
      </c>
      <c r="ET164" s="228">
        <v>152.44999999999999</v>
      </c>
      <c r="EU164" s="231">
        <v>1031.2</v>
      </c>
      <c r="EV164" s="231">
        <v>8178275</v>
      </c>
      <c r="EW164" s="231">
        <v>1529.54</v>
      </c>
      <c r="EX164" s="231">
        <v>2168.4299999999998</v>
      </c>
      <c r="EY164" s="228">
        <v>-638.89</v>
      </c>
      <c r="EZ164" s="229">
        <v>-0.29459999999999997</v>
      </c>
      <c r="FA164" s="229">
        <v>0.65449999999999997</v>
      </c>
      <c r="FB164" s="227" t="s">
        <v>567</v>
      </c>
      <c r="FC164">
        <f t="shared" si="3"/>
        <v>0</v>
      </c>
    </row>
    <row r="165" spans="1:159" ht="17.25" thickBot="1" x14ac:dyDescent="0.3">
      <c r="A165" s="226">
        <v>46168</v>
      </c>
      <c r="B165" s="227" t="s">
        <v>172</v>
      </c>
      <c r="C165" s="227" t="s">
        <v>275</v>
      </c>
      <c r="D165" s="228">
        <v>8000</v>
      </c>
      <c r="E165" s="228">
        <v>0</v>
      </c>
      <c r="F165" s="228">
        <v>106.79</v>
      </c>
      <c r="G165" s="228">
        <v>107.1</v>
      </c>
      <c r="H165" s="228">
        <v>-0.31</v>
      </c>
      <c r="I165" s="229">
        <v>-2.8999999999999998E-3</v>
      </c>
      <c r="J165" s="228">
        <v>105.91</v>
      </c>
      <c r="K165" s="228">
        <v>106.26</v>
      </c>
      <c r="L165" s="228">
        <v>-0.35</v>
      </c>
      <c r="M165" s="229">
        <v>-3.3E-3</v>
      </c>
      <c r="N165" s="228">
        <v>106</v>
      </c>
      <c r="O165" s="228">
        <v>106.43</v>
      </c>
      <c r="P165" s="228">
        <v>-0.43</v>
      </c>
      <c r="Q165" s="229">
        <v>-4.0000000000000001E-3</v>
      </c>
      <c r="R165" s="228">
        <v>106.79</v>
      </c>
      <c r="S165" s="228">
        <v>107.1</v>
      </c>
      <c r="T165" s="228">
        <v>-0.31</v>
      </c>
      <c r="U165" s="229">
        <v>-2.8999999999999998E-3</v>
      </c>
      <c r="V165" s="228">
        <v>107.45</v>
      </c>
      <c r="W165" s="228">
        <v>107.67</v>
      </c>
      <c r="X165" s="228">
        <v>-0.22</v>
      </c>
      <c r="Y165" s="229">
        <v>-2E-3</v>
      </c>
      <c r="Z165" s="228">
        <v>0.88</v>
      </c>
      <c r="AA165" s="228">
        <v>0.17</v>
      </c>
      <c r="AB165" s="228">
        <v>0.71</v>
      </c>
      <c r="AC165" s="229">
        <v>8.3000000000000001E-3</v>
      </c>
      <c r="AD165" s="228">
        <v>0.09</v>
      </c>
      <c r="AE165" s="228">
        <v>0.17</v>
      </c>
      <c r="AF165" s="228">
        <v>-0.08</v>
      </c>
      <c r="AG165" s="229">
        <v>8.0000000000000004E-4</v>
      </c>
      <c r="AH165" s="228">
        <v>0.88</v>
      </c>
      <c r="AI165" s="228">
        <v>0.84</v>
      </c>
      <c r="AJ165" s="228">
        <v>0.04</v>
      </c>
      <c r="AK165" s="229">
        <v>8.3000000000000001E-3</v>
      </c>
      <c r="AL165" s="228">
        <v>1.54</v>
      </c>
      <c r="AM165" s="228">
        <v>1.41</v>
      </c>
      <c r="AN165" s="228">
        <v>0.13</v>
      </c>
      <c r="AO165" s="229">
        <v>1.4500000000000001E-2</v>
      </c>
      <c r="AP165" s="228">
        <v>106.18</v>
      </c>
      <c r="AQ165" s="228">
        <v>106.94</v>
      </c>
      <c r="AR165" s="228">
        <v>0</v>
      </c>
      <c r="AS165" s="230">
        <v>1514</v>
      </c>
      <c r="AT165" s="230">
        <v>2347</v>
      </c>
      <c r="AU165" s="228">
        <v>-833</v>
      </c>
      <c r="AV165" s="229">
        <v>-0.35489999999999999</v>
      </c>
      <c r="AW165" s="228">
        <v>636</v>
      </c>
      <c r="AX165" s="230">
        <v>1093</v>
      </c>
      <c r="AY165" s="228">
        <v>-456</v>
      </c>
      <c r="AZ165" s="229">
        <v>-0.41749999999999998</v>
      </c>
      <c r="BA165" s="228">
        <v>844</v>
      </c>
      <c r="BB165" s="230">
        <v>1225</v>
      </c>
      <c r="BC165" s="228">
        <v>-381</v>
      </c>
      <c r="BD165" s="229">
        <v>-0.31090000000000001</v>
      </c>
      <c r="BE165" s="228">
        <v>33</v>
      </c>
      <c r="BF165" s="228">
        <v>29</v>
      </c>
      <c r="BG165" s="228">
        <v>4</v>
      </c>
      <c r="BH165" s="229">
        <v>0.14410000000000001</v>
      </c>
      <c r="BI165" s="228">
        <v>927</v>
      </c>
      <c r="BJ165" s="230">
        <v>1808</v>
      </c>
      <c r="BK165" s="228">
        <v>-881</v>
      </c>
      <c r="BL165" s="229">
        <v>-0.48709999999999998</v>
      </c>
      <c r="BM165" s="228">
        <v>610</v>
      </c>
      <c r="BN165" s="228">
        <v>996</v>
      </c>
      <c r="BO165" s="228">
        <v>-386</v>
      </c>
      <c r="BP165" s="229">
        <v>-0.38740000000000002</v>
      </c>
      <c r="BQ165" s="230">
        <v>3052</v>
      </c>
      <c r="BR165" s="230">
        <v>5151</v>
      </c>
      <c r="BS165" s="230">
        <v>-2100</v>
      </c>
      <c r="BT165" s="229">
        <v>-0.40760000000000002</v>
      </c>
      <c r="BU165" s="230">
        <v>26787864</v>
      </c>
      <c r="BV165" s="230">
        <v>24037512</v>
      </c>
      <c r="BW165" s="230">
        <v>2750352</v>
      </c>
      <c r="BX165" s="229">
        <v>0.1144</v>
      </c>
      <c r="BY165" s="230">
        <v>3357</v>
      </c>
      <c r="BZ165" s="230">
        <v>3427</v>
      </c>
      <c r="CA165" s="228">
        <v>-70</v>
      </c>
      <c r="CB165" s="229">
        <v>-2.0299999999999999E-2</v>
      </c>
      <c r="CC165" s="228">
        <v>140</v>
      </c>
      <c r="CD165" s="228">
        <v>569</v>
      </c>
      <c r="CE165" s="228">
        <v>-429</v>
      </c>
      <c r="CF165" s="229">
        <v>-0.75380000000000003</v>
      </c>
      <c r="CG165" s="230">
        <v>3115</v>
      </c>
      <c r="CH165" s="230">
        <v>2633</v>
      </c>
      <c r="CI165" s="228">
        <v>482</v>
      </c>
      <c r="CJ165" s="229">
        <v>0.183</v>
      </c>
      <c r="CK165" s="228">
        <v>242</v>
      </c>
      <c r="CL165" s="228">
        <v>224</v>
      </c>
      <c r="CM165" s="228">
        <v>18</v>
      </c>
      <c r="CN165" s="229">
        <v>7.9600000000000004E-2</v>
      </c>
      <c r="CO165" s="228">
        <v>504</v>
      </c>
      <c r="CP165" s="230">
        <v>1233</v>
      </c>
      <c r="CQ165" s="228">
        <v>-729</v>
      </c>
      <c r="CR165" s="229">
        <v>-0.59089999999999998</v>
      </c>
      <c r="CS165" s="228">
        <v>483</v>
      </c>
      <c r="CT165" s="228">
        <v>922</v>
      </c>
      <c r="CU165" s="228">
        <v>-440</v>
      </c>
      <c r="CV165" s="229">
        <v>-0.47649999999999998</v>
      </c>
      <c r="CW165" s="230">
        <v>4345</v>
      </c>
      <c r="CX165" s="230">
        <v>5583</v>
      </c>
      <c r="CY165" s="230">
        <v>-1238</v>
      </c>
      <c r="CZ165" s="229">
        <v>-0.22170000000000001</v>
      </c>
      <c r="DA165" s="228">
        <v>27.09</v>
      </c>
      <c r="DB165" s="228">
        <v>28.46</v>
      </c>
      <c r="DC165" s="228">
        <v>-1.37</v>
      </c>
      <c r="DD165" s="228">
        <v>-1.37</v>
      </c>
      <c r="DE165" s="228">
        <v>37.18</v>
      </c>
      <c r="DF165" s="228">
        <v>37.270000000000003</v>
      </c>
      <c r="DG165" s="228">
        <v>-10.09</v>
      </c>
      <c r="DH165" s="228">
        <v>-0.09</v>
      </c>
      <c r="DI165" s="228">
        <v>27.28</v>
      </c>
      <c r="DJ165" s="228">
        <v>28.44</v>
      </c>
      <c r="DK165" s="228">
        <v>-1.1599999999999999</v>
      </c>
      <c r="DL165" s="228">
        <v>-1.1599999999999999</v>
      </c>
      <c r="DM165" s="228">
        <v>26.83</v>
      </c>
      <c r="DN165" s="228">
        <v>28.47</v>
      </c>
      <c r="DO165" s="228">
        <v>-1.64</v>
      </c>
      <c r="DP165" s="228">
        <v>-1.64</v>
      </c>
      <c r="DQ165" s="228">
        <v>0.96</v>
      </c>
      <c r="DR165" s="228">
        <v>0.75</v>
      </c>
      <c r="DS165" s="228">
        <v>0.21</v>
      </c>
      <c r="DT165" s="229">
        <v>0.28000000000000003</v>
      </c>
      <c r="DU165" s="228">
        <v>110</v>
      </c>
      <c r="DV165" s="228">
        <v>100</v>
      </c>
      <c r="DW165" s="228">
        <v>0.66</v>
      </c>
      <c r="DX165" s="228">
        <v>0.55000000000000004</v>
      </c>
      <c r="DY165" s="228">
        <v>0.11</v>
      </c>
      <c r="DZ165" s="229">
        <v>0.2</v>
      </c>
      <c r="EA165" s="229">
        <v>0.95989999999999998</v>
      </c>
      <c r="EB165" s="230">
        <v>267600000</v>
      </c>
      <c r="EC165" s="229">
        <v>7.4999999999999997E-3</v>
      </c>
      <c r="ED165" s="229">
        <v>0.95989999999999998</v>
      </c>
      <c r="EE165" s="228">
        <v>0.76</v>
      </c>
      <c r="EF165" s="229">
        <v>7.1999999999999998E-3</v>
      </c>
      <c r="EG165" s="230">
        <v>13550007</v>
      </c>
      <c r="EH165" s="230">
        <v>11330697</v>
      </c>
      <c r="EI165" s="229">
        <v>0.19589999999999999</v>
      </c>
      <c r="EJ165" s="229">
        <v>0.50580000000000003</v>
      </c>
      <c r="EK165" s="228">
        <v>973.13</v>
      </c>
      <c r="EL165" s="228">
        <v>630.07000000000005</v>
      </c>
      <c r="EM165" s="231">
        <v>1511.79</v>
      </c>
      <c r="EN165" s="228">
        <v>146.19</v>
      </c>
      <c r="EO165" s="231">
        <v>3114.99</v>
      </c>
      <c r="EP165" s="231">
        <v>5168.7700000000004</v>
      </c>
      <c r="EQ165" s="231">
        <v>-2053.7800000000002</v>
      </c>
      <c r="ER165" s="229">
        <v>-0.39729999999999999</v>
      </c>
      <c r="ES165" s="228">
        <v>521.39</v>
      </c>
      <c r="ET165" s="228">
        <v>479.15</v>
      </c>
      <c r="EU165" s="231">
        <v>3358.98</v>
      </c>
      <c r="EV165" s="231">
        <v>515822637</v>
      </c>
      <c r="EW165" s="231">
        <v>4359.51</v>
      </c>
      <c r="EX165" s="231">
        <v>5643.15</v>
      </c>
      <c r="EY165" s="231">
        <v>-1283.6400000000001</v>
      </c>
      <c r="EZ165" s="229">
        <v>-0.22750000000000001</v>
      </c>
      <c r="FA165" s="229">
        <v>0.78879999999999995</v>
      </c>
      <c r="FB165" s="227" t="s">
        <v>567</v>
      </c>
      <c r="FC165">
        <f t="shared" si="3"/>
        <v>0</v>
      </c>
    </row>
    <row r="166" spans="1:159" ht="17.25" thickBot="1" x14ac:dyDescent="0.3">
      <c r="A166" s="226">
        <v>46168</v>
      </c>
      <c r="B166" s="227" t="s">
        <v>175</v>
      </c>
      <c r="C166" s="227" t="s">
        <v>667</v>
      </c>
      <c r="D166" s="228">
        <v>650</v>
      </c>
      <c r="E166" s="228">
        <v>0</v>
      </c>
      <c r="F166" s="231">
        <v>1100.7</v>
      </c>
      <c r="G166" s="231">
        <v>1093.7</v>
      </c>
      <c r="H166" s="228">
        <v>7</v>
      </c>
      <c r="I166" s="229">
        <v>6.4000000000000003E-3</v>
      </c>
      <c r="J166" s="231">
        <v>1092.5999999999999</v>
      </c>
      <c r="K166" s="231">
        <v>1085.5999999999999</v>
      </c>
      <c r="L166" s="228">
        <v>7</v>
      </c>
      <c r="M166" s="229">
        <v>6.4000000000000003E-3</v>
      </c>
      <c r="N166" s="231">
        <v>1094.5999999999999</v>
      </c>
      <c r="O166" s="231">
        <v>1086.9000000000001</v>
      </c>
      <c r="P166" s="228">
        <v>7.7</v>
      </c>
      <c r="Q166" s="229">
        <v>7.1000000000000004E-3</v>
      </c>
      <c r="R166" s="231">
        <v>1100.7</v>
      </c>
      <c r="S166" s="231">
        <v>1093.7</v>
      </c>
      <c r="T166" s="228">
        <v>7</v>
      </c>
      <c r="U166" s="229">
        <v>6.4000000000000003E-3</v>
      </c>
      <c r="V166" s="231">
        <v>1105.2</v>
      </c>
      <c r="W166" s="231">
        <v>1095.5999999999999</v>
      </c>
      <c r="X166" s="228">
        <v>9.6</v>
      </c>
      <c r="Y166" s="229">
        <v>8.8000000000000005E-3</v>
      </c>
      <c r="Z166" s="228">
        <v>8.1</v>
      </c>
      <c r="AA166" s="228">
        <v>1.3</v>
      </c>
      <c r="AB166" s="228">
        <v>6.8</v>
      </c>
      <c r="AC166" s="229">
        <v>7.4000000000000003E-3</v>
      </c>
      <c r="AD166" s="228">
        <v>2</v>
      </c>
      <c r="AE166" s="228">
        <v>1.3</v>
      </c>
      <c r="AF166" s="228">
        <v>0.7</v>
      </c>
      <c r="AG166" s="229">
        <v>1.8E-3</v>
      </c>
      <c r="AH166" s="228">
        <v>8.1</v>
      </c>
      <c r="AI166" s="228">
        <v>8.1</v>
      </c>
      <c r="AJ166" s="228">
        <v>0</v>
      </c>
      <c r="AK166" s="229">
        <v>7.4000000000000003E-3</v>
      </c>
      <c r="AL166" s="228">
        <v>12.6</v>
      </c>
      <c r="AM166" s="228">
        <v>10</v>
      </c>
      <c r="AN166" s="228">
        <v>2.6</v>
      </c>
      <c r="AO166" s="229">
        <v>1.15E-2</v>
      </c>
      <c r="AP166" s="231">
        <v>1088.49</v>
      </c>
      <c r="AQ166" s="231">
        <v>1094.97</v>
      </c>
      <c r="AR166" s="228">
        <v>0</v>
      </c>
      <c r="AS166" s="228">
        <v>294</v>
      </c>
      <c r="AT166" s="228">
        <v>941</v>
      </c>
      <c r="AU166" s="228">
        <v>-647</v>
      </c>
      <c r="AV166" s="229">
        <v>-0.68759999999999999</v>
      </c>
      <c r="AW166" s="228">
        <v>132</v>
      </c>
      <c r="AX166" s="228">
        <v>454</v>
      </c>
      <c r="AY166" s="228">
        <v>-323</v>
      </c>
      <c r="AZ166" s="229">
        <v>-0.71009999999999995</v>
      </c>
      <c r="BA166" s="228">
        <v>161</v>
      </c>
      <c r="BB166" s="228">
        <v>485</v>
      </c>
      <c r="BC166" s="228">
        <v>-324</v>
      </c>
      <c r="BD166" s="229">
        <v>-0.66800000000000004</v>
      </c>
      <c r="BE166" s="228">
        <v>1</v>
      </c>
      <c r="BF166" s="228">
        <v>2</v>
      </c>
      <c r="BG166" s="228">
        <v>-1</v>
      </c>
      <c r="BH166" s="229">
        <v>-0.3448</v>
      </c>
      <c r="BI166" s="228">
        <v>167</v>
      </c>
      <c r="BJ166" s="228">
        <v>508</v>
      </c>
      <c r="BK166" s="228">
        <v>-341</v>
      </c>
      <c r="BL166" s="229">
        <v>-0.67179999999999995</v>
      </c>
      <c r="BM166" s="228">
        <v>155</v>
      </c>
      <c r="BN166" s="228">
        <v>153</v>
      </c>
      <c r="BO166" s="228">
        <v>2</v>
      </c>
      <c r="BP166" s="229">
        <v>1.4500000000000001E-2</v>
      </c>
      <c r="BQ166" s="228">
        <v>616</v>
      </c>
      <c r="BR166" s="230">
        <v>1602</v>
      </c>
      <c r="BS166" s="228">
        <v>-986</v>
      </c>
      <c r="BT166" s="229">
        <v>-0.61539999999999995</v>
      </c>
      <c r="BU166" s="230">
        <v>677030</v>
      </c>
      <c r="BV166" s="230">
        <v>1227407</v>
      </c>
      <c r="BW166" s="230">
        <v>-550377</v>
      </c>
      <c r="BX166" s="229">
        <v>-0.44840000000000002</v>
      </c>
      <c r="BY166" s="230">
        <v>1277</v>
      </c>
      <c r="BZ166" s="230">
        <v>1422</v>
      </c>
      <c r="CA166" s="228">
        <v>-145</v>
      </c>
      <c r="CB166" s="229">
        <v>-0.1019</v>
      </c>
      <c r="CC166" s="228">
        <v>143</v>
      </c>
      <c r="CD166" s="228">
        <v>216</v>
      </c>
      <c r="CE166" s="228">
        <v>-74</v>
      </c>
      <c r="CF166" s="229">
        <v>-0.34050000000000002</v>
      </c>
      <c r="CG166" s="230">
        <v>1275</v>
      </c>
      <c r="CH166" s="230">
        <v>1204</v>
      </c>
      <c r="CI166" s="228">
        <v>71</v>
      </c>
      <c r="CJ166" s="229">
        <v>5.9200000000000003E-2</v>
      </c>
      <c r="CK166" s="228">
        <v>2</v>
      </c>
      <c r="CL166" s="228">
        <v>2</v>
      </c>
      <c r="CM166" s="228">
        <v>0</v>
      </c>
      <c r="CN166" s="229">
        <v>0</v>
      </c>
      <c r="CO166" s="228">
        <v>94</v>
      </c>
      <c r="CP166" s="228">
        <v>271</v>
      </c>
      <c r="CQ166" s="228">
        <v>-178</v>
      </c>
      <c r="CR166" s="229">
        <v>-0.65449999999999997</v>
      </c>
      <c r="CS166" s="228">
        <v>46</v>
      </c>
      <c r="CT166" s="228">
        <v>166</v>
      </c>
      <c r="CU166" s="228">
        <v>-121</v>
      </c>
      <c r="CV166" s="229">
        <v>-0.72660000000000002</v>
      </c>
      <c r="CW166" s="230">
        <v>1417</v>
      </c>
      <c r="CX166" s="230">
        <v>1860</v>
      </c>
      <c r="CY166" s="228">
        <v>-443</v>
      </c>
      <c r="CZ166" s="229">
        <v>-0.2384</v>
      </c>
      <c r="DA166" s="228">
        <v>29.94</v>
      </c>
      <c r="DB166" s="228">
        <v>30.34</v>
      </c>
      <c r="DC166" s="228">
        <v>-0.4</v>
      </c>
      <c r="DD166" s="228">
        <v>-0.4</v>
      </c>
      <c r="DE166" s="228">
        <v>46.35</v>
      </c>
      <c r="DF166" s="228">
        <v>46.46</v>
      </c>
      <c r="DG166" s="228">
        <v>-16.41</v>
      </c>
      <c r="DH166" s="228">
        <v>-0.11</v>
      </c>
      <c r="DI166" s="228">
        <v>29.61</v>
      </c>
      <c r="DJ166" s="228">
        <v>29.98</v>
      </c>
      <c r="DK166" s="228">
        <v>-0.37</v>
      </c>
      <c r="DL166" s="228">
        <v>-0.37</v>
      </c>
      <c r="DM166" s="228">
        <v>30.56</v>
      </c>
      <c r="DN166" s="228">
        <v>31.75</v>
      </c>
      <c r="DO166" s="228">
        <v>-1.19</v>
      </c>
      <c r="DP166" s="228">
        <v>-1.19</v>
      </c>
      <c r="DQ166" s="228">
        <v>0.49</v>
      </c>
      <c r="DR166" s="228">
        <v>0.61</v>
      </c>
      <c r="DS166" s="228">
        <v>-0.12</v>
      </c>
      <c r="DT166" s="229">
        <v>-0.19670000000000001</v>
      </c>
      <c r="DU166" s="231">
        <v>1200</v>
      </c>
      <c r="DV166" s="231">
        <v>1010</v>
      </c>
      <c r="DW166" s="228">
        <v>0.93</v>
      </c>
      <c r="DX166" s="228">
        <v>0.3</v>
      </c>
      <c r="DY166" s="228">
        <v>0.63</v>
      </c>
      <c r="DZ166" s="229">
        <v>2.1</v>
      </c>
      <c r="EA166" s="229">
        <v>0.89959999999999996</v>
      </c>
      <c r="EB166" s="230">
        <v>10958350</v>
      </c>
      <c r="EC166" s="229">
        <v>5.5999999999999999E-3</v>
      </c>
      <c r="ED166" s="229">
        <v>0.89959999999999996</v>
      </c>
      <c r="EE166" s="228">
        <v>6.48</v>
      </c>
      <c r="EF166" s="229">
        <v>6.0000000000000001E-3</v>
      </c>
      <c r="EG166" s="230">
        <v>406851</v>
      </c>
      <c r="EH166" s="230">
        <v>614563</v>
      </c>
      <c r="EI166" s="229">
        <v>-0.33800000000000002</v>
      </c>
      <c r="EJ166" s="229">
        <v>0.60089999999999999</v>
      </c>
      <c r="EK166" s="228">
        <v>169.9</v>
      </c>
      <c r="EL166" s="228">
        <v>152.88</v>
      </c>
      <c r="EM166" s="228">
        <v>291.68</v>
      </c>
      <c r="EN166" s="228">
        <v>80.14</v>
      </c>
      <c r="EO166" s="228">
        <v>614.46</v>
      </c>
      <c r="EP166" s="231">
        <v>1599.39</v>
      </c>
      <c r="EQ166" s="228">
        <v>-984.93</v>
      </c>
      <c r="ER166" s="229">
        <v>-0.61580000000000001</v>
      </c>
      <c r="ES166" s="228">
        <v>96.37</v>
      </c>
      <c r="ET166" s="228">
        <v>42.6</v>
      </c>
      <c r="EU166" s="231">
        <v>1277.45</v>
      </c>
      <c r="EV166" s="231">
        <v>28118603</v>
      </c>
      <c r="EW166" s="231">
        <v>1416.42</v>
      </c>
      <c r="EX166" s="231">
        <v>1838.2</v>
      </c>
      <c r="EY166" s="228">
        <v>-421.78</v>
      </c>
      <c r="EZ166" s="229">
        <v>-0.22950000000000001</v>
      </c>
      <c r="FA166" s="229">
        <v>0.4577</v>
      </c>
      <c r="FB166" s="227" t="s">
        <v>691</v>
      </c>
      <c r="FC166">
        <f t="shared" si="3"/>
        <v>0</v>
      </c>
    </row>
    <row r="167" spans="1:159" ht="17.25" thickBot="1" x14ac:dyDescent="0.3">
      <c r="A167" s="226">
        <v>46168</v>
      </c>
      <c r="B167" s="227" t="s">
        <v>614</v>
      </c>
      <c r="C167" s="227" t="s">
        <v>572</v>
      </c>
      <c r="D167" s="228">
        <v>350</v>
      </c>
      <c r="E167" s="228">
        <v>0</v>
      </c>
      <c r="F167" s="231">
        <v>1797.9</v>
      </c>
      <c r="G167" s="231">
        <v>1805.7</v>
      </c>
      <c r="H167" s="228">
        <v>-7.8</v>
      </c>
      <c r="I167" s="229">
        <v>-4.3E-3</v>
      </c>
      <c r="J167" s="231">
        <v>1789</v>
      </c>
      <c r="K167" s="231">
        <v>1791.5</v>
      </c>
      <c r="L167" s="228">
        <v>-2.5</v>
      </c>
      <c r="M167" s="229">
        <v>-1.4E-3</v>
      </c>
      <c r="N167" s="231">
        <v>1783.9</v>
      </c>
      <c r="O167" s="231">
        <v>1796.6</v>
      </c>
      <c r="P167" s="228">
        <v>-12.7</v>
      </c>
      <c r="Q167" s="229">
        <v>-7.1000000000000004E-3</v>
      </c>
      <c r="R167" s="231">
        <v>1797.9</v>
      </c>
      <c r="S167" s="231">
        <v>1805.7</v>
      </c>
      <c r="T167" s="228">
        <v>-7.8</v>
      </c>
      <c r="U167" s="229">
        <v>-4.3E-3</v>
      </c>
      <c r="V167" s="231">
        <v>1806</v>
      </c>
      <c r="W167" s="231">
        <v>1805</v>
      </c>
      <c r="X167" s="228">
        <v>1</v>
      </c>
      <c r="Y167" s="229">
        <v>5.9999999999999995E-4</v>
      </c>
      <c r="Z167" s="228">
        <v>8.9</v>
      </c>
      <c r="AA167" s="228">
        <v>5.0999999999999996</v>
      </c>
      <c r="AB167" s="228">
        <v>3.8</v>
      </c>
      <c r="AC167" s="229">
        <v>5.0000000000000001E-3</v>
      </c>
      <c r="AD167" s="228">
        <v>-5.0999999999999996</v>
      </c>
      <c r="AE167" s="228">
        <v>5.0999999999999996</v>
      </c>
      <c r="AF167" s="228">
        <v>-10.199999999999999</v>
      </c>
      <c r="AG167" s="229">
        <v>-2.8999999999999998E-3</v>
      </c>
      <c r="AH167" s="228">
        <v>8.9</v>
      </c>
      <c r="AI167" s="228">
        <v>14.2</v>
      </c>
      <c r="AJ167" s="228">
        <v>-5.3</v>
      </c>
      <c r="AK167" s="229">
        <v>5.0000000000000001E-3</v>
      </c>
      <c r="AL167" s="228">
        <v>17</v>
      </c>
      <c r="AM167" s="228">
        <v>13.5</v>
      </c>
      <c r="AN167" s="228">
        <v>3.5</v>
      </c>
      <c r="AO167" s="229">
        <v>9.4999999999999998E-3</v>
      </c>
      <c r="AP167" s="231">
        <v>1784.88</v>
      </c>
      <c r="AQ167" s="231">
        <v>1797.79</v>
      </c>
      <c r="AR167" s="228">
        <v>0</v>
      </c>
      <c r="AS167" s="228">
        <v>268</v>
      </c>
      <c r="AT167" s="230">
        <v>1266</v>
      </c>
      <c r="AU167" s="228">
        <v>-998</v>
      </c>
      <c r="AV167" s="229">
        <v>-0.78800000000000003</v>
      </c>
      <c r="AW167" s="228">
        <v>120</v>
      </c>
      <c r="AX167" s="228">
        <v>599</v>
      </c>
      <c r="AY167" s="228">
        <v>-479</v>
      </c>
      <c r="AZ167" s="229">
        <v>-0.79900000000000004</v>
      </c>
      <c r="BA167" s="228">
        <v>147</v>
      </c>
      <c r="BB167" s="228">
        <v>667</v>
      </c>
      <c r="BC167" s="228">
        <v>-519</v>
      </c>
      <c r="BD167" s="229">
        <v>-0.77890000000000004</v>
      </c>
      <c r="BE167" s="228">
        <v>1</v>
      </c>
      <c r="BF167" s="228">
        <v>0</v>
      </c>
      <c r="BG167" s="228">
        <v>0</v>
      </c>
      <c r="BH167" s="229">
        <v>0.66669999999999996</v>
      </c>
      <c r="BI167" s="228">
        <v>233</v>
      </c>
      <c r="BJ167" s="228">
        <v>494</v>
      </c>
      <c r="BK167" s="228">
        <v>-260</v>
      </c>
      <c r="BL167" s="229">
        <v>-0.52729999999999999</v>
      </c>
      <c r="BM167" s="228">
        <v>155</v>
      </c>
      <c r="BN167" s="228">
        <v>424</v>
      </c>
      <c r="BO167" s="228">
        <v>-269</v>
      </c>
      <c r="BP167" s="229">
        <v>-0.63539999999999996</v>
      </c>
      <c r="BQ167" s="228">
        <v>656</v>
      </c>
      <c r="BR167" s="230">
        <v>2184</v>
      </c>
      <c r="BS167" s="230">
        <v>-1527</v>
      </c>
      <c r="BT167" s="229">
        <v>-0.69940000000000002</v>
      </c>
      <c r="BU167" s="230">
        <v>824362</v>
      </c>
      <c r="BV167" s="230">
        <v>734939</v>
      </c>
      <c r="BW167" s="230">
        <v>89423</v>
      </c>
      <c r="BX167" s="229">
        <v>0.1217</v>
      </c>
      <c r="BY167" s="230">
        <v>1315</v>
      </c>
      <c r="BZ167" s="230">
        <v>1565</v>
      </c>
      <c r="CA167" s="228">
        <v>-249</v>
      </c>
      <c r="CB167" s="229">
        <v>-0.15939999999999999</v>
      </c>
      <c r="CC167" s="228">
        <v>285</v>
      </c>
      <c r="CD167" s="228">
        <v>284</v>
      </c>
      <c r="CE167" s="228">
        <v>1</v>
      </c>
      <c r="CF167" s="229">
        <v>2.7000000000000001E-3</v>
      </c>
      <c r="CG167" s="230">
        <v>1310</v>
      </c>
      <c r="CH167" s="230">
        <v>1275</v>
      </c>
      <c r="CI167" s="228">
        <v>35</v>
      </c>
      <c r="CJ167" s="229">
        <v>2.7199999999999998E-2</v>
      </c>
      <c r="CK167" s="228">
        <v>5</v>
      </c>
      <c r="CL167" s="228">
        <v>5</v>
      </c>
      <c r="CM167" s="228">
        <v>0</v>
      </c>
      <c r="CN167" s="229">
        <v>2.41E-2</v>
      </c>
      <c r="CO167" s="228">
        <v>127</v>
      </c>
      <c r="CP167" s="228">
        <v>597</v>
      </c>
      <c r="CQ167" s="228">
        <v>-470</v>
      </c>
      <c r="CR167" s="229">
        <v>-0.78759999999999997</v>
      </c>
      <c r="CS167" s="228">
        <v>86</v>
      </c>
      <c r="CT167" s="228">
        <v>400</v>
      </c>
      <c r="CU167" s="228">
        <v>-314</v>
      </c>
      <c r="CV167" s="229">
        <v>-0.78480000000000005</v>
      </c>
      <c r="CW167" s="230">
        <v>1528</v>
      </c>
      <c r="CX167" s="230">
        <v>2562</v>
      </c>
      <c r="CY167" s="230">
        <v>-1034</v>
      </c>
      <c r="CZ167" s="229">
        <v>-0.40350000000000003</v>
      </c>
      <c r="DA167" s="228">
        <v>34.71</v>
      </c>
      <c r="DB167" s="228">
        <v>35.270000000000003</v>
      </c>
      <c r="DC167" s="228">
        <v>-0.56000000000000005</v>
      </c>
      <c r="DD167" s="228">
        <v>-0.56000000000000005</v>
      </c>
      <c r="DE167" s="228">
        <v>44.44</v>
      </c>
      <c r="DF167" s="228">
        <v>44.54</v>
      </c>
      <c r="DG167" s="228">
        <v>-9.73</v>
      </c>
      <c r="DH167" s="228">
        <v>-0.1</v>
      </c>
      <c r="DI167" s="228">
        <v>34.26</v>
      </c>
      <c r="DJ167" s="228">
        <v>34.25</v>
      </c>
      <c r="DK167" s="228">
        <v>0.01</v>
      </c>
      <c r="DL167" s="228">
        <v>0.01</v>
      </c>
      <c r="DM167" s="228">
        <v>35.36</v>
      </c>
      <c r="DN167" s="228">
        <v>37.17</v>
      </c>
      <c r="DO167" s="228">
        <v>-1.81</v>
      </c>
      <c r="DP167" s="228">
        <v>-1.81</v>
      </c>
      <c r="DQ167" s="228">
        <v>0.68</v>
      </c>
      <c r="DR167" s="228">
        <v>0.67</v>
      </c>
      <c r="DS167" s="228">
        <v>0.01</v>
      </c>
      <c r="DT167" s="229">
        <v>1.49E-2</v>
      </c>
      <c r="DU167" s="231">
        <v>1660</v>
      </c>
      <c r="DV167" s="231">
        <v>1740</v>
      </c>
      <c r="DW167" s="228">
        <v>0.66</v>
      </c>
      <c r="DX167" s="228">
        <v>0.86</v>
      </c>
      <c r="DY167" s="228">
        <v>-0.2</v>
      </c>
      <c r="DZ167" s="229">
        <v>-0.2326</v>
      </c>
      <c r="EA167" s="229">
        <v>0.82189999999999996</v>
      </c>
      <c r="EB167" s="230">
        <v>7121450</v>
      </c>
      <c r="EC167" s="229">
        <v>7.7999999999999996E-3</v>
      </c>
      <c r="ED167" s="229">
        <v>0.82189999999999996</v>
      </c>
      <c r="EE167" s="228">
        <v>12.91</v>
      </c>
      <c r="EF167" s="229">
        <v>7.1999999999999998E-3</v>
      </c>
      <c r="EG167" s="230">
        <v>458788</v>
      </c>
      <c r="EH167" s="230">
        <v>284046</v>
      </c>
      <c r="EI167" s="229">
        <v>0.61519999999999997</v>
      </c>
      <c r="EJ167" s="229">
        <v>0.55649999999999999</v>
      </c>
      <c r="EK167" s="228">
        <v>238.21</v>
      </c>
      <c r="EL167" s="228">
        <v>153.80000000000001</v>
      </c>
      <c r="EM167" s="228">
        <v>267.57</v>
      </c>
      <c r="EN167" s="228">
        <v>156.66</v>
      </c>
      <c r="EO167" s="228">
        <v>659.57</v>
      </c>
      <c r="EP167" s="231">
        <v>2191.9699999999998</v>
      </c>
      <c r="EQ167" s="231">
        <v>-1532.4</v>
      </c>
      <c r="ER167" s="229">
        <v>-0.69910000000000005</v>
      </c>
      <c r="ES167" s="228">
        <v>129.31</v>
      </c>
      <c r="ET167" s="228">
        <v>83.65</v>
      </c>
      <c r="EU167" s="231">
        <v>1315.25</v>
      </c>
      <c r="EV167" s="231">
        <v>69300607</v>
      </c>
      <c r="EW167" s="231">
        <v>1528.22</v>
      </c>
      <c r="EX167" s="231">
        <v>2532.4699999999998</v>
      </c>
      <c r="EY167" s="231">
        <v>-1004.25</v>
      </c>
      <c r="EZ167" s="229">
        <v>-0.39650000000000002</v>
      </c>
      <c r="FA167" s="229">
        <v>0.1226</v>
      </c>
      <c r="FB167" s="227" t="s">
        <v>567</v>
      </c>
      <c r="FC167">
        <f t="shared" si="3"/>
        <v>0</v>
      </c>
    </row>
    <row r="168" spans="1:159" ht="17.25" thickBot="1" x14ac:dyDescent="0.3">
      <c r="A168" s="226">
        <v>46168</v>
      </c>
      <c r="B168" s="227" t="s">
        <v>184</v>
      </c>
      <c r="C168" s="227" t="s">
        <v>519</v>
      </c>
      <c r="D168" s="228">
        <v>125</v>
      </c>
      <c r="E168" s="228">
        <v>0</v>
      </c>
      <c r="F168" s="231">
        <v>9617.5</v>
      </c>
      <c r="G168" s="231">
        <v>9449</v>
      </c>
      <c r="H168" s="228">
        <v>168.5</v>
      </c>
      <c r="I168" s="229">
        <v>1.78E-2</v>
      </c>
      <c r="J168" s="231">
        <v>9613.5</v>
      </c>
      <c r="K168" s="231">
        <v>9398.5</v>
      </c>
      <c r="L168" s="228">
        <v>215</v>
      </c>
      <c r="M168" s="229">
        <v>2.29E-2</v>
      </c>
      <c r="N168" s="231">
        <v>9604.5</v>
      </c>
      <c r="O168" s="231">
        <v>9398</v>
      </c>
      <c r="P168" s="228">
        <v>206.5</v>
      </c>
      <c r="Q168" s="229">
        <v>2.1999999999999999E-2</v>
      </c>
      <c r="R168" s="231">
        <v>9617.5</v>
      </c>
      <c r="S168" s="231">
        <v>9449</v>
      </c>
      <c r="T168" s="228">
        <v>168.5</v>
      </c>
      <c r="U168" s="229">
        <v>1.78E-2</v>
      </c>
      <c r="V168" s="231">
        <v>9661.5</v>
      </c>
      <c r="W168" s="231">
        <v>9464</v>
      </c>
      <c r="X168" s="228">
        <v>197.5</v>
      </c>
      <c r="Y168" s="229">
        <v>2.0899999999999998E-2</v>
      </c>
      <c r="Z168" s="228">
        <v>4</v>
      </c>
      <c r="AA168" s="228">
        <v>-0.5</v>
      </c>
      <c r="AB168" s="228">
        <v>4.5</v>
      </c>
      <c r="AC168" s="229">
        <v>4.0000000000000002E-4</v>
      </c>
      <c r="AD168" s="228">
        <v>-9</v>
      </c>
      <c r="AE168" s="228">
        <v>-0.5</v>
      </c>
      <c r="AF168" s="228">
        <v>-8.5</v>
      </c>
      <c r="AG168" s="229">
        <v>-8.9999999999999998E-4</v>
      </c>
      <c r="AH168" s="228">
        <v>4</v>
      </c>
      <c r="AI168" s="228">
        <v>50.5</v>
      </c>
      <c r="AJ168" s="228">
        <v>-46.5</v>
      </c>
      <c r="AK168" s="229">
        <v>4.0000000000000002E-4</v>
      </c>
      <c r="AL168" s="228">
        <v>48</v>
      </c>
      <c r="AM168" s="228">
        <v>65.5</v>
      </c>
      <c r="AN168" s="228">
        <v>-17.5</v>
      </c>
      <c r="AO168" s="229">
        <v>5.0000000000000001E-3</v>
      </c>
      <c r="AP168" s="231">
        <v>9512.23</v>
      </c>
      <c r="AQ168" s="231">
        <v>9544.74</v>
      </c>
      <c r="AR168" s="228">
        <v>0</v>
      </c>
      <c r="AS168" s="230">
        <v>1645</v>
      </c>
      <c r="AT168" s="230">
        <v>1186</v>
      </c>
      <c r="AU168" s="228">
        <v>459</v>
      </c>
      <c r="AV168" s="229">
        <v>0.38719999999999999</v>
      </c>
      <c r="AW168" s="228">
        <v>774</v>
      </c>
      <c r="AX168" s="228">
        <v>586</v>
      </c>
      <c r="AY168" s="228">
        <v>188</v>
      </c>
      <c r="AZ168" s="229">
        <v>0.32150000000000001</v>
      </c>
      <c r="BA168" s="228">
        <v>812</v>
      </c>
      <c r="BB168" s="228">
        <v>586</v>
      </c>
      <c r="BC168" s="228">
        <v>226</v>
      </c>
      <c r="BD168" s="229">
        <v>0.38590000000000002</v>
      </c>
      <c r="BE168" s="228">
        <v>60</v>
      </c>
      <c r="BF168" s="228">
        <v>15</v>
      </c>
      <c r="BG168" s="228">
        <v>45</v>
      </c>
      <c r="BH168" s="229">
        <v>3.0407000000000002</v>
      </c>
      <c r="BI168" s="230">
        <v>3575</v>
      </c>
      <c r="BJ168" s="230">
        <v>5158</v>
      </c>
      <c r="BK168" s="230">
        <v>-1583</v>
      </c>
      <c r="BL168" s="229">
        <v>-0.30680000000000002</v>
      </c>
      <c r="BM168" s="230">
        <v>2040</v>
      </c>
      <c r="BN168" s="230">
        <v>3136</v>
      </c>
      <c r="BO168" s="230">
        <v>-1095</v>
      </c>
      <c r="BP168" s="229">
        <v>-0.3493</v>
      </c>
      <c r="BQ168" s="230">
        <v>7261</v>
      </c>
      <c r="BR168" s="230">
        <v>9480</v>
      </c>
      <c r="BS168" s="230">
        <v>-2219</v>
      </c>
      <c r="BT168" s="229">
        <v>-0.2341</v>
      </c>
      <c r="BU168" s="230">
        <v>440862</v>
      </c>
      <c r="BV168" s="230">
        <v>260755</v>
      </c>
      <c r="BW168" s="230">
        <v>180107</v>
      </c>
      <c r="BX168" s="229">
        <v>0.69069999999999998</v>
      </c>
      <c r="BY168" s="230">
        <v>1799</v>
      </c>
      <c r="BZ168" s="230">
        <v>2110</v>
      </c>
      <c r="CA168" s="228">
        <v>-311</v>
      </c>
      <c r="CB168" s="229">
        <v>-0.1474</v>
      </c>
      <c r="CC168" s="228">
        <v>319</v>
      </c>
      <c r="CD168" s="228">
        <v>676</v>
      </c>
      <c r="CE168" s="228">
        <v>-356</v>
      </c>
      <c r="CF168" s="229">
        <v>-0.52759999999999996</v>
      </c>
      <c r="CG168" s="230">
        <v>1709</v>
      </c>
      <c r="CH168" s="230">
        <v>1391</v>
      </c>
      <c r="CI168" s="228">
        <v>318</v>
      </c>
      <c r="CJ168" s="229">
        <v>0.22839999999999999</v>
      </c>
      <c r="CK168" s="228">
        <v>89</v>
      </c>
      <c r="CL168" s="228">
        <v>43</v>
      </c>
      <c r="CM168" s="228">
        <v>47</v>
      </c>
      <c r="CN168" s="229">
        <v>1.1016999999999999</v>
      </c>
      <c r="CO168" s="228">
        <v>443</v>
      </c>
      <c r="CP168" s="230">
        <v>1659</v>
      </c>
      <c r="CQ168" s="230">
        <v>-1216</v>
      </c>
      <c r="CR168" s="229">
        <v>-0.73309999999999997</v>
      </c>
      <c r="CS168" s="228">
        <v>497</v>
      </c>
      <c r="CT168" s="230">
        <v>1358</v>
      </c>
      <c r="CU168" s="228">
        <v>-861</v>
      </c>
      <c r="CV168" s="229">
        <v>-0.63400000000000001</v>
      </c>
      <c r="CW168" s="230">
        <v>2739</v>
      </c>
      <c r="CX168" s="230">
        <v>5127</v>
      </c>
      <c r="CY168" s="230">
        <v>-2389</v>
      </c>
      <c r="CZ168" s="229">
        <v>-0.46589999999999998</v>
      </c>
      <c r="DA168" s="228">
        <v>25.07</v>
      </c>
      <c r="DB168" s="228">
        <v>26.27</v>
      </c>
      <c r="DC168" s="228">
        <v>-1.2</v>
      </c>
      <c r="DD168" s="228">
        <v>-1.2</v>
      </c>
      <c r="DE168" s="228">
        <v>41.19</v>
      </c>
      <c r="DF168" s="228">
        <v>41.18</v>
      </c>
      <c r="DG168" s="228">
        <v>-16.12</v>
      </c>
      <c r="DH168" s="228">
        <v>0.01</v>
      </c>
      <c r="DI168" s="228">
        <v>24.15</v>
      </c>
      <c r="DJ168" s="228">
        <v>25.54</v>
      </c>
      <c r="DK168" s="228">
        <v>-1.39</v>
      </c>
      <c r="DL168" s="228">
        <v>-1.39</v>
      </c>
      <c r="DM168" s="228">
        <v>26.35</v>
      </c>
      <c r="DN168" s="228">
        <v>27.82</v>
      </c>
      <c r="DO168" s="228">
        <v>-1.47</v>
      </c>
      <c r="DP168" s="228">
        <v>-1.47</v>
      </c>
      <c r="DQ168" s="228">
        <v>1.1200000000000001</v>
      </c>
      <c r="DR168" s="228">
        <v>0.82</v>
      </c>
      <c r="DS168" s="228">
        <v>0.3</v>
      </c>
      <c r="DT168" s="229">
        <v>0.3659</v>
      </c>
      <c r="DU168" s="231">
        <v>10000</v>
      </c>
      <c r="DV168" s="231">
        <v>9000</v>
      </c>
      <c r="DW168" s="228">
        <v>0.56999999999999995</v>
      </c>
      <c r="DX168" s="228">
        <v>0.61</v>
      </c>
      <c r="DY168" s="228">
        <v>-0.04</v>
      </c>
      <c r="DZ168" s="229">
        <v>-6.5600000000000006E-2</v>
      </c>
      <c r="EA168" s="229">
        <v>0.84930000000000005</v>
      </c>
      <c r="EB168" s="230">
        <v>1491000</v>
      </c>
      <c r="EC168" s="229">
        <v>1.4E-3</v>
      </c>
      <c r="ED168" s="229">
        <v>0.84930000000000005</v>
      </c>
      <c r="EE168" s="228">
        <v>32.51</v>
      </c>
      <c r="EF168" s="229">
        <v>3.3999999999999998E-3</v>
      </c>
      <c r="EG168" s="230">
        <v>198231</v>
      </c>
      <c r="EH168" s="230">
        <v>117820</v>
      </c>
      <c r="EI168" s="229">
        <v>0.6825</v>
      </c>
      <c r="EJ168" s="229">
        <v>0.4496</v>
      </c>
      <c r="EK168" s="231">
        <v>3594.06</v>
      </c>
      <c r="EL168" s="231">
        <v>1933.44</v>
      </c>
      <c r="EM168" s="231">
        <v>1630.55</v>
      </c>
      <c r="EN168" s="228">
        <v>72.8</v>
      </c>
      <c r="EO168" s="231">
        <v>7158.05</v>
      </c>
      <c r="EP168" s="231">
        <v>9137.81</v>
      </c>
      <c r="EQ168" s="231">
        <v>-1979.76</v>
      </c>
      <c r="ER168" s="229">
        <v>-0.2167</v>
      </c>
      <c r="ES168" s="228">
        <v>439.85</v>
      </c>
      <c r="ET168" s="228">
        <v>466.16</v>
      </c>
      <c r="EU168" s="231">
        <v>1799</v>
      </c>
      <c r="EV168" s="231">
        <v>8693344</v>
      </c>
      <c r="EW168" s="231">
        <v>2705.01</v>
      </c>
      <c r="EX168" s="231">
        <v>4850.72</v>
      </c>
      <c r="EY168" s="231">
        <v>-2145.71</v>
      </c>
      <c r="EZ168" s="229">
        <v>-0.44230000000000003</v>
      </c>
      <c r="FA168" s="229">
        <v>0.32750000000000001</v>
      </c>
      <c r="FB168" s="227" t="s">
        <v>691</v>
      </c>
      <c r="FC168">
        <f t="shared" si="3"/>
        <v>0</v>
      </c>
    </row>
    <row r="169" spans="1:159" ht="17.25" thickBot="1" x14ac:dyDescent="0.3">
      <c r="A169" s="226">
        <v>46168</v>
      </c>
      <c r="B169" s="227" t="s">
        <v>161</v>
      </c>
      <c r="C169" s="227" t="s">
        <v>276</v>
      </c>
      <c r="D169" s="228">
        <v>1900</v>
      </c>
      <c r="E169" s="228">
        <v>0</v>
      </c>
      <c r="F169" s="228">
        <v>294.7</v>
      </c>
      <c r="G169" s="228">
        <v>297.2</v>
      </c>
      <c r="H169" s="228">
        <v>-2.5</v>
      </c>
      <c r="I169" s="229">
        <v>-8.3999999999999995E-3</v>
      </c>
      <c r="J169" s="228">
        <v>292.55</v>
      </c>
      <c r="K169" s="228">
        <v>295.35000000000002</v>
      </c>
      <c r="L169" s="228">
        <v>-2.8</v>
      </c>
      <c r="M169" s="229">
        <v>-9.4999999999999998E-3</v>
      </c>
      <c r="N169" s="228">
        <v>292.64999999999998</v>
      </c>
      <c r="O169" s="228">
        <v>295.39999999999998</v>
      </c>
      <c r="P169" s="228">
        <v>-2.75</v>
      </c>
      <c r="Q169" s="229">
        <v>-9.2999999999999992E-3</v>
      </c>
      <c r="R169" s="228">
        <v>294.7</v>
      </c>
      <c r="S169" s="228">
        <v>297.2</v>
      </c>
      <c r="T169" s="228">
        <v>-2.5</v>
      </c>
      <c r="U169" s="229">
        <v>-8.3999999999999995E-3</v>
      </c>
      <c r="V169" s="228">
        <v>296.5</v>
      </c>
      <c r="W169" s="228">
        <v>298.95</v>
      </c>
      <c r="X169" s="228">
        <v>-2.4500000000000002</v>
      </c>
      <c r="Y169" s="229">
        <v>-8.2000000000000007E-3</v>
      </c>
      <c r="Z169" s="228">
        <v>2.15</v>
      </c>
      <c r="AA169" s="228">
        <v>0.05</v>
      </c>
      <c r="AB169" s="228">
        <v>2.1</v>
      </c>
      <c r="AC169" s="229">
        <v>7.3000000000000001E-3</v>
      </c>
      <c r="AD169" s="228">
        <v>0.1</v>
      </c>
      <c r="AE169" s="228">
        <v>0.05</v>
      </c>
      <c r="AF169" s="228">
        <v>0.05</v>
      </c>
      <c r="AG169" s="229">
        <v>2.9999999999999997E-4</v>
      </c>
      <c r="AH169" s="228">
        <v>2.15</v>
      </c>
      <c r="AI169" s="228">
        <v>1.85</v>
      </c>
      <c r="AJ169" s="228">
        <v>0.3</v>
      </c>
      <c r="AK169" s="229">
        <v>7.3000000000000001E-3</v>
      </c>
      <c r="AL169" s="228">
        <v>3.95</v>
      </c>
      <c r="AM169" s="228">
        <v>3.6</v>
      </c>
      <c r="AN169" s="228">
        <v>0.35</v>
      </c>
      <c r="AO169" s="229">
        <v>1.35E-2</v>
      </c>
      <c r="AP169" s="228">
        <v>294.04000000000002</v>
      </c>
      <c r="AQ169" s="228">
        <v>295.88</v>
      </c>
      <c r="AR169" s="228">
        <v>0</v>
      </c>
      <c r="AS169" s="228">
        <v>543</v>
      </c>
      <c r="AT169" s="228">
        <v>770</v>
      </c>
      <c r="AU169" s="228">
        <v>-226</v>
      </c>
      <c r="AV169" s="229">
        <v>-0.29420000000000002</v>
      </c>
      <c r="AW169" s="228">
        <v>183</v>
      </c>
      <c r="AX169" s="228">
        <v>354</v>
      </c>
      <c r="AY169" s="228">
        <v>-171</v>
      </c>
      <c r="AZ169" s="229">
        <v>-0.48409999999999997</v>
      </c>
      <c r="BA169" s="228">
        <v>351</v>
      </c>
      <c r="BB169" s="228">
        <v>411</v>
      </c>
      <c r="BC169" s="228">
        <v>-60</v>
      </c>
      <c r="BD169" s="229">
        <v>-0.14680000000000001</v>
      </c>
      <c r="BE169" s="228">
        <v>10</v>
      </c>
      <c r="BF169" s="228">
        <v>5</v>
      </c>
      <c r="BG169" s="228">
        <v>5</v>
      </c>
      <c r="BH169" s="229">
        <v>1.1463000000000001</v>
      </c>
      <c r="BI169" s="228">
        <v>449</v>
      </c>
      <c r="BJ169" s="228">
        <v>655</v>
      </c>
      <c r="BK169" s="228">
        <v>-206</v>
      </c>
      <c r="BL169" s="229">
        <v>-0.3145</v>
      </c>
      <c r="BM169" s="228">
        <v>281</v>
      </c>
      <c r="BN169" s="228">
        <v>442</v>
      </c>
      <c r="BO169" s="228">
        <v>-161</v>
      </c>
      <c r="BP169" s="229">
        <v>-0.36370000000000002</v>
      </c>
      <c r="BQ169" s="230">
        <v>1274</v>
      </c>
      <c r="BR169" s="230">
        <v>1867</v>
      </c>
      <c r="BS169" s="228">
        <v>-593</v>
      </c>
      <c r="BT169" s="229">
        <v>-0.31780000000000003</v>
      </c>
      <c r="BU169" s="230">
        <v>5722272</v>
      </c>
      <c r="BV169" s="230">
        <v>6155944</v>
      </c>
      <c r="BW169" s="230">
        <v>-433672</v>
      </c>
      <c r="BX169" s="229">
        <v>-7.0400000000000004E-2</v>
      </c>
      <c r="BY169" s="230">
        <v>2530</v>
      </c>
      <c r="BZ169" s="230">
        <v>2553</v>
      </c>
      <c r="CA169" s="228">
        <v>-23</v>
      </c>
      <c r="CB169" s="229">
        <v>-9.1999999999999998E-3</v>
      </c>
      <c r="CC169" s="228">
        <v>83</v>
      </c>
      <c r="CD169" s="228">
        <v>178</v>
      </c>
      <c r="CE169" s="228">
        <v>-95</v>
      </c>
      <c r="CF169" s="229">
        <v>-0.53300000000000003</v>
      </c>
      <c r="CG169" s="230">
        <v>2225</v>
      </c>
      <c r="CH169" s="230">
        <v>2078</v>
      </c>
      <c r="CI169" s="228">
        <v>147</v>
      </c>
      <c r="CJ169" s="229">
        <v>7.0699999999999999E-2</v>
      </c>
      <c r="CK169" s="228">
        <v>305</v>
      </c>
      <c r="CL169" s="228">
        <v>298</v>
      </c>
      <c r="CM169" s="228">
        <v>8</v>
      </c>
      <c r="CN169" s="229">
        <v>2.52E-2</v>
      </c>
      <c r="CO169" s="228">
        <v>258</v>
      </c>
      <c r="CP169" s="230">
        <v>1066</v>
      </c>
      <c r="CQ169" s="228">
        <v>-808</v>
      </c>
      <c r="CR169" s="229">
        <v>-0.75770000000000004</v>
      </c>
      <c r="CS169" s="228">
        <v>299</v>
      </c>
      <c r="CT169" s="228">
        <v>533</v>
      </c>
      <c r="CU169" s="228">
        <v>-234</v>
      </c>
      <c r="CV169" s="229">
        <v>-0.43890000000000001</v>
      </c>
      <c r="CW169" s="230">
        <v>3087</v>
      </c>
      <c r="CX169" s="230">
        <v>4153</v>
      </c>
      <c r="CY169" s="230">
        <v>-1065</v>
      </c>
      <c r="CZ169" s="229">
        <v>-0.25650000000000001</v>
      </c>
      <c r="DA169" s="228">
        <v>20.61</v>
      </c>
      <c r="DB169" s="228">
        <v>20.7</v>
      </c>
      <c r="DC169" s="228">
        <v>-0.09</v>
      </c>
      <c r="DD169" s="228">
        <v>-0.09</v>
      </c>
      <c r="DE169" s="228">
        <v>28.08</v>
      </c>
      <c r="DF169" s="228">
        <v>28.12</v>
      </c>
      <c r="DG169" s="228">
        <v>-7.47</v>
      </c>
      <c r="DH169" s="228">
        <v>-0.04</v>
      </c>
      <c r="DI169" s="228">
        <v>20.91</v>
      </c>
      <c r="DJ169" s="228">
        <v>20.92</v>
      </c>
      <c r="DK169" s="228">
        <v>-0.01</v>
      </c>
      <c r="DL169" s="228">
        <v>-0.01</v>
      </c>
      <c r="DM169" s="228">
        <v>20.2</v>
      </c>
      <c r="DN169" s="228">
        <v>20.51</v>
      </c>
      <c r="DO169" s="228">
        <v>-0.31</v>
      </c>
      <c r="DP169" s="228">
        <v>-0.31</v>
      </c>
      <c r="DQ169" s="228">
        <v>1.1599999999999999</v>
      </c>
      <c r="DR169" s="228">
        <v>0.5</v>
      </c>
      <c r="DS169" s="228">
        <v>0.66</v>
      </c>
      <c r="DT169" s="229">
        <v>1.32</v>
      </c>
      <c r="DU169" s="228">
        <v>320</v>
      </c>
      <c r="DV169" s="228">
        <v>300</v>
      </c>
      <c r="DW169" s="228">
        <v>0.63</v>
      </c>
      <c r="DX169" s="228">
        <v>0.68</v>
      </c>
      <c r="DY169" s="228">
        <v>-0.05</v>
      </c>
      <c r="DZ169" s="229">
        <v>-7.3499999999999996E-2</v>
      </c>
      <c r="EA169" s="229">
        <v>0.96819999999999995</v>
      </c>
      <c r="EB169" s="230">
        <v>80601800</v>
      </c>
      <c r="EC169" s="229">
        <v>7.0000000000000001E-3</v>
      </c>
      <c r="ED169" s="229">
        <v>0.96819999999999995</v>
      </c>
      <c r="EE169" s="228">
        <v>1.84</v>
      </c>
      <c r="EF169" s="229">
        <v>6.3E-3</v>
      </c>
      <c r="EG169" s="230">
        <v>3381030</v>
      </c>
      <c r="EH169" s="230">
        <v>4174210</v>
      </c>
      <c r="EI169" s="229">
        <v>-0.19</v>
      </c>
      <c r="EJ169" s="229">
        <v>0.59089999999999998</v>
      </c>
      <c r="EK169" s="228">
        <v>463.41</v>
      </c>
      <c r="EL169" s="228">
        <v>286.83</v>
      </c>
      <c r="EM169" s="228">
        <v>544.24</v>
      </c>
      <c r="EN169" s="228">
        <v>160.03</v>
      </c>
      <c r="EO169" s="231">
        <v>1294.48</v>
      </c>
      <c r="EP169" s="231">
        <v>1894.75</v>
      </c>
      <c r="EQ169" s="228">
        <v>-600.28</v>
      </c>
      <c r="ER169" s="229">
        <v>-0.31680000000000003</v>
      </c>
      <c r="ES169" s="228">
        <v>270.60000000000002</v>
      </c>
      <c r="ET169" s="228">
        <v>296.94</v>
      </c>
      <c r="EU169" s="231">
        <v>2531.6799999999998</v>
      </c>
      <c r="EV169" s="231">
        <v>660840864</v>
      </c>
      <c r="EW169" s="231">
        <v>3099.23</v>
      </c>
      <c r="EX169" s="231">
        <v>4264.22</v>
      </c>
      <c r="EY169" s="231">
        <v>-1164.99</v>
      </c>
      <c r="EZ169" s="229">
        <v>-0.2732</v>
      </c>
      <c r="FA169" s="229">
        <v>0.1585</v>
      </c>
      <c r="FB169" s="227" t="s">
        <v>567</v>
      </c>
      <c r="FC169">
        <f t="shared" si="3"/>
        <v>0</v>
      </c>
    </row>
    <row r="170" spans="1:159" ht="17.25" thickBot="1" x14ac:dyDescent="0.3">
      <c r="A170" s="226">
        <v>46168</v>
      </c>
      <c r="B170" s="227" t="s">
        <v>184</v>
      </c>
      <c r="C170" s="227" t="s">
        <v>683</v>
      </c>
      <c r="D170" s="228">
        <v>25</v>
      </c>
      <c r="E170" s="228">
        <v>0</v>
      </c>
      <c r="F170" s="231">
        <v>36250</v>
      </c>
      <c r="G170" s="231">
        <v>35930</v>
      </c>
      <c r="H170" s="228">
        <v>320</v>
      </c>
      <c r="I170" s="229">
        <v>8.8999999999999999E-3</v>
      </c>
      <c r="J170" s="231">
        <v>35995</v>
      </c>
      <c r="K170" s="231">
        <v>35635</v>
      </c>
      <c r="L170" s="228">
        <v>360</v>
      </c>
      <c r="M170" s="229">
        <v>1.01E-2</v>
      </c>
      <c r="N170" s="231">
        <v>36070</v>
      </c>
      <c r="O170" s="231">
        <v>35630</v>
      </c>
      <c r="P170" s="228">
        <v>440</v>
      </c>
      <c r="Q170" s="229">
        <v>1.23E-2</v>
      </c>
      <c r="R170" s="231">
        <v>36250</v>
      </c>
      <c r="S170" s="231">
        <v>35930</v>
      </c>
      <c r="T170" s="228">
        <v>320</v>
      </c>
      <c r="U170" s="229">
        <v>8.8999999999999999E-3</v>
      </c>
      <c r="V170" s="231">
        <v>36440</v>
      </c>
      <c r="W170" s="231">
        <v>36080</v>
      </c>
      <c r="X170" s="228">
        <v>360</v>
      </c>
      <c r="Y170" s="229">
        <v>0.01</v>
      </c>
      <c r="Z170" s="228">
        <v>255</v>
      </c>
      <c r="AA170" s="228">
        <v>-5</v>
      </c>
      <c r="AB170" s="228">
        <v>260</v>
      </c>
      <c r="AC170" s="229">
        <v>7.1000000000000004E-3</v>
      </c>
      <c r="AD170" s="228">
        <v>75</v>
      </c>
      <c r="AE170" s="228">
        <v>-5</v>
      </c>
      <c r="AF170" s="228">
        <v>80</v>
      </c>
      <c r="AG170" s="229">
        <v>2.0999999999999999E-3</v>
      </c>
      <c r="AH170" s="228">
        <v>255</v>
      </c>
      <c r="AI170" s="228">
        <v>295</v>
      </c>
      <c r="AJ170" s="228">
        <v>-40</v>
      </c>
      <c r="AK170" s="229">
        <v>7.1000000000000004E-3</v>
      </c>
      <c r="AL170" s="228">
        <v>445</v>
      </c>
      <c r="AM170" s="228">
        <v>445</v>
      </c>
      <c r="AN170" s="228">
        <v>0</v>
      </c>
      <c r="AO170" s="229">
        <v>1.24E-2</v>
      </c>
      <c r="AP170" s="231">
        <v>35372.74</v>
      </c>
      <c r="AQ170" s="231">
        <v>35493.35</v>
      </c>
      <c r="AR170" s="228">
        <v>0</v>
      </c>
      <c r="AS170" s="230">
        <v>2077</v>
      </c>
      <c r="AT170" s="230">
        <v>1123</v>
      </c>
      <c r="AU170" s="228">
        <v>955</v>
      </c>
      <c r="AV170" s="229">
        <v>0.85029999999999994</v>
      </c>
      <c r="AW170" s="228">
        <v>556</v>
      </c>
      <c r="AX170" s="228">
        <v>503</v>
      </c>
      <c r="AY170" s="228">
        <v>53</v>
      </c>
      <c r="AZ170" s="229">
        <v>0.1053</v>
      </c>
      <c r="BA170" s="230">
        <v>1473</v>
      </c>
      <c r="BB170" s="228">
        <v>610</v>
      </c>
      <c r="BC170" s="228">
        <v>863</v>
      </c>
      <c r="BD170" s="229">
        <v>1.4141999999999999</v>
      </c>
      <c r="BE170" s="228">
        <v>48</v>
      </c>
      <c r="BF170" s="228">
        <v>10</v>
      </c>
      <c r="BG170" s="228">
        <v>39</v>
      </c>
      <c r="BH170" s="229">
        <v>4</v>
      </c>
      <c r="BI170" s="230">
        <v>18037</v>
      </c>
      <c r="BJ170" s="230">
        <v>3278</v>
      </c>
      <c r="BK170" s="230">
        <v>14760</v>
      </c>
      <c r="BL170" s="229">
        <v>4.5031999999999996</v>
      </c>
      <c r="BM170" s="230">
        <v>7533</v>
      </c>
      <c r="BN170" s="230">
        <v>2100</v>
      </c>
      <c r="BO170" s="230">
        <v>5433</v>
      </c>
      <c r="BP170" s="229">
        <v>2.5872999999999999</v>
      </c>
      <c r="BQ170" s="230">
        <v>27647</v>
      </c>
      <c r="BR170" s="230">
        <v>6500</v>
      </c>
      <c r="BS170" s="230">
        <v>21147</v>
      </c>
      <c r="BT170" s="229">
        <v>3.2534000000000001</v>
      </c>
      <c r="BU170" s="230">
        <v>593977</v>
      </c>
      <c r="BV170" s="230">
        <v>148924</v>
      </c>
      <c r="BW170" s="230">
        <v>445053</v>
      </c>
      <c r="BX170" s="229">
        <v>2.9885000000000002</v>
      </c>
      <c r="BY170" s="230">
        <v>1600</v>
      </c>
      <c r="BZ170" s="230">
        <v>1731</v>
      </c>
      <c r="CA170" s="228">
        <v>-131</v>
      </c>
      <c r="CB170" s="229">
        <v>-7.5499999999999998E-2</v>
      </c>
      <c r="CC170" s="228">
        <v>85</v>
      </c>
      <c r="CD170" s="228">
        <v>206</v>
      </c>
      <c r="CE170" s="228">
        <v>-121</v>
      </c>
      <c r="CF170" s="229">
        <v>-0.58620000000000005</v>
      </c>
      <c r="CG170" s="230">
        <v>1573</v>
      </c>
      <c r="CH170" s="230">
        <v>1509</v>
      </c>
      <c r="CI170" s="228">
        <v>64</v>
      </c>
      <c r="CJ170" s="229">
        <v>4.2299999999999997E-2</v>
      </c>
      <c r="CK170" s="228">
        <v>27</v>
      </c>
      <c r="CL170" s="228">
        <v>15</v>
      </c>
      <c r="CM170" s="228">
        <v>12</v>
      </c>
      <c r="CN170" s="229">
        <v>0.75290000000000001</v>
      </c>
      <c r="CO170" s="228">
        <v>786</v>
      </c>
      <c r="CP170" s="230">
        <v>1371</v>
      </c>
      <c r="CQ170" s="228">
        <v>-585</v>
      </c>
      <c r="CR170" s="229">
        <v>-0.42680000000000001</v>
      </c>
      <c r="CS170" s="228">
        <v>598</v>
      </c>
      <c r="CT170" s="230">
        <v>1272</v>
      </c>
      <c r="CU170" s="228">
        <v>-675</v>
      </c>
      <c r="CV170" s="229">
        <v>-0.5302</v>
      </c>
      <c r="CW170" s="230">
        <v>2983</v>
      </c>
      <c r="CX170" s="230">
        <v>4374</v>
      </c>
      <c r="CY170" s="230">
        <v>-1390</v>
      </c>
      <c r="CZ170" s="229">
        <v>-0.31790000000000002</v>
      </c>
      <c r="DA170" s="228">
        <v>38.67</v>
      </c>
      <c r="DB170" s="228">
        <v>52.95</v>
      </c>
      <c r="DC170" s="228">
        <v>-14.28</v>
      </c>
      <c r="DD170" s="228">
        <v>-14.28</v>
      </c>
      <c r="DE170" s="228">
        <v>56.24</v>
      </c>
      <c r="DF170" s="228">
        <v>56.36</v>
      </c>
      <c r="DG170" s="228">
        <v>-17.57</v>
      </c>
      <c r="DH170" s="228">
        <v>-0.12</v>
      </c>
      <c r="DI170" s="228">
        <v>38.44</v>
      </c>
      <c r="DJ170" s="228">
        <v>52.43</v>
      </c>
      <c r="DK170" s="228">
        <v>-13.99</v>
      </c>
      <c r="DL170" s="228">
        <v>-13.99</v>
      </c>
      <c r="DM170" s="228">
        <v>39.090000000000003</v>
      </c>
      <c r="DN170" s="228">
        <v>53.71</v>
      </c>
      <c r="DO170" s="228">
        <v>-14.62</v>
      </c>
      <c r="DP170" s="228">
        <v>-14.62</v>
      </c>
      <c r="DQ170" s="228">
        <v>0.76</v>
      </c>
      <c r="DR170" s="228">
        <v>0.93</v>
      </c>
      <c r="DS170" s="228">
        <v>-0.17</v>
      </c>
      <c r="DT170" s="229">
        <v>-0.18279999999999999</v>
      </c>
      <c r="DU170" s="231">
        <v>40000</v>
      </c>
      <c r="DV170" s="231">
        <v>30000</v>
      </c>
      <c r="DW170" s="228">
        <v>0.42</v>
      </c>
      <c r="DX170" s="228">
        <v>0.64</v>
      </c>
      <c r="DY170" s="228">
        <v>-0.22</v>
      </c>
      <c r="DZ170" s="229">
        <v>-0.34379999999999999</v>
      </c>
      <c r="EA170" s="229">
        <v>0.94940000000000002</v>
      </c>
      <c r="EB170" s="230">
        <v>420550</v>
      </c>
      <c r="EC170" s="229">
        <v>5.0000000000000001E-3</v>
      </c>
      <c r="ED170" s="229">
        <v>0.94940000000000002</v>
      </c>
      <c r="EE170" s="228">
        <v>120.61</v>
      </c>
      <c r="EF170" s="229">
        <v>3.3999999999999998E-3</v>
      </c>
      <c r="EG170" s="230">
        <v>116292</v>
      </c>
      <c r="EH170" s="230">
        <v>52029</v>
      </c>
      <c r="EI170" s="229">
        <v>1.2351000000000001</v>
      </c>
      <c r="EJ170" s="229">
        <v>0.1958</v>
      </c>
      <c r="EK170" s="231">
        <v>18628.47</v>
      </c>
      <c r="EL170" s="231">
        <v>7001.81</v>
      </c>
      <c r="EM170" s="231">
        <v>2032.4</v>
      </c>
      <c r="EN170" s="228">
        <v>112.78</v>
      </c>
      <c r="EO170" s="231">
        <v>27662.68</v>
      </c>
      <c r="EP170" s="231">
        <v>6456.96</v>
      </c>
      <c r="EQ170" s="231">
        <v>21205.72</v>
      </c>
      <c r="ER170" s="229">
        <v>3.2841999999999998</v>
      </c>
      <c r="ES170" s="228">
        <v>803.48</v>
      </c>
      <c r="ET170" s="228">
        <v>542.45000000000005</v>
      </c>
      <c r="EU170" s="231">
        <v>1600.13</v>
      </c>
      <c r="EV170" s="231">
        <v>1917916</v>
      </c>
      <c r="EW170" s="231">
        <v>2946.06</v>
      </c>
      <c r="EX170" s="231">
        <v>4226.78</v>
      </c>
      <c r="EY170" s="231">
        <v>-1280.72</v>
      </c>
      <c r="EZ170" s="229">
        <v>-0.30299999999999999</v>
      </c>
      <c r="FA170" s="229">
        <v>0.42909999999999998</v>
      </c>
      <c r="FB170" s="227" t="s">
        <v>691</v>
      </c>
      <c r="FC170">
        <f t="shared" si="3"/>
        <v>0</v>
      </c>
    </row>
    <row r="171" spans="1:159" ht="17.25" thickBot="1" x14ac:dyDescent="0.3">
      <c r="A171" s="226">
        <v>46168</v>
      </c>
      <c r="B171" s="227" t="s">
        <v>184</v>
      </c>
      <c r="C171" s="227" t="s">
        <v>686</v>
      </c>
      <c r="D171" s="228">
        <v>575</v>
      </c>
      <c r="E171" s="228">
        <v>0</v>
      </c>
      <c r="F171" s="231">
        <v>1024.8</v>
      </c>
      <c r="G171" s="228">
        <v>990.7</v>
      </c>
      <c r="H171" s="228">
        <v>34.1</v>
      </c>
      <c r="I171" s="229">
        <v>3.44E-2</v>
      </c>
      <c r="J171" s="231">
        <v>1016.8</v>
      </c>
      <c r="K171" s="228">
        <v>985</v>
      </c>
      <c r="L171" s="228">
        <v>31.8</v>
      </c>
      <c r="M171" s="229">
        <v>3.2300000000000002E-2</v>
      </c>
      <c r="N171" s="231">
        <v>1016.3</v>
      </c>
      <c r="O171" s="228">
        <v>984.8</v>
      </c>
      <c r="P171" s="228">
        <v>31.5</v>
      </c>
      <c r="Q171" s="229">
        <v>3.2000000000000001E-2</v>
      </c>
      <c r="R171" s="231">
        <v>1024.8</v>
      </c>
      <c r="S171" s="228">
        <v>990.7</v>
      </c>
      <c r="T171" s="228">
        <v>34.1</v>
      </c>
      <c r="U171" s="229">
        <v>3.44E-2</v>
      </c>
      <c r="V171" s="231">
        <v>1023.8</v>
      </c>
      <c r="W171" s="228">
        <v>990.3</v>
      </c>
      <c r="X171" s="228">
        <v>33.5</v>
      </c>
      <c r="Y171" s="229">
        <v>3.3799999999999997E-2</v>
      </c>
      <c r="Z171" s="228">
        <v>8</v>
      </c>
      <c r="AA171" s="228">
        <v>-0.2</v>
      </c>
      <c r="AB171" s="228">
        <v>8.1999999999999993</v>
      </c>
      <c r="AC171" s="229">
        <v>7.9000000000000008E-3</v>
      </c>
      <c r="AD171" s="228">
        <v>-0.5</v>
      </c>
      <c r="AE171" s="228">
        <v>-0.2</v>
      </c>
      <c r="AF171" s="228">
        <v>-0.3</v>
      </c>
      <c r="AG171" s="229">
        <v>-5.0000000000000001E-4</v>
      </c>
      <c r="AH171" s="228">
        <v>8</v>
      </c>
      <c r="AI171" s="228">
        <v>5.7</v>
      </c>
      <c r="AJ171" s="228">
        <v>2.2999999999999998</v>
      </c>
      <c r="AK171" s="229">
        <v>7.9000000000000008E-3</v>
      </c>
      <c r="AL171" s="228">
        <v>7</v>
      </c>
      <c r="AM171" s="228">
        <v>5.3</v>
      </c>
      <c r="AN171" s="228">
        <v>1.7</v>
      </c>
      <c r="AO171" s="229">
        <v>6.8999999999999999E-3</v>
      </c>
      <c r="AP171" s="231">
        <v>1014.26</v>
      </c>
      <c r="AQ171" s="231">
        <v>1020.72</v>
      </c>
      <c r="AR171" s="228">
        <v>0</v>
      </c>
      <c r="AS171" s="230">
        <v>1048</v>
      </c>
      <c r="AT171" s="230">
        <v>1465</v>
      </c>
      <c r="AU171" s="228">
        <v>-418</v>
      </c>
      <c r="AV171" s="229">
        <v>-0.28510000000000002</v>
      </c>
      <c r="AW171" s="228">
        <v>342</v>
      </c>
      <c r="AX171" s="228">
        <v>592</v>
      </c>
      <c r="AY171" s="228">
        <v>-249</v>
      </c>
      <c r="AZ171" s="229">
        <v>-0.42159999999999997</v>
      </c>
      <c r="BA171" s="228">
        <v>699</v>
      </c>
      <c r="BB171" s="228">
        <v>872</v>
      </c>
      <c r="BC171" s="228">
        <v>-173</v>
      </c>
      <c r="BD171" s="229">
        <v>-0.1983</v>
      </c>
      <c r="BE171" s="228">
        <v>7</v>
      </c>
      <c r="BF171" s="228">
        <v>2</v>
      </c>
      <c r="BG171" s="228">
        <v>5</v>
      </c>
      <c r="BH171" s="229">
        <v>2.4687999999999999</v>
      </c>
      <c r="BI171" s="230">
        <v>1557</v>
      </c>
      <c r="BJ171" s="228">
        <v>975</v>
      </c>
      <c r="BK171" s="228">
        <v>582</v>
      </c>
      <c r="BL171" s="229">
        <v>0.59650000000000003</v>
      </c>
      <c r="BM171" s="228">
        <v>491</v>
      </c>
      <c r="BN171" s="228">
        <v>354</v>
      </c>
      <c r="BO171" s="228">
        <v>137</v>
      </c>
      <c r="BP171" s="229">
        <v>0.3861</v>
      </c>
      <c r="BQ171" s="230">
        <v>3096</v>
      </c>
      <c r="BR171" s="230">
        <v>2795</v>
      </c>
      <c r="BS171" s="228">
        <v>301</v>
      </c>
      <c r="BT171" s="229">
        <v>0.1077</v>
      </c>
      <c r="BU171" s="230">
        <v>3696906</v>
      </c>
      <c r="BV171" s="230">
        <v>3295126</v>
      </c>
      <c r="BW171" s="230">
        <v>401780</v>
      </c>
      <c r="BX171" s="229">
        <v>0.12189999999999999</v>
      </c>
      <c r="BY171" s="230">
        <v>1261</v>
      </c>
      <c r="BZ171" s="230">
        <v>1521</v>
      </c>
      <c r="CA171" s="228">
        <v>-260</v>
      </c>
      <c r="CB171" s="229">
        <v>-0.1709</v>
      </c>
      <c r="CC171" s="228">
        <v>170</v>
      </c>
      <c r="CD171" s="228">
        <v>375</v>
      </c>
      <c r="CE171" s="228">
        <v>-206</v>
      </c>
      <c r="CF171" s="229">
        <v>-0.54810000000000003</v>
      </c>
      <c r="CG171" s="230">
        <v>1255</v>
      </c>
      <c r="CH171" s="230">
        <v>1143</v>
      </c>
      <c r="CI171" s="228">
        <v>113</v>
      </c>
      <c r="CJ171" s="229">
        <v>9.8500000000000004E-2</v>
      </c>
      <c r="CK171" s="228">
        <v>6</v>
      </c>
      <c r="CL171" s="228">
        <v>3</v>
      </c>
      <c r="CM171" s="228">
        <v>3</v>
      </c>
      <c r="CN171" s="229">
        <v>0.8085</v>
      </c>
      <c r="CO171" s="228">
        <v>196</v>
      </c>
      <c r="CP171" s="228">
        <v>417</v>
      </c>
      <c r="CQ171" s="228">
        <v>-221</v>
      </c>
      <c r="CR171" s="229">
        <v>-0.53110000000000002</v>
      </c>
      <c r="CS171" s="228">
        <v>90</v>
      </c>
      <c r="CT171" s="228">
        <v>191</v>
      </c>
      <c r="CU171" s="228">
        <v>-101</v>
      </c>
      <c r="CV171" s="229">
        <v>-0.52900000000000003</v>
      </c>
      <c r="CW171" s="230">
        <v>1547</v>
      </c>
      <c r="CX171" s="230">
        <v>2129</v>
      </c>
      <c r="CY171" s="228">
        <v>-583</v>
      </c>
      <c r="CZ171" s="229">
        <v>-0.27360000000000001</v>
      </c>
      <c r="DA171" s="228">
        <v>31.91</v>
      </c>
      <c r="DB171" s="228">
        <v>32.53</v>
      </c>
      <c r="DC171" s="228">
        <v>-0.62</v>
      </c>
      <c r="DD171" s="228">
        <v>-0.62</v>
      </c>
      <c r="DE171" s="228">
        <v>46.96</v>
      </c>
      <c r="DF171" s="228">
        <v>46.85</v>
      </c>
      <c r="DG171" s="228">
        <v>-15.05</v>
      </c>
      <c r="DH171" s="228">
        <v>0.11</v>
      </c>
      <c r="DI171" s="228">
        <v>31.86</v>
      </c>
      <c r="DJ171" s="228">
        <v>32.549999999999997</v>
      </c>
      <c r="DK171" s="228">
        <v>-0.69</v>
      </c>
      <c r="DL171" s="228">
        <v>-0.69</v>
      </c>
      <c r="DM171" s="228">
        <v>32.14</v>
      </c>
      <c r="DN171" s="228">
        <v>32.49</v>
      </c>
      <c r="DO171" s="228">
        <v>-0.35</v>
      </c>
      <c r="DP171" s="228">
        <v>-0.35</v>
      </c>
      <c r="DQ171" s="228">
        <v>0.46</v>
      </c>
      <c r="DR171" s="228">
        <v>0.46</v>
      </c>
      <c r="DS171" s="228">
        <v>0</v>
      </c>
      <c r="DT171" s="229">
        <v>0</v>
      </c>
      <c r="DU171" s="231">
        <v>1000</v>
      </c>
      <c r="DV171" s="231">
        <v>1000</v>
      </c>
      <c r="DW171" s="228">
        <v>0.32</v>
      </c>
      <c r="DX171" s="228">
        <v>0.36</v>
      </c>
      <c r="DY171" s="228">
        <v>-0.04</v>
      </c>
      <c r="DZ171" s="229">
        <v>-0.1111</v>
      </c>
      <c r="EA171" s="229">
        <v>0.88149999999999995</v>
      </c>
      <c r="EB171" s="230">
        <v>11182100</v>
      </c>
      <c r="EC171" s="229">
        <v>8.3999999999999995E-3</v>
      </c>
      <c r="ED171" s="229">
        <v>0.88149999999999995</v>
      </c>
      <c r="EE171" s="228">
        <v>6.46</v>
      </c>
      <c r="EF171" s="229">
        <v>6.4000000000000003E-3</v>
      </c>
      <c r="EG171" s="230">
        <v>1010358</v>
      </c>
      <c r="EH171" s="230">
        <v>1056353</v>
      </c>
      <c r="EI171" s="229">
        <v>-4.3499999999999997E-2</v>
      </c>
      <c r="EJ171" s="229">
        <v>0.27329999999999999</v>
      </c>
      <c r="EK171" s="231">
        <v>1585.01</v>
      </c>
      <c r="EL171" s="228">
        <v>476.4</v>
      </c>
      <c r="EM171" s="231">
        <v>1042.01</v>
      </c>
      <c r="EN171" s="228">
        <v>184.07</v>
      </c>
      <c r="EO171" s="231">
        <v>3103.42</v>
      </c>
      <c r="EP171" s="231">
        <v>2731.01</v>
      </c>
      <c r="EQ171" s="228">
        <v>372.42</v>
      </c>
      <c r="ER171" s="229">
        <v>0.13639999999999999</v>
      </c>
      <c r="ES171" s="228">
        <v>195.92</v>
      </c>
      <c r="ET171" s="228">
        <v>84.99</v>
      </c>
      <c r="EU171" s="231">
        <v>1261.07</v>
      </c>
      <c r="EV171" s="231">
        <v>23961540</v>
      </c>
      <c r="EW171" s="231">
        <v>1541.99</v>
      </c>
      <c r="EX171" s="231">
        <v>2068.2199999999998</v>
      </c>
      <c r="EY171" s="228">
        <v>-526.23</v>
      </c>
      <c r="EZ171" s="229">
        <v>-0.25440000000000002</v>
      </c>
      <c r="FA171" s="229">
        <v>0.62990000000000002</v>
      </c>
      <c r="FB171" s="227" t="s">
        <v>691</v>
      </c>
      <c r="FC171">
        <f t="shared" si="3"/>
        <v>0</v>
      </c>
    </row>
    <row r="172" spans="1:159" ht="17.25" thickBot="1" x14ac:dyDescent="0.3">
      <c r="A172" s="226">
        <v>46168</v>
      </c>
      <c r="B172" s="227" t="s">
        <v>206</v>
      </c>
      <c r="C172" s="227" t="s">
        <v>604</v>
      </c>
      <c r="D172" s="228">
        <v>450</v>
      </c>
      <c r="E172" s="228">
        <v>0</v>
      </c>
      <c r="F172" s="231">
        <v>1414.2</v>
      </c>
      <c r="G172" s="231">
        <v>1413.4</v>
      </c>
      <c r="H172" s="228">
        <v>0.8</v>
      </c>
      <c r="I172" s="229">
        <v>5.9999999999999995E-4</v>
      </c>
      <c r="J172" s="231">
        <v>1402.2</v>
      </c>
      <c r="K172" s="231">
        <v>1401.4</v>
      </c>
      <c r="L172" s="228">
        <v>0.8</v>
      </c>
      <c r="M172" s="229">
        <v>5.9999999999999995E-4</v>
      </c>
      <c r="N172" s="231">
        <v>1404.6</v>
      </c>
      <c r="O172" s="231">
        <v>1404.5</v>
      </c>
      <c r="P172" s="228">
        <v>0.1</v>
      </c>
      <c r="Q172" s="229">
        <v>1E-4</v>
      </c>
      <c r="R172" s="231">
        <v>1414.2</v>
      </c>
      <c r="S172" s="231">
        <v>1413.4</v>
      </c>
      <c r="T172" s="228">
        <v>0.8</v>
      </c>
      <c r="U172" s="229">
        <v>5.9999999999999995E-4</v>
      </c>
      <c r="V172" s="231">
        <v>1422.4</v>
      </c>
      <c r="W172" s="231">
        <v>1417.9</v>
      </c>
      <c r="X172" s="228">
        <v>4.5</v>
      </c>
      <c r="Y172" s="229">
        <v>3.2000000000000002E-3</v>
      </c>
      <c r="Z172" s="228">
        <v>12</v>
      </c>
      <c r="AA172" s="228">
        <v>3.1</v>
      </c>
      <c r="AB172" s="228">
        <v>8.9</v>
      </c>
      <c r="AC172" s="229">
        <v>8.6E-3</v>
      </c>
      <c r="AD172" s="228">
        <v>2.4</v>
      </c>
      <c r="AE172" s="228">
        <v>3.1</v>
      </c>
      <c r="AF172" s="228">
        <v>-0.7</v>
      </c>
      <c r="AG172" s="229">
        <v>1.6999999999999999E-3</v>
      </c>
      <c r="AH172" s="228">
        <v>12</v>
      </c>
      <c r="AI172" s="228">
        <v>12</v>
      </c>
      <c r="AJ172" s="228">
        <v>0</v>
      </c>
      <c r="AK172" s="229">
        <v>8.6E-3</v>
      </c>
      <c r="AL172" s="228">
        <v>20.2</v>
      </c>
      <c r="AM172" s="228">
        <v>16.5</v>
      </c>
      <c r="AN172" s="228">
        <v>3.7</v>
      </c>
      <c r="AO172" s="229">
        <v>1.44E-2</v>
      </c>
      <c r="AP172" s="231">
        <v>1401.63</v>
      </c>
      <c r="AQ172" s="231">
        <v>1410.29</v>
      </c>
      <c r="AR172" s="228">
        <v>0</v>
      </c>
      <c r="AS172" s="228">
        <v>233</v>
      </c>
      <c r="AT172" s="228">
        <v>602</v>
      </c>
      <c r="AU172" s="228">
        <v>-368</v>
      </c>
      <c r="AV172" s="229">
        <v>-0.61219999999999997</v>
      </c>
      <c r="AW172" s="228">
        <v>105</v>
      </c>
      <c r="AX172" s="228">
        <v>257</v>
      </c>
      <c r="AY172" s="228">
        <v>-152</v>
      </c>
      <c r="AZ172" s="229">
        <v>-0.59140000000000004</v>
      </c>
      <c r="BA172" s="228">
        <v>128</v>
      </c>
      <c r="BB172" s="228">
        <v>342</v>
      </c>
      <c r="BC172" s="228">
        <v>-214</v>
      </c>
      <c r="BD172" s="229">
        <v>-0.62690000000000001</v>
      </c>
      <c r="BE172" s="228">
        <v>1</v>
      </c>
      <c r="BF172" s="228">
        <v>2</v>
      </c>
      <c r="BG172" s="228">
        <v>-2</v>
      </c>
      <c r="BH172" s="229">
        <v>-0.73680000000000001</v>
      </c>
      <c r="BI172" s="228">
        <v>132</v>
      </c>
      <c r="BJ172" s="228">
        <v>430</v>
      </c>
      <c r="BK172" s="228">
        <v>-297</v>
      </c>
      <c r="BL172" s="229">
        <v>-0.69210000000000005</v>
      </c>
      <c r="BM172" s="228">
        <v>149</v>
      </c>
      <c r="BN172" s="228">
        <v>199</v>
      </c>
      <c r="BO172" s="228">
        <v>-50</v>
      </c>
      <c r="BP172" s="229">
        <v>-0.249</v>
      </c>
      <c r="BQ172" s="228">
        <v>515</v>
      </c>
      <c r="BR172" s="230">
        <v>1230</v>
      </c>
      <c r="BS172" s="228">
        <v>-715</v>
      </c>
      <c r="BT172" s="229">
        <v>-0.58140000000000003</v>
      </c>
      <c r="BU172" s="230">
        <v>712812</v>
      </c>
      <c r="BV172" s="230">
        <v>1264798</v>
      </c>
      <c r="BW172" s="230">
        <v>-551986</v>
      </c>
      <c r="BX172" s="229">
        <v>-0.43640000000000001</v>
      </c>
      <c r="BY172" s="228">
        <v>745</v>
      </c>
      <c r="BZ172" s="228">
        <v>783</v>
      </c>
      <c r="CA172" s="228">
        <v>-39</v>
      </c>
      <c r="CB172" s="229">
        <v>-4.9200000000000001E-2</v>
      </c>
      <c r="CC172" s="228">
        <v>41</v>
      </c>
      <c r="CD172" s="228">
        <v>92</v>
      </c>
      <c r="CE172" s="228">
        <v>-51</v>
      </c>
      <c r="CF172" s="229">
        <v>-0.55369999999999997</v>
      </c>
      <c r="CG172" s="228">
        <v>698</v>
      </c>
      <c r="CH172" s="228">
        <v>645</v>
      </c>
      <c r="CI172" s="228">
        <v>54</v>
      </c>
      <c r="CJ172" s="229">
        <v>8.3000000000000004E-2</v>
      </c>
      <c r="CK172" s="228">
        <v>46</v>
      </c>
      <c r="CL172" s="228">
        <v>46</v>
      </c>
      <c r="CM172" s="228">
        <v>0</v>
      </c>
      <c r="CN172" s="229">
        <v>6.8999999999999999E-3</v>
      </c>
      <c r="CO172" s="228">
        <v>37</v>
      </c>
      <c r="CP172" s="228">
        <v>250</v>
      </c>
      <c r="CQ172" s="228">
        <v>-213</v>
      </c>
      <c r="CR172" s="229">
        <v>-0.85370000000000001</v>
      </c>
      <c r="CS172" s="228">
        <v>39</v>
      </c>
      <c r="CT172" s="228">
        <v>166</v>
      </c>
      <c r="CU172" s="228">
        <v>-127</v>
      </c>
      <c r="CV172" s="229">
        <v>-0.76439999999999997</v>
      </c>
      <c r="CW172" s="228">
        <v>820</v>
      </c>
      <c r="CX172" s="230">
        <v>1199</v>
      </c>
      <c r="CY172" s="228">
        <v>-379</v>
      </c>
      <c r="CZ172" s="229">
        <v>-0.31580000000000003</v>
      </c>
      <c r="DA172" s="228">
        <v>33.979999999999997</v>
      </c>
      <c r="DB172" s="228">
        <v>34.71</v>
      </c>
      <c r="DC172" s="228">
        <v>-0.73</v>
      </c>
      <c r="DD172" s="228">
        <v>-0.73</v>
      </c>
      <c r="DE172" s="228">
        <v>43.87</v>
      </c>
      <c r="DF172" s="228">
        <v>43.98</v>
      </c>
      <c r="DG172" s="228">
        <v>-9.89</v>
      </c>
      <c r="DH172" s="228">
        <v>-0.11</v>
      </c>
      <c r="DI172" s="228">
        <v>33.42</v>
      </c>
      <c r="DJ172" s="228">
        <v>34.85</v>
      </c>
      <c r="DK172" s="228">
        <v>-1.43</v>
      </c>
      <c r="DL172" s="228">
        <v>-1.43</v>
      </c>
      <c r="DM172" s="228">
        <v>35.020000000000003</v>
      </c>
      <c r="DN172" s="228">
        <v>34.54</v>
      </c>
      <c r="DO172" s="228">
        <v>0.48</v>
      </c>
      <c r="DP172" s="228">
        <v>0.48</v>
      </c>
      <c r="DQ172" s="228">
        <v>1.07</v>
      </c>
      <c r="DR172" s="228">
        <v>0.66</v>
      </c>
      <c r="DS172" s="228">
        <v>0.41</v>
      </c>
      <c r="DT172" s="229">
        <v>0.62119999999999997</v>
      </c>
      <c r="DU172" s="231">
        <v>1440</v>
      </c>
      <c r="DV172" s="231">
        <v>1400</v>
      </c>
      <c r="DW172" s="228">
        <v>1.1299999999999999</v>
      </c>
      <c r="DX172" s="228">
        <v>0.46</v>
      </c>
      <c r="DY172" s="228">
        <v>0.67</v>
      </c>
      <c r="DZ172" s="229">
        <v>1.4564999999999999</v>
      </c>
      <c r="EA172" s="229">
        <v>0.94750000000000001</v>
      </c>
      <c r="EB172" s="230">
        <v>4884300</v>
      </c>
      <c r="EC172" s="229">
        <v>6.7999999999999996E-3</v>
      </c>
      <c r="ED172" s="229">
        <v>0.94750000000000001</v>
      </c>
      <c r="EE172" s="228">
        <v>8.66</v>
      </c>
      <c r="EF172" s="229">
        <v>6.1999999999999998E-3</v>
      </c>
      <c r="EG172" s="230">
        <v>430209</v>
      </c>
      <c r="EH172" s="230">
        <v>717089</v>
      </c>
      <c r="EI172" s="229">
        <v>-0.40010000000000001</v>
      </c>
      <c r="EJ172" s="229">
        <v>0.60350000000000004</v>
      </c>
      <c r="EK172" s="228">
        <v>134.43</v>
      </c>
      <c r="EL172" s="228">
        <v>148.25</v>
      </c>
      <c r="EM172" s="228">
        <v>232.08</v>
      </c>
      <c r="EN172" s="228">
        <v>67.37</v>
      </c>
      <c r="EO172" s="228">
        <v>514.77</v>
      </c>
      <c r="EP172" s="231">
        <v>1235.02</v>
      </c>
      <c r="EQ172" s="228">
        <v>-720.26</v>
      </c>
      <c r="ER172" s="229">
        <v>-0.58320000000000005</v>
      </c>
      <c r="ES172" s="228">
        <v>37.76</v>
      </c>
      <c r="ET172" s="228">
        <v>37.69</v>
      </c>
      <c r="EU172" s="228">
        <v>744.84</v>
      </c>
      <c r="EV172" s="231">
        <v>25234534</v>
      </c>
      <c r="EW172" s="228">
        <v>820.3</v>
      </c>
      <c r="EX172" s="231">
        <v>1199.5999999999999</v>
      </c>
      <c r="EY172" s="228">
        <v>-379.3</v>
      </c>
      <c r="EZ172" s="229">
        <v>-0.31619999999999998</v>
      </c>
      <c r="FA172" s="229">
        <v>0.2298</v>
      </c>
      <c r="FB172" s="227" t="s">
        <v>691</v>
      </c>
      <c r="FC172">
        <f t="shared" si="3"/>
        <v>0</v>
      </c>
    </row>
    <row r="173" spans="1:159" ht="17.25" thickBot="1" x14ac:dyDescent="0.3">
      <c r="A173" s="226">
        <v>46168</v>
      </c>
      <c r="B173" s="227" t="s">
        <v>172</v>
      </c>
      <c r="C173" s="227" t="s">
        <v>279</v>
      </c>
      <c r="D173" s="228">
        <v>3175</v>
      </c>
      <c r="E173" s="228">
        <v>0</v>
      </c>
      <c r="F173" s="228">
        <v>347.15</v>
      </c>
      <c r="G173" s="228">
        <v>346.3</v>
      </c>
      <c r="H173" s="228">
        <v>0.85</v>
      </c>
      <c r="I173" s="229">
        <v>2.5000000000000001E-3</v>
      </c>
      <c r="J173" s="228">
        <v>344.25</v>
      </c>
      <c r="K173" s="228">
        <v>343.35</v>
      </c>
      <c r="L173" s="228">
        <v>0.9</v>
      </c>
      <c r="M173" s="229">
        <v>2.5999999999999999E-3</v>
      </c>
      <c r="N173" s="228">
        <v>344.8</v>
      </c>
      <c r="O173" s="228">
        <v>344.3</v>
      </c>
      <c r="P173" s="228">
        <v>0.5</v>
      </c>
      <c r="Q173" s="229">
        <v>1.5E-3</v>
      </c>
      <c r="R173" s="228">
        <v>347.15</v>
      </c>
      <c r="S173" s="228">
        <v>346.3</v>
      </c>
      <c r="T173" s="228">
        <v>0.85</v>
      </c>
      <c r="U173" s="229">
        <v>2.5000000000000001E-3</v>
      </c>
      <c r="V173" s="228">
        <v>349.25</v>
      </c>
      <c r="W173" s="228">
        <v>348.05</v>
      </c>
      <c r="X173" s="228">
        <v>1.2</v>
      </c>
      <c r="Y173" s="229">
        <v>3.3999999999999998E-3</v>
      </c>
      <c r="Z173" s="228">
        <v>2.9</v>
      </c>
      <c r="AA173" s="228">
        <v>0.95</v>
      </c>
      <c r="AB173" s="228">
        <v>1.95</v>
      </c>
      <c r="AC173" s="229">
        <v>8.3999999999999995E-3</v>
      </c>
      <c r="AD173" s="228">
        <v>0.55000000000000004</v>
      </c>
      <c r="AE173" s="228">
        <v>0.95</v>
      </c>
      <c r="AF173" s="228">
        <v>-0.4</v>
      </c>
      <c r="AG173" s="229">
        <v>1.6000000000000001E-3</v>
      </c>
      <c r="AH173" s="228">
        <v>2.9</v>
      </c>
      <c r="AI173" s="228">
        <v>2.95</v>
      </c>
      <c r="AJ173" s="228">
        <v>-0.05</v>
      </c>
      <c r="AK173" s="229">
        <v>8.3999999999999995E-3</v>
      </c>
      <c r="AL173" s="228">
        <v>5</v>
      </c>
      <c r="AM173" s="228">
        <v>4.7</v>
      </c>
      <c r="AN173" s="228">
        <v>0.3</v>
      </c>
      <c r="AO173" s="229">
        <v>1.4500000000000001E-2</v>
      </c>
      <c r="AP173" s="228">
        <v>344.41</v>
      </c>
      <c r="AQ173" s="228">
        <v>346.54</v>
      </c>
      <c r="AR173" s="228">
        <v>0</v>
      </c>
      <c r="AS173" s="230">
        <v>1141</v>
      </c>
      <c r="AT173" s="230">
        <v>1786</v>
      </c>
      <c r="AU173" s="228">
        <v>-644</v>
      </c>
      <c r="AV173" s="229">
        <v>-0.3609</v>
      </c>
      <c r="AW173" s="228">
        <v>521</v>
      </c>
      <c r="AX173" s="228">
        <v>833</v>
      </c>
      <c r="AY173" s="228">
        <v>-312</v>
      </c>
      <c r="AZ173" s="229">
        <v>-0.37459999999999999</v>
      </c>
      <c r="BA173" s="228">
        <v>616</v>
      </c>
      <c r="BB173" s="228">
        <v>949</v>
      </c>
      <c r="BC173" s="228">
        <v>-333</v>
      </c>
      <c r="BD173" s="229">
        <v>-0.35099999999999998</v>
      </c>
      <c r="BE173" s="228">
        <v>4</v>
      </c>
      <c r="BF173" s="228">
        <v>3</v>
      </c>
      <c r="BG173" s="228">
        <v>1</v>
      </c>
      <c r="BH173" s="229">
        <v>0.29630000000000001</v>
      </c>
      <c r="BI173" s="228">
        <v>722</v>
      </c>
      <c r="BJ173" s="230">
        <v>1661</v>
      </c>
      <c r="BK173" s="228">
        <v>-939</v>
      </c>
      <c r="BL173" s="229">
        <v>-0.56540000000000001</v>
      </c>
      <c r="BM173" s="228">
        <v>464</v>
      </c>
      <c r="BN173" s="228">
        <v>765</v>
      </c>
      <c r="BO173" s="228">
        <v>-301</v>
      </c>
      <c r="BP173" s="229">
        <v>-0.39340000000000003</v>
      </c>
      <c r="BQ173" s="230">
        <v>2327</v>
      </c>
      <c r="BR173" s="230">
        <v>4212</v>
      </c>
      <c r="BS173" s="230">
        <v>-1885</v>
      </c>
      <c r="BT173" s="229">
        <v>-0.44750000000000001</v>
      </c>
      <c r="BU173" s="230">
        <v>3121451</v>
      </c>
      <c r="BV173" s="230">
        <v>5825364</v>
      </c>
      <c r="BW173" s="230">
        <v>-2703913</v>
      </c>
      <c r="BX173" s="229">
        <v>-0.4642</v>
      </c>
      <c r="BY173" s="230">
        <v>2335</v>
      </c>
      <c r="BZ173" s="230">
        <v>2590</v>
      </c>
      <c r="CA173" s="228">
        <v>-255</v>
      </c>
      <c r="CB173" s="229">
        <v>-9.8299999999999998E-2</v>
      </c>
      <c r="CC173" s="228">
        <v>205</v>
      </c>
      <c r="CD173" s="228">
        <v>579</v>
      </c>
      <c r="CE173" s="228">
        <v>-374</v>
      </c>
      <c r="CF173" s="229">
        <v>-0.64659999999999995</v>
      </c>
      <c r="CG173" s="230">
        <v>2280</v>
      </c>
      <c r="CH173" s="230">
        <v>1958</v>
      </c>
      <c r="CI173" s="228">
        <v>322</v>
      </c>
      <c r="CJ173" s="229">
        <v>0.16450000000000001</v>
      </c>
      <c r="CK173" s="228">
        <v>55</v>
      </c>
      <c r="CL173" s="228">
        <v>52</v>
      </c>
      <c r="CM173" s="228">
        <v>2</v>
      </c>
      <c r="CN173" s="229">
        <v>4.2000000000000003E-2</v>
      </c>
      <c r="CO173" s="228">
        <v>344</v>
      </c>
      <c r="CP173" s="228">
        <v>816</v>
      </c>
      <c r="CQ173" s="228">
        <v>-473</v>
      </c>
      <c r="CR173" s="229">
        <v>-0.57920000000000005</v>
      </c>
      <c r="CS173" s="228">
        <v>215</v>
      </c>
      <c r="CT173" s="228">
        <v>547</v>
      </c>
      <c r="CU173" s="228">
        <v>-331</v>
      </c>
      <c r="CV173" s="229">
        <v>-0.60599999999999998</v>
      </c>
      <c r="CW173" s="230">
        <v>2894</v>
      </c>
      <c r="CX173" s="230">
        <v>3953</v>
      </c>
      <c r="CY173" s="230">
        <v>-1059</v>
      </c>
      <c r="CZ173" s="229">
        <v>-0.26790000000000003</v>
      </c>
      <c r="DA173" s="228">
        <v>31.39</v>
      </c>
      <c r="DB173" s="228">
        <v>33.58</v>
      </c>
      <c r="DC173" s="228">
        <v>-2.19</v>
      </c>
      <c r="DD173" s="228">
        <v>-2.19</v>
      </c>
      <c r="DE173" s="228">
        <v>43.24</v>
      </c>
      <c r="DF173" s="228">
        <v>43.34</v>
      </c>
      <c r="DG173" s="228">
        <v>-11.85</v>
      </c>
      <c r="DH173" s="228">
        <v>-0.1</v>
      </c>
      <c r="DI173" s="228">
        <v>30.66</v>
      </c>
      <c r="DJ173" s="228">
        <v>33.630000000000003</v>
      </c>
      <c r="DK173" s="228">
        <v>-2.97</v>
      </c>
      <c r="DL173" s="228">
        <v>-2.97</v>
      </c>
      <c r="DM173" s="228">
        <v>32.75</v>
      </c>
      <c r="DN173" s="228">
        <v>33.51</v>
      </c>
      <c r="DO173" s="228">
        <v>-0.76</v>
      </c>
      <c r="DP173" s="228">
        <v>-0.76</v>
      </c>
      <c r="DQ173" s="228">
        <v>0.63</v>
      </c>
      <c r="DR173" s="228">
        <v>0.67</v>
      </c>
      <c r="DS173" s="228">
        <v>-0.04</v>
      </c>
      <c r="DT173" s="229">
        <v>-5.9700000000000003E-2</v>
      </c>
      <c r="DU173" s="228">
        <v>350</v>
      </c>
      <c r="DV173" s="228">
        <v>300</v>
      </c>
      <c r="DW173" s="228">
        <v>0.64</v>
      </c>
      <c r="DX173" s="228">
        <v>0.46</v>
      </c>
      <c r="DY173" s="228">
        <v>0.18</v>
      </c>
      <c r="DZ173" s="229">
        <v>0.39129999999999998</v>
      </c>
      <c r="EA173" s="229">
        <v>0.9194</v>
      </c>
      <c r="EB173" s="230">
        <v>57921525</v>
      </c>
      <c r="EC173" s="229">
        <v>6.7999999999999996E-3</v>
      </c>
      <c r="ED173" s="229">
        <v>0.9194</v>
      </c>
      <c r="EE173" s="228">
        <v>2.13</v>
      </c>
      <c r="EF173" s="229">
        <v>6.1999999999999998E-3</v>
      </c>
      <c r="EG173" s="230">
        <v>1066248</v>
      </c>
      <c r="EH173" s="230">
        <v>1912825</v>
      </c>
      <c r="EI173" s="229">
        <v>-0.44259999999999999</v>
      </c>
      <c r="EJ173" s="229">
        <v>0.34160000000000001</v>
      </c>
      <c r="EK173" s="228">
        <v>740.14</v>
      </c>
      <c r="EL173" s="228">
        <v>437.26</v>
      </c>
      <c r="EM173" s="231">
        <v>1135.93</v>
      </c>
      <c r="EN173" s="228">
        <v>104.35</v>
      </c>
      <c r="EO173" s="231">
        <v>2313.33</v>
      </c>
      <c r="EP173" s="231">
        <v>4192.37</v>
      </c>
      <c r="EQ173" s="231">
        <v>-1879.04</v>
      </c>
      <c r="ER173" s="229">
        <v>-0.44819999999999999</v>
      </c>
      <c r="ES173" s="228">
        <v>349.49</v>
      </c>
      <c r="ET173" s="228">
        <v>201.34</v>
      </c>
      <c r="EU173" s="231">
        <v>2335.34</v>
      </c>
      <c r="EV173" s="231">
        <v>92573471</v>
      </c>
      <c r="EW173" s="231">
        <v>2886.17</v>
      </c>
      <c r="EX173" s="231">
        <v>3908.74</v>
      </c>
      <c r="EY173" s="231">
        <v>-1022.57</v>
      </c>
      <c r="EZ173" s="229">
        <v>-0.2616</v>
      </c>
      <c r="FA173" s="229">
        <v>0.90049999999999997</v>
      </c>
      <c r="FB173" s="227" t="s">
        <v>691</v>
      </c>
      <c r="FC173">
        <f t="shared" si="3"/>
        <v>0</v>
      </c>
    </row>
    <row r="174" spans="1:159" ht="17.25" thickBot="1" x14ac:dyDescent="0.3">
      <c r="A174" s="226">
        <v>46168</v>
      </c>
      <c r="B174" s="227" t="s">
        <v>175</v>
      </c>
      <c r="C174" s="227" t="s">
        <v>280</v>
      </c>
      <c r="D174" s="228">
        <v>1400</v>
      </c>
      <c r="E174" s="228">
        <v>0</v>
      </c>
      <c r="F174" s="228">
        <v>340.1</v>
      </c>
      <c r="G174" s="228">
        <v>344.85</v>
      </c>
      <c r="H174" s="228">
        <v>-4.75</v>
      </c>
      <c r="I174" s="229">
        <v>-1.38E-2</v>
      </c>
      <c r="J174" s="228">
        <v>337.6</v>
      </c>
      <c r="K174" s="228">
        <v>342.2</v>
      </c>
      <c r="L174" s="228">
        <v>-4.5999999999999996</v>
      </c>
      <c r="M174" s="229">
        <v>-1.34E-2</v>
      </c>
      <c r="N174" s="228">
        <v>338</v>
      </c>
      <c r="O174" s="228">
        <v>342.95</v>
      </c>
      <c r="P174" s="228">
        <v>-4.95</v>
      </c>
      <c r="Q174" s="229">
        <v>-1.44E-2</v>
      </c>
      <c r="R174" s="228">
        <v>340.1</v>
      </c>
      <c r="S174" s="228">
        <v>344.85</v>
      </c>
      <c r="T174" s="228">
        <v>-4.75</v>
      </c>
      <c r="U174" s="229">
        <v>-1.38E-2</v>
      </c>
      <c r="V174" s="228">
        <v>341.95</v>
      </c>
      <c r="W174" s="228">
        <v>346.05</v>
      </c>
      <c r="X174" s="228">
        <v>-4.0999999999999996</v>
      </c>
      <c r="Y174" s="229">
        <v>-1.18E-2</v>
      </c>
      <c r="Z174" s="228">
        <v>2.5</v>
      </c>
      <c r="AA174" s="228">
        <v>0.75</v>
      </c>
      <c r="AB174" s="228">
        <v>1.75</v>
      </c>
      <c r="AC174" s="229">
        <v>7.4000000000000003E-3</v>
      </c>
      <c r="AD174" s="228">
        <v>0.4</v>
      </c>
      <c r="AE174" s="228">
        <v>0.75</v>
      </c>
      <c r="AF174" s="228">
        <v>-0.35</v>
      </c>
      <c r="AG174" s="229">
        <v>1.1999999999999999E-3</v>
      </c>
      <c r="AH174" s="228">
        <v>2.5</v>
      </c>
      <c r="AI174" s="228">
        <v>2.65</v>
      </c>
      <c r="AJ174" s="228">
        <v>-0.15</v>
      </c>
      <c r="AK174" s="229">
        <v>7.4000000000000003E-3</v>
      </c>
      <c r="AL174" s="228">
        <v>4.3499999999999996</v>
      </c>
      <c r="AM174" s="228">
        <v>3.85</v>
      </c>
      <c r="AN174" s="228">
        <v>0.5</v>
      </c>
      <c r="AO174" s="229">
        <v>1.29E-2</v>
      </c>
      <c r="AP174" s="228">
        <v>339.79</v>
      </c>
      <c r="AQ174" s="228">
        <v>341.83</v>
      </c>
      <c r="AR174" s="228">
        <v>0</v>
      </c>
      <c r="AS174" s="230">
        <v>1152</v>
      </c>
      <c r="AT174" s="230">
        <v>1582</v>
      </c>
      <c r="AU174" s="228">
        <v>-430</v>
      </c>
      <c r="AV174" s="229">
        <v>-0.27189999999999998</v>
      </c>
      <c r="AW174" s="228">
        <v>547</v>
      </c>
      <c r="AX174" s="228">
        <v>771</v>
      </c>
      <c r="AY174" s="228">
        <v>-224</v>
      </c>
      <c r="AZ174" s="229">
        <v>-0.29039999999999999</v>
      </c>
      <c r="BA174" s="228">
        <v>582</v>
      </c>
      <c r="BB174" s="228">
        <v>796</v>
      </c>
      <c r="BC174" s="228">
        <v>-214</v>
      </c>
      <c r="BD174" s="229">
        <v>-0.26860000000000001</v>
      </c>
      <c r="BE174" s="228">
        <v>23</v>
      </c>
      <c r="BF174" s="228">
        <v>15</v>
      </c>
      <c r="BG174" s="228">
        <v>7</v>
      </c>
      <c r="BH174" s="229">
        <v>0.4738</v>
      </c>
      <c r="BI174" s="228">
        <v>644</v>
      </c>
      <c r="BJ174" s="228">
        <v>888</v>
      </c>
      <c r="BK174" s="228">
        <v>-244</v>
      </c>
      <c r="BL174" s="229">
        <v>-0.27439999999999998</v>
      </c>
      <c r="BM174" s="228">
        <v>393</v>
      </c>
      <c r="BN174" s="228">
        <v>499</v>
      </c>
      <c r="BO174" s="228">
        <v>-106</v>
      </c>
      <c r="BP174" s="229">
        <v>-0.21290000000000001</v>
      </c>
      <c r="BQ174" s="230">
        <v>2189</v>
      </c>
      <c r="BR174" s="230">
        <v>2969</v>
      </c>
      <c r="BS174" s="228">
        <v>-780</v>
      </c>
      <c r="BT174" s="229">
        <v>-0.26279999999999998</v>
      </c>
      <c r="BU174" s="230">
        <v>4208989</v>
      </c>
      <c r="BV174" s="230">
        <v>3616831</v>
      </c>
      <c r="BW174" s="230">
        <v>592158</v>
      </c>
      <c r="BX174" s="229">
        <v>0.16370000000000001</v>
      </c>
      <c r="BY174" s="230">
        <v>2202</v>
      </c>
      <c r="BZ174" s="230">
        <v>2387</v>
      </c>
      <c r="CA174" s="228">
        <v>-185</v>
      </c>
      <c r="CB174" s="229">
        <v>-7.7600000000000002E-2</v>
      </c>
      <c r="CC174" s="228">
        <v>212</v>
      </c>
      <c r="CD174" s="228">
        <v>655</v>
      </c>
      <c r="CE174" s="228">
        <v>-443</v>
      </c>
      <c r="CF174" s="229">
        <v>-0.67630000000000001</v>
      </c>
      <c r="CG174" s="230">
        <v>2137</v>
      </c>
      <c r="CH174" s="230">
        <v>1680</v>
      </c>
      <c r="CI174" s="228">
        <v>457</v>
      </c>
      <c r="CJ174" s="229">
        <v>0.27200000000000002</v>
      </c>
      <c r="CK174" s="228">
        <v>64</v>
      </c>
      <c r="CL174" s="228">
        <v>51</v>
      </c>
      <c r="CM174" s="228">
        <v>13</v>
      </c>
      <c r="CN174" s="229">
        <v>0.2505</v>
      </c>
      <c r="CO174" s="228">
        <v>456</v>
      </c>
      <c r="CP174" s="228">
        <v>957</v>
      </c>
      <c r="CQ174" s="228">
        <v>-501</v>
      </c>
      <c r="CR174" s="229">
        <v>-0.52339999999999998</v>
      </c>
      <c r="CS174" s="228">
        <v>403</v>
      </c>
      <c r="CT174" s="228">
        <v>621</v>
      </c>
      <c r="CU174" s="228">
        <v>-218</v>
      </c>
      <c r="CV174" s="229">
        <v>-0.3513</v>
      </c>
      <c r="CW174" s="230">
        <v>3060</v>
      </c>
      <c r="CX174" s="230">
        <v>3964</v>
      </c>
      <c r="CY174" s="228">
        <v>-904</v>
      </c>
      <c r="CZ174" s="229">
        <v>-0.2281</v>
      </c>
      <c r="DA174" s="228">
        <v>26.24</v>
      </c>
      <c r="DB174" s="228">
        <v>27.4</v>
      </c>
      <c r="DC174" s="228">
        <v>-1.1599999999999999</v>
      </c>
      <c r="DD174" s="228">
        <v>-1.1599999999999999</v>
      </c>
      <c r="DE174" s="228">
        <v>41.37</v>
      </c>
      <c r="DF174" s="228">
        <v>41.43</v>
      </c>
      <c r="DG174" s="228">
        <v>-15.13</v>
      </c>
      <c r="DH174" s="228">
        <v>-0.06</v>
      </c>
      <c r="DI174" s="228">
        <v>26.47</v>
      </c>
      <c r="DJ174" s="228">
        <v>27.29</v>
      </c>
      <c r="DK174" s="228">
        <v>-0.82</v>
      </c>
      <c r="DL174" s="228">
        <v>-0.82</v>
      </c>
      <c r="DM174" s="228">
        <v>25.85</v>
      </c>
      <c r="DN174" s="228">
        <v>27.59</v>
      </c>
      <c r="DO174" s="228">
        <v>-1.74</v>
      </c>
      <c r="DP174" s="228">
        <v>-1.74</v>
      </c>
      <c r="DQ174" s="228">
        <v>0.88</v>
      </c>
      <c r="DR174" s="228">
        <v>0.65</v>
      </c>
      <c r="DS174" s="228">
        <v>0.23</v>
      </c>
      <c r="DT174" s="229">
        <v>0.3538</v>
      </c>
      <c r="DU174" s="228">
        <v>360</v>
      </c>
      <c r="DV174" s="228">
        <v>340</v>
      </c>
      <c r="DW174" s="228">
        <v>0.61</v>
      </c>
      <c r="DX174" s="228">
        <v>0.56000000000000005</v>
      </c>
      <c r="DY174" s="228">
        <v>0.05</v>
      </c>
      <c r="DZ174" s="229">
        <v>8.9300000000000004E-2</v>
      </c>
      <c r="EA174" s="229">
        <v>0.91210000000000002</v>
      </c>
      <c r="EB174" s="230">
        <v>50917650</v>
      </c>
      <c r="EC174" s="229">
        <v>6.1999999999999998E-3</v>
      </c>
      <c r="ED174" s="229">
        <v>0.91210000000000002</v>
      </c>
      <c r="EE174" s="228">
        <v>2.04</v>
      </c>
      <c r="EF174" s="229">
        <v>6.0000000000000001E-3</v>
      </c>
      <c r="EG174" s="230">
        <v>2256706</v>
      </c>
      <c r="EH174" s="230">
        <v>1735426</v>
      </c>
      <c r="EI174" s="229">
        <v>0.3004</v>
      </c>
      <c r="EJ174" s="229">
        <v>0.53620000000000001</v>
      </c>
      <c r="EK174" s="228">
        <v>695.53</v>
      </c>
      <c r="EL174" s="228">
        <v>424.71</v>
      </c>
      <c r="EM174" s="231">
        <v>1157.25</v>
      </c>
      <c r="EN174" s="228">
        <v>160.77000000000001</v>
      </c>
      <c r="EO174" s="231">
        <v>2277.4899999999998</v>
      </c>
      <c r="EP174" s="231">
        <v>3059.64</v>
      </c>
      <c r="EQ174" s="228">
        <v>-782.16</v>
      </c>
      <c r="ER174" s="229">
        <v>-0.25559999999999999</v>
      </c>
      <c r="ES174" s="228">
        <v>486.86</v>
      </c>
      <c r="ET174" s="228">
        <v>409.58</v>
      </c>
      <c r="EU174" s="231">
        <v>2201.96</v>
      </c>
      <c r="EV174" s="231">
        <v>187084550</v>
      </c>
      <c r="EW174" s="231">
        <v>3098.4</v>
      </c>
      <c r="EX174" s="231">
        <v>4099.26</v>
      </c>
      <c r="EY174" s="231">
        <v>-1000.86</v>
      </c>
      <c r="EZ174" s="229">
        <v>-0.2442</v>
      </c>
      <c r="FA174" s="229">
        <v>0.48099999999999998</v>
      </c>
      <c r="FB174" s="227" t="s">
        <v>567</v>
      </c>
      <c r="FC174">
        <f t="shared" si="3"/>
        <v>0</v>
      </c>
    </row>
    <row r="175" spans="1:159" ht="17.25" thickBot="1" x14ac:dyDescent="0.3">
      <c r="A175" s="226">
        <v>46168</v>
      </c>
      <c r="B175" s="227" t="s">
        <v>193</v>
      </c>
      <c r="C175" s="227" t="s">
        <v>281</v>
      </c>
      <c r="D175" s="228">
        <v>500</v>
      </c>
      <c r="E175" s="228">
        <v>0</v>
      </c>
      <c r="F175" s="231">
        <v>1363.9</v>
      </c>
      <c r="G175" s="231">
        <v>1374.7</v>
      </c>
      <c r="H175" s="228">
        <v>-10.8</v>
      </c>
      <c r="I175" s="229">
        <v>-7.9000000000000008E-3</v>
      </c>
      <c r="J175" s="231">
        <v>1356.3</v>
      </c>
      <c r="K175" s="231">
        <v>1367</v>
      </c>
      <c r="L175" s="228">
        <v>-10.7</v>
      </c>
      <c r="M175" s="229">
        <v>-7.7999999999999996E-3</v>
      </c>
      <c r="N175" s="231">
        <v>1354.5</v>
      </c>
      <c r="O175" s="231">
        <v>1366.6</v>
      </c>
      <c r="P175" s="228">
        <v>-12.1</v>
      </c>
      <c r="Q175" s="229">
        <v>-8.8999999999999999E-3</v>
      </c>
      <c r="R175" s="231">
        <v>1363.9</v>
      </c>
      <c r="S175" s="231">
        <v>1374.7</v>
      </c>
      <c r="T175" s="228">
        <v>-10.8</v>
      </c>
      <c r="U175" s="229">
        <v>-7.9000000000000008E-3</v>
      </c>
      <c r="V175" s="231">
        <v>1370.8</v>
      </c>
      <c r="W175" s="231">
        <v>1382.6</v>
      </c>
      <c r="X175" s="228">
        <v>-11.8</v>
      </c>
      <c r="Y175" s="229">
        <v>-8.5000000000000006E-3</v>
      </c>
      <c r="Z175" s="228">
        <v>7.6</v>
      </c>
      <c r="AA175" s="228">
        <v>-0.4</v>
      </c>
      <c r="AB175" s="228">
        <v>8</v>
      </c>
      <c r="AC175" s="229">
        <v>5.5999999999999999E-3</v>
      </c>
      <c r="AD175" s="228">
        <v>-1.8</v>
      </c>
      <c r="AE175" s="228">
        <v>-0.4</v>
      </c>
      <c r="AF175" s="228">
        <v>-1.4</v>
      </c>
      <c r="AG175" s="229">
        <v>-1.2999999999999999E-3</v>
      </c>
      <c r="AH175" s="228">
        <v>7.6</v>
      </c>
      <c r="AI175" s="228">
        <v>7.7</v>
      </c>
      <c r="AJ175" s="228">
        <v>-0.1</v>
      </c>
      <c r="AK175" s="229">
        <v>5.5999999999999999E-3</v>
      </c>
      <c r="AL175" s="228">
        <v>14.5</v>
      </c>
      <c r="AM175" s="228">
        <v>15.6</v>
      </c>
      <c r="AN175" s="228">
        <v>-1.1000000000000001</v>
      </c>
      <c r="AO175" s="229">
        <v>1.0699999999999999E-2</v>
      </c>
      <c r="AP175" s="231">
        <v>1360.63</v>
      </c>
      <c r="AQ175" s="231">
        <v>1369.68</v>
      </c>
      <c r="AR175" s="228">
        <v>0</v>
      </c>
      <c r="AS175" s="230">
        <v>3832</v>
      </c>
      <c r="AT175" s="230">
        <v>6413</v>
      </c>
      <c r="AU175" s="230">
        <v>-2581</v>
      </c>
      <c r="AV175" s="229">
        <v>-0.40250000000000002</v>
      </c>
      <c r="AW175" s="230">
        <v>1682</v>
      </c>
      <c r="AX175" s="230">
        <v>3113</v>
      </c>
      <c r="AY175" s="230">
        <v>-1431</v>
      </c>
      <c r="AZ175" s="229">
        <v>-0.45960000000000001</v>
      </c>
      <c r="BA175" s="230">
        <v>2037</v>
      </c>
      <c r="BB175" s="230">
        <v>3218</v>
      </c>
      <c r="BC175" s="230">
        <v>-1181</v>
      </c>
      <c r="BD175" s="229">
        <v>-0.36709999999999998</v>
      </c>
      <c r="BE175" s="228">
        <v>113</v>
      </c>
      <c r="BF175" s="228">
        <v>82</v>
      </c>
      <c r="BG175" s="228">
        <v>31</v>
      </c>
      <c r="BH175" s="229">
        <v>0.37890000000000001</v>
      </c>
      <c r="BI175" s="230">
        <v>8315</v>
      </c>
      <c r="BJ175" s="230">
        <v>12113</v>
      </c>
      <c r="BK175" s="230">
        <v>-3797</v>
      </c>
      <c r="BL175" s="229">
        <v>-0.3135</v>
      </c>
      <c r="BM175" s="230">
        <v>4534</v>
      </c>
      <c r="BN175" s="230">
        <v>7473</v>
      </c>
      <c r="BO175" s="230">
        <v>-2939</v>
      </c>
      <c r="BP175" s="229">
        <v>-0.39329999999999998</v>
      </c>
      <c r="BQ175" s="230">
        <v>16682</v>
      </c>
      <c r="BR175" s="230">
        <v>25999</v>
      </c>
      <c r="BS175" s="230">
        <v>-9317</v>
      </c>
      <c r="BT175" s="229">
        <v>-0.3584</v>
      </c>
      <c r="BU175" s="230">
        <v>15073940</v>
      </c>
      <c r="BV175" s="230">
        <v>7375982</v>
      </c>
      <c r="BW175" s="230">
        <v>7697958</v>
      </c>
      <c r="BX175" s="229">
        <v>1.0437000000000001</v>
      </c>
      <c r="BY175" s="230">
        <v>15584</v>
      </c>
      <c r="BZ175" s="230">
        <v>16289</v>
      </c>
      <c r="CA175" s="228">
        <v>-705</v>
      </c>
      <c r="CB175" s="229">
        <v>-4.3299999999999998E-2</v>
      </c>
      <c r="CC175" s="228">
        <v>868</v>
      </c>
      <c r="CD175" s="230">
        <v>1990</v>
      </c>
      <c r="CE175" s="230">
        <v>-1123</v>
      </c>
      <c r="CF175" s="229">
        <v>-0.56410000000000005</v>
      </c>
      <c r="CG175" s="230">
        <v>14572</v>
      </c>
      <c r="CH175" s="230">
        <v>13368</v>
      </c>
      <c r="CI175" s="230">
        <v>1204</v>
      </c>
      <c r="CJ175" s="229">
        <v>9.01E-2</v>
      </c>
      <c r="CK175" s="230">
        <v>1012</v>
      </c>
      <c r="CL175" s="228">
        <v>930</v>
      </c>
      <c r="CM175" s="228">
        <v>81</v>
      </c>
      <c r="CN175" s="229">
        <v>8.7599999999999997E-2</v>
      </c>
      <c r="CO175" s="230">
        <v>4116</v>
      </c>
      <c r="CP175" s="230">
        <v>9583</v>
      </c>
      <c r="CQ175" s="230">
        <v>-5467</v>
      </c>
      <c r="CR175" s="229">
        <v>-0.57050000000000001</v>
      </c>
      <c r="CS175" s="230">
        <v>3556</v>
      </c>
      <c r="CT175" s="230">
        <v>5746</v>
      </c>
      <c r="CU175" s="230">
        <v>-2190</v>
      </c>
      <c r="CV175" s="229">
        <v>-0.38109999999999999</v>
      </c>
      <c r="CW175" s="230">
        <v>23256</v>
      </c>
      <c r="CX175" s="230">
        <v>31617</v>
      </c>
      <c r="CY175" s="230">
        <v>-8361</v>
      </c>
      <c r="CZ175" s="229">
        <v>-0.26440000000000002</v>
      </c>
      <c r="DA175" s="228">
        <v>21.45</v>
      </c>
      <c r="DB175" s="228">
        <v>22.85</v>
      </c>
      <c r="DC175" s="228">
        <v>-1.4</v>
      </c>
      <c r="DD175" s="228">
        <v>-1.4</v>
      </c>
      <c r="DE175" s="228">
        <v>26.75</v>
      </c>
      <c r="DF175" s="228">
        <v>26.79</v>
      </c>
      <c r="DG175" s="228">
        <v>-5.3</v>
      </c>
      <c r="DH175" s="228">
        <v>-0.04</v>
      </c>
      <c r="DI175" s="228">
        <v>21.37</v>
      </c>
      <c r="DJ175" s="228">
        <v>22.71</v>
      </c>
      <c r="DK175" s="228">
        <v>-1.34</v>
      </c>
      <c r="DL175" s="228">
        <v>-1.34</v>
      </c>
      <c r="DM175" s="228">
        <v>21.58</v>
      </c>
      <c r="DN175" s="228">
        <v>23.07</v>
      </c>
      <c r="DO175" s="228">
        <v>-1.49</v>
      </c>
      <c r="DP175" s="228">
        <v>-1.49</v>
      </c>
      <c r="DQ175" s="228">
        <v>0.86</v>
      </c>
      <c r="DR175" s="228">
        <v>0.6</v>
      </c>
      <c r="DS175" s="228">
        <v>0.26</v>
      </c>
      <c r="DT175" s="229">
        <v>0.43330000000000002</v>
      </c>
      <c r="DU175" s="231">
        <v>1500</v>
      </c>
      <c r="DV175" s="231">
        <v>1360</v>
      </c>
      <c r="DW175" s="228">
        <v>0.55000000000000004</v>
      </c>
      <c r="DX175" s="228">
        <v>0.62</v>
      </c>
      <c r="DY175" s="228">
        <v>-7.0000000000000007E-2</v>
      </c>
      <c r="DZ175" s="229">
        <v>-0.1129</v>
      </c>
      <c r="EA175" s="229">
        <v>0.94730000000000003</v>
      </c>
      <c r="EB175" s="230">
        <v>104836000</v>
      </c>
      <c r="EC175" s="229">
        <v>6.8999999999999999E-3</v>
      </c>
      <c r="ED175" s="229">
        <v>0.94730000000000003</v>
      </c>
      <c r="EE175" s="228">
        <v>9.0500000000000007</v>
      </c>
      <c r="EF175" s="229">
        <v>6.7000000000000002E-3</v>
      </c>
      <c r="EG175" s="230">
        <v>6109350</v>
      </c>
      <c r="EH175" s="230">
        <v>4339932</v>
      </c>
      <c r="EI175" s="229">
        <v>0.40770000000000001</v>
      </c>
      <c r="EJ175" s="229">
        <v>0.40529999999999999</v>
      </c>
      <c r="EK175" s="231">
        <v>8655.0499999999993</v>
      </c>
      <c r="EL175" s="231">
        <v>4588.26</v>
      </c>
      <c r="EM175" s="231">
        <v>3837.64</v>
      </c>
      <c r="EN175" s="228">
        <v>752.44</v>
      </c>
      <c r="EO175" s="231">
        <v>17080.96</v>
      </c>
      <c r="EP175" s="231">
        <v>26485.11</v>
      </c>
      <c r="EQ175" s="231">
        <v>-9404.15</v>
      </c>
      <c r="ER175" s="229">
        <v>-0.35510000000000003</v>
      </c>
      <c r="ES175" s="231">
        <v>4263.12</v>
      </c>
      <c r="ET175" s="231">
        <v>3571.86</v>
      </c>
      <c r="EU175" s="231">
        <v>15589.04</v>
      </c>
      <c r="EV175" s="231">
        <v>664381721</v>
      </c>
      <c r="EW175" s="231">
        <v>23424.02</v>
      </c>
      <c r="EX175" s="231">
        <v>32260.83</v>
      </c>
      <c r="EY175" s="231">
        <v>-8836.81</v>
      </c>
      <c r="EZ175" s="229">
        <v>-0.27389999999999998</v>
      </c>
      <c r="FA175" s="229">
        <v>0.25659999999999999</v>
      </c>
      <c r="FB175" s="227" t="s">
        <v>567</v>
      </c>
      <c r="FC175">
        <f t="shared" si="3"/>
        <v>0</v>
      </c>
    </row>
    <row r="176" spans="1:159" ht="17.25" thickBot="1" x14ac:dyDescent="0.3">
      <c r="A176" s="226">
        <v>46168</v>
      </c>
      <c r="B176" s="227" t="s">
        <v>215</v>
      </c>
      <c r="C176" s="227" t="s">
        <v>672</v>
      </c>
      <c r="D176" s="228">
        <v>1525</v>
      </c>
      <c r="E176" s="228">
        <v>0</v>
      </c>
      <c r="F176" s="228">
        <v>256.60000000000002</v>
      </c>
      <c r="G176" s="228">
        <v>265.25</v>
      </c>
      <c r="H176" s="228">
        <v>-8.65</v>
      </c>
      <c r="I176" s="229">
        <v>-3.2599999999999997E-2</v>
      </c>
      <c r="J176" s="228">
        <v>259.75</v>
      </c>
      <c r="K176" s="228">
        <v>272.45</v>
      </c>
      <c r="L176" s="228">
        <v>-12.7</v>
      </c>
      <c r="M176" s="229">
        <v>-4.6600000000000003E-2</v>
      </c>
      <c r="N176" s="228">
        <v>259.35000000000002</v>
      </c>
      <c r="O176" s="228">
        <v>273.3</v>
      </c>
      <c r="P176" s="228">
        <v>-13.95</v>
      </c>
      <c r="Q176" s="229">
        <v>-5.0999999999999997E-2</v>
      </c>
      <c r="R176" s="228">
        <v>256.60000000000002</v>
      </c>
      <c r="S176" s="228">
        <v>265.25</v>
      </c>
      <c r="T176" s="228">
        <v>-8.65</v>
      </c>
      <c r="U176" s="229">
        <v>-3.2599999999999997E-2</v>
      </c>
      <c r="V176" s="228">
        <v>253.45</v>
      </c>
      <c r="W176" s="228">
        <v>261.14999999999998</v>
      </c>
      <c r="X176" s="228">
        <v>-7.7</v>
      </c>
      <c r="Y176" s="229">
        <v>-2.9499999999999998E-2</v>
      </c>
      <c r="Z176" s="228">
        <v>-3.15</v>
      </c>
      <c r="AA176" s="228">
        <v>0.85</v>
      </c>
      <c r="AB176" s="228">
        <v>-4</v>
      </c>
      <c r="AC176" s="229">
        <v>-1.21E-2</v>
      </c>
      <c r="AD176" s="228">
        <v>-0.4</v>
      </c>
      <c r="AE176" s="228">
        <v>0.85</v>
      </c>
      <c r="AF176" s="228">
        <v>-1.25</v>
      </c>
      <c r="AG176" s="229">
        <v>-1.5E-3</v>
      </c>
      <c r="AH176" s="228">
        <v>-3.15</v>
      </c>
      <c r="AI176" s="228">
        <v>-7.2</v>
      </c>
      <c r="AJ176" s="228">
        <v>4.05</v>
      </c>
      <c r="AK176" s="229">
        <v>-1.21E-2</v>
      </c>
      <c r="AL176" s="228">
        <v>-6.3</v>
      </c>
      <c r="AM176" s="228">
        <v>-11.3</v>
      </c>
      <c r="AN176" s="228">
        <v>5</v>
      </c>
      <c r="AO176" s="229">
        <v>-2.4299999999999999E-2</v>
      </c>
      <c r="AP176" s="228">
        <v>263.43</v>
      </c>
      <c r="AQ176" s="228">
        <v>257.23</v>
      </c>
      <c r="AR176" s="228">
        <v>0</v>
      </c>
      <c r="AS176" s="228">
        <v>670</v>
      </c>
      <c r="AT176" s="228">
        <v>785</v>
      </c>
      <c r="AU176" s="228">
        <v>-115</v>
      </c>
      <c r="AV176" s="229">
        <v>-0.1459</v>
      </c>
      <c r="AW176" s="228">
        <v>260</v>
      </c>
      <c r="AX176" s="228">
        <v>339</v>
      </c>
      <c r="AY176" s="228">
        <v>-80</v>
      </c>
      <c r="AZ176" s="229">
        <v>-0.2346</v>
      </c>
      <c r="BA176" s="228">
        <v>377</v>
      </c>
      <c r="BB176" s="228">
        <v>426</v>
      </c>
      <c r="BC176" s="228">
        <v>-49</v>
      </c>
      <c r="BD176" s="229">
        <v>-0.1157</v>
      </c>
      <c r="BE176" s="228">
        <v>34</v>
      </c>
      <c r="BF176" s="228">
        <v>19</v>
      </c>
      <c r="BG176" s="228">
        <v>14</v>
      </c>
      <c r="BH176" s="229">
        <v>0.74139999999999995</v>
      </c>
      <c r="BI176" s="230">
        <v>1089</v>
      </c>
      <c r="BJ176" s="228">
        <v>736</v>
      </c>
      <c r="BK176" s="228">
        <v>353</v>
      </c>
      <c r="BL176" s="229">
        <v>0.48020000000000002</v>
      </c>
      <c r="BM176" s="228">
        <v>733</v>
      </c>
      <c r="BN176" s="228">
        <v>311</v>
      </c>
      <c r="BO176" s="228">
        <v>421</v>
      </c>
      <c r="BP176" s="229">
        <v>1.3529</v>
      </c>
      <c r="BQ176" s="230">
        <v>2492</v>
      </c>
      <c r="BR176" s="230">
        <v>1832</v>
      </c>
      <c r="BS176" s="228">
        <v>660</v>
      </c>
      <c r="BT176" s="229">
        <v>0.36020000000000002</v>
      </c>
      <c r="BU176" s="230">
        <v>22435449</v>
      </c>
      <c r="BV176" s="230">
        <v>7731869</v>
      </c>
      <c r="BW176" s="230">
        <v>14703580</v>
      </c>
      <c r="BX176" s="229">
        <v>1.9016999999999999</v>
      </c>
      <c r="BY176" s="230">
        <v>1342</v>
      </c>
      <c r="BZ176" s="230">
        <v>1435</v>
      </c>
      <c r="CA176" s="228">
        <v>-93</v>
      </c>
      <c r="CB176" s="229">
        <v>-6.4699999999999994E-2</v>
      </c>
      <c r="CC176" s="228">
        <v>55</v>
      </c>
      <c r="CD176" s="228">
        <v>146</v>
      </c>
      <c r="CE176" s="228">
        <v>-90</v>
      </c>
      <c r="CF176" s="229">
        <v>-0.61909999999999998</v>
      </c>
      <c r="CG176" s="230">
        <v>1216</v>
      </c>
      <c r="CH176" s="230">
        <v>1184</v>
      </c>
      <c r="CI176" s="228">
        <v>33</v>
      </c>
      <c r="CJ176" s="229">
        <v>2.76E-2</v>
      </c>
      <c r="CK176" s="228">
        <v>126</v>
      </c>
      <c r="CL176" s="228">
        <v>106</v>
      </c>
      <c r="CM176" s="228">
        <v>20</v>
      </c>
      <c r="CN176" s="229">
        <v>0.1885</v>
      </c>
      <c r="CO176" s="228">
        <v>331</v>
      </c>
      <c r="CP176" s="228">
        <v>577</v>
      </c>
      <c r="CQ176" s="228">
        <v>-246</v>
      </c>
      <c r="CR176" s="229">
        <v>-0.42570000000000002</v>
      </c>
      <c r="CS176" s="228">
        <v>254</v>
      </c>
      <c r="CT176" s="228">
        <v>378</v>
      </c>
      <c r="CU176" s="228">
        <v>-123</v>
      </c>
      <c r="CV176" s="229">
        <v>-0.32669999999999999</v>
      </c>
      <c r="CW176" s="230">
        <v>1928</v>
      </c>
      <c r="CX176" s="230">
        <v>2390</v>
      </c>
      <c r="CY176" s="228">
        <v>-462</v>
      </c>
      <c r="CZ176" s="229">
        <v>-0.1933</v>
      </c>
      <c r="DA176" s="228">
        <v>38.99</v>
      </c>
      <c r="DB176" s="228">
        <v>48.03</v>
      </c>
      <c r="DC176" s="228">
        <v>-9.0399999999999991</v>
      </c>
      <c r="DD176" s="228">
        <v>-9.0399999999999991</v>
      </c>
      <c r="DE176" s="228">
        <v>56.14</v>
      </c>
      <c r="DF176" s="228">
        <v>56.1</v>
      </c>
      <c r="DG176" s="228">
        <v>-17.149999999999999</v>
      </c>
      <c r="DH176" s="228">
        <v>0.04</v>
      </c>
      <c r="DI176" s="228">
        <v>39.56</v>
      </c>
      <c r="DJ176" s="228">
        <v>48.58</v>
      </c>
      <c r="DK176" s="228">
        <v>-9.02</v>
      </c>
      <c r="DL176" s="228">
        <v>-9.02</v>
      </c>
      <c r="DM176" s="228">
        <v>37.89</v>
      </c>
      <c r="DN176" s="228">
        <v>46.53</v>
      </c>
      <c r="DO176" s="228">
        <v>-8.64</v>
      </c>
      <c r="DP176" s="228">
        <v>-8.64</v>
      </c>
      <c r="DQ176" s="228">
        <v>0.77</v>
      </c>
      <c r="DR176" s="228">
        <v>0.66</v>
      </c>
      <c r="DS176" s="228">
        <v>0.11</v>
      </c>
      <c r="DT176" s="229">
        <v>0.16669999999999999</v>
      </c>
      <c r="DU176" s="228">
        <v>280</v>
      </c>
      <c r="DV176" s="228">
        <v>230</v>
      </c>
      <c r="DW176" s="228">
        <v>0.67</v>
      </c>
      <c r="DX176" s="228">
        <v>0.42</v>
      </c>
      <c r="DY176" s="228">
        <v>0.25</v>
      </c>
      <c r="DZ176" s="229">
        <v>0.59519999999999995</v>
      </c>
      <c r="EA176" s="229">
        <v>0.96030000000000004</v>
      </c>
      <c r="EB176" s="230">
        <v>50261575</v>
      </c>
      <c r="EC176" s="229">
        <v>-1.06E-2</v>
      </c>
      <c r="ED176" s="229">
        <v>0.96030000000000004</v>
      </c>
      <c r="EE176" s="228">
        <v>-6.2</v>
      </c>
      <c r="EF176" s="229">
        <v>-2.35E-2</v>
      </c>
      <c r="EG176" s="230">
        <v>7539443</v>
      </c>
      <c r="EH176" s="230">
        <v>3347263</v>
      </c>
      <c r="EI176" s="229">
        <v>1.2524</v>
      </c>
      <c r="EJ176" s="229">
        <v>0.33610000000000001</v>
      </c>
      <c r="EK176" s="231">
        <v>1206.5899999999999</v>
      </c>
      <c r="EL176" s="228">
        <v>773.6</v>
      </c>
      <c r="EM176" s="228">
        <v>686.71</v>
      </c>
      <c r="EN176" s="228">
        <v>208.99</v>
      </c>
      <c r="EO176" s="231">
        <v>2666.89</v>
      </c>
      <c r="EP176" s="231">
        <v>1998.7</v>
      </c>
      <c r="EQ176" s="228">
        <v>668.2</v>
      </c>
      <c r="ER176" s="229">
        <v>0.33429999999999999</v>
      </c>
      <c r="ES176" s="228">
        <v>369.51</v>
      </c>
      <c r="ET176" s="228">
        <v>265.06</v>
      </c>
      <c r="EU176" s="231">
        <v>1340.84</v>
      </c>
      <c r="EV176" s="231">
        <v>84941460</v>
      </c>
      <c r="EW176" s="231">
        <v>1975.41</v>
      </c>
      <c r="EX176" s="231">
        <v>2562.1</v>
      </c>
      <c r="EY176" s="228">
        <v>-586.69000000000005</v>
      </c>
      <c r="EZ176" s="229">
        <v>-0.22900000000000001</v>
      </c>
      <c r="FA176" s="229">
        <v>0.88460000000000005</v>
      </c>
      <c r="FB176" s="227" t="s">
        <v>567</v>
      </c>
      <c r="FC176">
        <f t="shared" si="3"/>
        <v>0</v>
      </c>
    </row>
    <row r="177" spans="1:159" ht="17.25" thickBot="1" x14ac:dyDescent="0.3">
      <c r="A177" s="226">
        <v>46168</v>
      </c>
      <c r="B177" s="227" t="s">
        <v>227</v>
      </c>
      <c r="C177" s="227" t="s">
        <v>282</v>
      </c>
      <c r="D177" s="228">
        <v>4700</v>
      </c>
      <c r="E177" s="228">
        <v>0</v>
      </c>
      <c r="F177" s="228">
        <v>205.65</v>
      </c>
      <c r="G177" s="228">
        <v>200.09</v>
      </c>
      <c r="H177" s="228">
        <v>5.56</v>
      </c>
      <c r="I177" s="229">
        <v>2.7799999999999998E-2</v>
      </c>
      <c r="J177" s="228">
        <v>203.84</v>
      </c>
      <c r="K177" s="228">
        <v>198.32</v>
      </c>
      <c r="L177" s="228">
        <v>5.52</v>
      </c>
      <c r="M177" s="229">
        <v>2.7799999999999998E-2</v>
      </c>
      <c r="N177" s="228">
        <v>203.1</v>
      </c>
      <c r="O177" s="228">
        <v>198.76</v>
      </c>
      <c r="P177" s="228">
        <v>4.34</v>
      </c>
      <c r="Q177" s="229">
        <v>2.18E-2</v>
      </c>
      <c r="R177" s="228">
        <v>205.65</v>
      </c>
      <c r="S177" s="228">
        <v>200.09</v>
      </c>
      <c r="T177" s="228">
        <v>5.56</v>
      </c>
      <c r="U177" s="229">
        <v>2.7799999999999998E-2</v>
      </c>
      <c r="V177" s="228">
        <v>205.25</v>
      </c>
      <c r="W177" s="228">
        <v>200.04</v>
      </c>
      <c r="X177" s="228">
        <v>5.21</v>
      </c>
      <c r="Y177" s="229">
        <v>2.5999999999999999E-2</v>
      </c>
      <c r="Z177" s="228">
        <v>1.81</v>
      </c>
      <c r="AA177" s="228">
        <v>0.44</v>
      </c>
      <c r="AB177" s="228">
        <v>1.37</v>
      </c>
      <c r="AC177" s="229">
        <v>8.8999999999999999E-3</v>
      </c>
      <c r="AD177" s="228">
        <v>-0.74</v>
      </c>
      <c r="AE177" s="228">
        <v>0.44</v>
      </c>
      <c r="AF177" s="228">
        <v>-1.18</v>
      </c>
      <c r="AG177" s="229">
        <v>-3.5999999999999999E-3</v>
      </c>
      <c r="AH177" s="228">
        <v>1.81</v>
      </c>
      <c r="AI177" s="228">
        <v>1.77</v>
      </c>
      <c r="AJ177" s="228">
        <v>0.04</v>
      </c>
      <c r="AK177" s="229">
        <v>8.8999999999999999E-3</v>
      </c>
      <c r="AL177" s="228">
        <v>1.41</v>
      </c>
      <c r="AM177" s="228">
        <v>1.72</v>
      </c>
      <c r="AN177" s="228">
        <v>-0.31</v>
      </c>
      <c r="AO177" s="229">
        <v>6.8999999999999999E-3</v>
      </c>
      <c r="AP177" s="228">
        <v>202.63</v>
      </c>
      <c r="AQ177" s="228">
        <v>204.35</v>
      </c>
      <c r="AR177" s="228">
        <v>0</v>
      </c>
      <c r="AS177" s="228">
        <v>990</v>
      </c>
      <c r="AT177" s="230">
        <v>1053</v>
      </c>
      <c r="AU177" s="228">
        <v>-63</v>
      </c>
      <c r="AV177" s="229">
        <v>-0.06</v>
      </c>
      <c r="AW177" s="228">
        <v>511</v>
      </c>
      <c r="AX177" s="228">
        <v>553</v>
      </c>
      <c r="AY177" s="228">
        <v>-42</v>
      </c>
      <c r="AZ177" s="229">
        <v>-7.5600000000000001E-2</v>
      </c>
      <c r="BA177" s="228">
        <v>478</v>
      </c>
      <c r="BB177" s="228">
        <v>500</v>
      </c>
      <c r="BC177" s="228">
        <v>-22</v>
      </c>
      <c r="BD177" s="229">
        <v>-4.3299999999999998E-2</v>
      </c>
      <c r="BE177" s="228">
        <v>1</v>
      </c>
      <c r="BF177" s="228">
        <v>0</v>
      </c>
      <c r="BG177" s="228">
        <v>0</v>
      </c>
      <c r="BH177" s="229">
        <v>0.75</v>
      </c>
      <c r="BI177" s="228">
        <v>42</v>
      </c>
      <c r="BJ177" s="228">
        <v>5</v>
      </c>
      <c r="BK177" s="228">
        <v>38</v>
      </c>
      <c r="BL177" s="229">
        <v>8.1042000000000005</v>
      </c>
      <c r="BM177" s="228">
        <v>35</v>
      </c>
      <c r="BN177" s="228">
        <v>12</v>
      </c>
      <c r="BO177" s="228">
        <v>23</v>
      </c>
      <c r="BP177" s="229">
        <v>1.9516</v>
      </c>
      <c r="BQ177" s="230">
        <v>1067</v>
      </c>
      <c r="BR177" s="230">
        <v>1069</v>
      </c>
      <c r="BS177" s="228">
        <v>-2</v>
      </c>
      <c r="BT177" s="229">
        <v>-2E-3</v>
      </c>
      <c r="BU177" s="230">
        <v>36779384</v>
      </c>
      <c r="BV177" s="230">
        <v>23375190</v>
      </c>
      <c r="BW177" s="230">
        <v>13404194</v>
      </c>
      <c r="BX177" s="229">
        <v>0.57340000000000002</v>
      </c>
      <c r="BY177" s="230">
        <v>3513</v>
      </c>
      <c r="BZ177" s="230">
        <v>3645</v>
      </c>
      <c r="CA177" s="228">
        <v>-132</v>
      </c>
      <c r="CB177" s="229">
        <v>-3.6299999999999999E-2</v>
      </c>
      <c r="CC177" s="228">
        <v>97</v>
      </c>
      <c r="CD177" s="228">
        <v>495</v>
      </c>
      <c r="CE177" s="228">
        <v>-398</v>
      </c>
      <c r="CF177" s="229">
        <v>-0.80330000000000001</v>
      </c>
      <c r="CG177" s="230">
        <v>3503</v>
      </c>
      <c r="CH177" s="230">
        <v>3141</v>
      </c>
      <c r="CI177" s="228">
        <v>363</v>
      </c>
      <c r="CJ177" s="229">
        <v>0.11550000000000001</v>
      </c>
      <c r="CK177" s="228">
        <v>10</v>
      </c>
      <c r="CL177" s="228">
        <v>10</v>
      </c>
      <c r="CM177" s="228">
        <v>0</v>
      </c>
      <c r="CN177" s="229">
        <v>-0.01</v>
      </c>
      <c r="CO177" s="228">
        <v>9</v>
      </c>
      <c r="CP177" s="228">
        <v>188</v>
      </c>
      <c r="CQ177" s="228">
        <v>-179</v>
      </c>
      <c r="CR177" s="229">
        <v>-0.95120000000000005</v>
      </c>
      <c r="CS177" s="228">
        <v>2</v>
      </c>
      <c r="CT177" s="228">
        <v>118</v>
      </c>
      <c r="CU177" s="228">
        <v>-117</v>
      </c>
      <c r="CV177" s="229">
        <v>-0.9869</v>
      </c>
      <c r="CW177" s="230">
        <v>3524</v>
      </c>
      <c r="CX177" s="230">
        <v>3951</v>
      </c>
      <c r="CY177" s="228">
        <v>-428</v>
      </c>
      <c r="CZ177" s="229">
        <v>-0.1082</v>
      </c>
      <c r="DA177" s="228">
        <v>44.43</v>
      </c>
      <c r="DB177" s="228">
        <v>40.58</v>
      </c>
      <c r="DC177" s="228">
        <v>3.85</v>
      </c>
      <c r="DD177" s="228">
        <v>3.85</v>
      </c>
      <c r="DE177" s="228">
        <v>46.6</v>
      </c>
      <c r="DF177" s="228">
        <v>46.56</v>
      </c>
      <c r="DG177" s="228">
        <v>-2.17</v>
      </c>
      <c r="DH177" s="228">
        <v>0.04</v>
      </c>
      <c r="DI177" s="228">
        <v>43.67</v>
      </c>
      <c r="DJ177" s="228">
        <v>40.58</v>
      </c>
      <c r="DK177" s="228">
        <v>3.09</v>
      </c>
      <c r="DL177" s="228">
        <v>3.09</v>
      </c>
      <c r="DM177" s="228">
        <v>46.45</v>
      </c>
      <c r="DN177" s="228">
        <v>40.58</v>
      </c>
      <c r="DO177" s="228">
        <v>5.87</v>
      </c>
      <c r="DP177" s="228">
        <v>5.87</v>
      </c>
      <c r="DQ177" s="228">
        <v>0.17</v>
      </c>
      <c r="DR177" s="228">
        <v>0.63</v>
      </c>
      <c r="DS177" s="228">
        <v>-0.46</v>
      </c>
      <c r="DT177" s="229">
        <v>-0.73019999999999996</v>
      </c>
      <c r="DU177" s="228">
        <v>187.5</v>
      </c>
      <c r="DV177" s="228">
        <v>180</v>
      </c>
      <c r="DW177" s="228">
        <v>0.84</v>
      </c>
      <c r="DX177" s="228">
        <v>2.58</v>
      </c>
      <c r="DY177" s="228">
        <v>-1.74</v>
      </c>
      <c r="DZ177" s="229">
        <v>-0.6744</v>
      </c>
      <c r="EA177" s="229">
        <v>0.97299999999999998</v>
      </c>
      <c r="EB177" s="230">
        <v>153191800</v>
      </c>
      <c r="EC177" s="229">
        <v>1.26E-2</v>
      </c>
      <c r="ED177" s="229">
        <v>0.97299999999999998</v>
      </c>
      <c r="EE177" s="228">
        <v>1.72</v>
      </c>
      <c r="EF177" s="229">
        <v>8.5000000000000006E-3</v>
      </c>
      <c r="EG177" s="230">
        <v>13954729</v>
      </c>
      <c r="EH177" s="230">
        <v>10623250</v>
      </c>
      <c r="EI177" s="229">
        <v>0.31359999999999999</v>
      </c>
      <c r="EJ177" s="229">
        <v>0.37940000000000002</v>
      </c>
      <c r="EK177" s="228">
        <v>42.08</v>
      </c>
      <c r="EL177" s="228">
        <v>31.79</v>
      </c>
      <c r="EM177" s="228">
        <v>979.13</v>
      </c>
      <c r="EN177" s="228">
        <v>102.34</v>
      </c>
      <c r="EO177" s="231">
        <v>1053</v>
      </c>
      <c r="EP177" s="231">
        <v>1029.24</v>
      </c>
      <c r="EQ177" s="228">
        <v>23.76</v>
      </c>
      <c r="ER177" s="229">
        <v>2.3099999999999999E-2</v>
      </c>
      <c r="ES177" s="228">
        <v>8.8699999999999992</v>
      </c>
      <c r="ET177" s="228">
        <v>1.39</v>
      </c>
      <c r="EU177" s="231">
        <v>3513.02</v>
      </c>
      <c r="EV177" s="231">
        <v>216861410</v>
      </c>
      <c r="EW177" s="231">
        <v>3523.28</v>
      </c>
      <c r="EX177" s="231">
        <v>3820.64</v>
      </c>
      <c r="EY177" s="228">
        <v>-297.36</v>
      </c>
      <c r="EZ177" s="229">
        <v>-7.7799999999999994E-2</v>
      </c>
      <c r="FA177" s="229">
        <v>0.79010000000000002</v>
      </c>
      <c r="FB177" s="227" t="s">
        <v>691</v>
      </c>
      <c r="FC177">
        <f t="shared" si="3"/>
        <v>0</v>
      </c>
    </row>
    <row r="178" spans="1:159" ht="17.25" thickBot="1" x14ac:dyDescent="0.3">
      <c r="A178" s="226">
        <v>46168</v>
      </c>
      <c r="B178" s="227" t="s">
        <v>175</v>
      </c>
      <c r="C178" s="227" t="s">
        <v>682</v>
      </c>
      <c r="D178" s="228">
        <v>4300</v>
      </c>
      <c r="E178" s="228">
        <v>0</v>
      </c>
      <c r="F178" s="228">
        <v>169.05</v>
      </c>
      <c r="G178" s="228">
        <v>169.88</v>
      </c>
      <c r="H178" s="228">
        <v>-0.83</v>
      </c>
      <c r="I178" s="229">
        <v>-4.8999999999999998E-3</v>
      </c>
      <c r="J178" s="228">
        <v>167.71</v>
      </c>
      <c r="K178" s="228">
        <v>168.56</v>
      </c>
      <c r="L178" s="228">
        <v>-0.85</v>
      </c>
      <c r="M178" s="229">
        <v>-5.0000000000000001E-3</v>
      </c>
      <c r="N178" s="228">
        <v>167.67</v>
      </c>
      <c r="O178" s="228">
        <v>168.81</v>
      </c>
      <c r="P178" s="228">
        <v>-1.1399999999999999</v>
      </c>
      <c r="Q178" s="229">
        <v>-6.7999999999999996E-3</v>
      </c>
      <c r="R178" s="228">
        <v>169.05</v>
      </c>
      <c r="S178" s="228">
        <v>169.88</v>
      </c>
      <c r="T178" s="228">
        <v>-0.83</v>
      </c>
      <c r="U178" s="229">
        <v>-4.8999999999999998E-3</v>
      </c>
      <c r="V178" s="228">
        <v>0</v>
      </c>
      <c r="W178" s="228">
        <v>0</v>
      </c>
      <c r="X178" s="228">
        <v>0</v>
      </c>
      <c r="Y178" s="229">
        <v>0</v>
      </c>
      <c r="Z178" s="228">
        <v>1.34</v>
      </c>
      <c r="AA178" s="228">
        <v>0.25</v>
      </c>
      <c r="AB178" s="228">
        <v>1.0900000000000001</v>
      </c>
      <c r="AC178" s="229">
        <v>8.0000000000000002E-3</v>
      </c>
      <c r="AD178" s="228">
        <v>-0.04</v>
      </c>
      <c r="AE178" s="228">
        <v>0.25</v>
      </c>
      <c r="AF178" s="228">
        <v>-0.28999999999999998</v>
      </c>
      <c r="AG178" s="229">
        <v>-2.0000000000000001E-4</v>
      </c>
      <c r="AH178" s="228">
        <v>1.34</v>
      </c>
      <c r="AI178" s="228">
        <v>1.32</v>
      </c>
      <c r="AJ178" s="228">
        <v>0.02</v>
      </c>
      <c r="AK178" s="229">
        <v>8.0000000000000002E-3</v>
      </c>
      <c r="AL178" s="228">
        <v>0</v>
      </c>
      <c r="AM178" s="228">
        <v>0</v>
      </c>
      <c r="AN178" s="228">
        <v>0</v>
      </c>
      <c r="AO178" s="229">
        <v>0</v>
      </c>
      <c r="AP178" s="228">
        <v>169.2</v>
      </c>
      <c r="AQ178" s="228">
        <v>170.32</v>
      </c>
      <c r="AR178" s="228">
        <v>0</v>
      </c>
      <c r="AS178" s="228">
        <v>876</v>
      </c>
      <c r="AT178" s="230">
        <v>1272</v>
      </c>
      <c r="AU178" s="228">
        <v>-396</v>
      </c>
      <c r="AV178" s="229">
        <v>-0.31109999999999999</v>
      </c>
      <c r="AW178" s="228">
        <v>363</v>
      </c>
      <c r="AX178" s="228">
        <v>559</v>
      </c>
      <c r="AY178" s="228">
        <v>-196</v>
      </c>
      <c r="AZ178" s="229">
        <v>-0.35089999999999999</v>
      </c>
      <c r="BA178" s="228">
        <v>514</v>
      </c>
      <c r="BB178" s="228">
        <v>713</v>
      </c>
      <c r="BC178" s="228">
        <v>-200</v>
      </c>
      <c r="BD178" s="229">
        <v>-0.27989999999999998</v>
      </c>
      <c r="BE178" s="228">
        <v>0</v>
      </c>
      <c r="BF178" s="228">
        <v>0</v>
      </c>
      <c r="BG178" s="228">
        <v>0</v>
      </c>
      <c r="BH178" s="229">
        <v>0</v>
      </c>
      <c r="BI178" s="228">
        <v>578</v>
      </c>
      <c r="BJ178" s="230">
        <v>1934</v>
      </c>
      <c r="BK178" s="230">
        <v>-1356</v>
      </c>
      <c r="BL178" s="229">
        <v>-0.70109999999999995</v>
      </c>
      <c r="BM178" s="228">
        <v>388</v>
      </c>
      <c r="BN178" s="228">
        <v>977</v>
      </c>
      <c r="BO178" s="228">
        <v>-589</v>
      </c>
      <c r="BP178" s="229">
        <v>-0.60270000000000001</v>
      </c>
      <c r="BQ178" s="230">
        <v>1843</v>
      </c>
      <c r="BR178" s="230">
        <v>4183</v>
      </c>
      <c r="BS178" s="230">
        <v>-2341</v>
      </c>
      <c r="BT178" s="229">
        <v>-0.5595</v>
      </c>
      <c r="BU178" s="230">
        <v>19503609</v>
      </c>
      <c r="BV178" s="230">
        <v>41737350</v>
      </c>
      <c r="BW178" s="230">
        <v>-22233741</v>
      </c>
      <c r="BX178" s="229">
        <v>-0.53269999999999995</v>
      </c>
      <c r="BY178" s="230">
        <v>1333</v>
      </c>
      <c r="BZ178" s="230">
        <v>1505</v>
      </c>
      <c r="CA178" s="228">
        <v>-172</v>
      </c>
      <c r="CB178" s="229">
        <v>-0.1144</v>
      </c>
      <c r="CC178" s="228">
        <v>146</v>
      </c>
      <c r="CD178" s="228">
        <v>378</v>
      </c>
      <c r="CE178" s="228">
        <v>-232</v>
      </c>
      <c r="CF178" s="229">
        <v>-0.61480000000000001</v>
      </c>
      <c r="CG178" s="230">
        <v>1333</v>
      </c>
      <c r="CH178" s="230">
        <v>1127</v>
      </c>
      <c r="CI178" s="228">
        <v>206</v>
      </c>
      <c r="CJ178" s="229">
        <v>0.18279999999999999</v>
      </c>
      <c r="CK178" s="228">
        <v>0</v>
      </c>
      <c r="CL178" s="228">
        <v>0</v>
      </c>
      <c r="CM178" s="228">
        <v>0</v>
      </c>
      <c r="CN178" s="229">
        <v>0</v>
      </c>
      <c r="CO178" s="228">
        <v>302</v>
      </c>
      <c r="CP178" s="228">
        <v>501</v>
      </c>
      <c r="CQ178" s="228">
        <v>-198</v>
      </c>
      <c r="CR178" s="229">
        <v>-0.39629999999999999</v>
      </c>
      <c r="CS178" s="228">
        <v>261</v>
      </c>
      <c r="CT178" s="228">
        <v>598</v>
      </c>
      <c r="CU178" s="228">
        <v>-337</v>
      </c>
      <c r="CV178" s="229">
        <v>-0.56310000000000004</v>
      </c>
      <c r="CW178" s="230">
        <v>1896</v>
      </c>
      <c r="CX178" s="230">
        <v>2604</v>
      </c>
      <c r="CY178" s="228">
        <v>-707</v>
      </c>
      <c r="CZ178" s="229">
        <v>-0.27160000000000001</v>
      </c>
      <c r="DA178" s="228">
        <v>33.299999999999997</v>
      </c>
      <c r="DB178" s="228">
        <v>35.28</v>
      </c>
      <c r="DC178" s="228">
        <v>-1.98</v>
      </c>
      <c r="DD178" s="228">
        <v>-1.98</v>
      </c>
      <c r="DE178" s="228">
        <v>53.47</v>
      </c>
      <c r="DF178" s="228">
        <v>53.6</v>
      </c>
      <c r="DG178" s="228">
        <v>-20.170000000000002</v>
      </c>
      <c r="DH178" s="228">
        <v>-0.13</v>
      </c>
      <c r="DI178" s="228">
        <v>34.19</v>
      </c>
      <c r="DJ178" s="228">
        <v>35.43</v>
      </c>
      <c r="DK178" s="228">
        <v>-1.24</v>
      </c>
      <c r="DL178" s="228">
        <v>-1.24</v>
      </c>
      <c r="DM178" s="228">
        <v>32.159999999999997</v>
      </c>
      <c r="DN178" s="228">
        <v>34.94</v>
      </c>
      <c r="DO178" s="228">
        <v>-2.78</v>
      </c>
      <c r="DP178" s="228">
        <v>-2.78</v>
      </c>
      <c r="DQ178" s="228">
        <v>0.86</v>
      </c>
      <c r="DR178" s="228">
        <v>1.19</v>
      </c>
      <c r="DS178" s="228">
        <v>-0.33</v>
      </c>
      <c r="DT178" s="229">
        <v>-0.27729999999999999</v>
      </c>
      <c r="DU178" s="228">
        <v>170</v>
      </c>
      <c r="DV178" s="228">
        <v>150</v>
      </c>
      <c r="DW178" s="228">
        <v>0.67</v>
      </c>
      <c r="DX178" s="228">
        <v>0.51</v>
      </c>
      <c r="DY178" s="228">
        <v>0.16</v>
      </c>
      <c r="DZ178" s="229">
        <v>0.31369999999999998</v>
      </c>
      <c r="EA178" s="229">
        <v>0.90149999999999997</v>
      </c>
      <c r="EB178" s="230">
        <v>66658600</v>
      </c>
      <c r="EC178" s="229">
        <v>8.2000000000000007E-3</v>
      </c>
      <c r="ED178" s="229">
        <v>0.90149999999999997</v>
      </c>
      <c r="EE178" s="228">
        <v>1.1200000000000001</v>
      </c>
      <c r="EF178" s="229">
        <v>6.6E-3</v>
      </c>
      <c r="EG178" s="230">
        <v>7589787</v>
      </c>
      <c r="EH178" s="230">
        <v>13065678</v>
      </c>
      <c r="EI178" s="229">
        <v>-0.41909999999999997</v>
      </c>
      <c r="EJ178" s="229">
        <v>0.3891</v>
      </c>
      <c r="EK178" s="228">
        <v>600.69000000000005</v>
      </c>
      <c r="EL178" s="228">
        <v>373.41</v>
      </c>
      <c r="EM178" s="228">
        <v>880.47</v>
      </c>
      <c r="EN178" s="228">
        <v>149.75</v>
      </c>
      <c r="EO178" s="231">
        <v>1854.57</v>
      </c>
      <c r="EP178" s="231">
        <v>4168.55</v>
      </c>
      <c r="EQ178" s="231">
        <v>-2313.9699999999998</v>
      </c>
      <c r="ER178" s="229">
        <v>-0.55510000000000004</v>
      </c>
      <c r="ES178" s="228">
        <v>298.39999999999998</v>
      </c>
      <c r="ET178" s="228">
        <v>243.71</v>
      </c>
      <c r="EU178" s="231">
        <v>1332.8</v>
      </c>
      <c r="EV178" s="231">
        <v>122372064</v>
      </c>
      <c r="EW178" s="231">
        <v>1874.91</v>
      </c>
      <c r="EX178" s="231">
        <v>2529.44</v>
      </c>
      <c r="EY178" s="228">
        <v>-654.53</v>
      </c>
      <c r="EZ178" s="229">
        <v>-0.25879999999999997</v>
      </c>
      <c r="FA178" s="229">
        <v>0.91669999999999996</v>
      </c>
      <c r="FB178" s="227" t="s">
        <v>567</v>
      </c>
      <c r="FC178">
        <f t="shared" si="3"/>
        <v>0</v>
      </c>
    </row>
    <row r="179" spans="1:159" ht="17.25" thickBot="1" x14ac:dyDescent="0.3">
      <c r="A179" s="226">
        <v>46168</v>
      </c>
      <c r="B179" s="227" t="s">
        <v>175</v>
      </c>
      <c r="C179" s="227" t="s">
        <v>536</v>
      </c>
      <c r="D179" s="228">
        <v>800</v>
      </c>
      <c r="E179" s="228">
        <v>0</v>
      </c>
      <c r="F179" s="228">
        <v>620.4</v>
      </c>
      <c r="G179" s="228">
        <v>619.95000000000005</v>
      </c>
      <c r="H179" s="228">
        <v>0.45</v>
      </c>
      <c r="I179" s="229">
        <v>6.9999999999999999E-4</v>
      </c>
      <c r="J179" s="228">
        <v>628.70000000000005</v>
      </c>
      <c r="K179" s="228">
        <v>630.29999999999995</v>
      </c>
      <c r="L179" s="228">
        <v>-1.6</v>
      </c>
      <c r="M179" s="229">
        <v>-2.5000000000000001E-3</v>
      </c>
      <c r="N179" s="228">
        <v>626.70000000000005</v>
      </c>
      <c r="O179" s="228">
        <v>632.15</v>
      </c>
      <c r="P179" s="228">
        <v>-5.45</v>
      </c>
      <c r="Q179" s="229">
        <v>-8.6E-3</v>
      </c>
      <c r="R179" s="228">
        <v>620.4</v>
      </c>
      <c r="S179" s="228">
        <v>619.95000000000005</v>
      </c>
      <c r="T179" s="228">
        <v>0.45</v>
      </c>
      <c r="U179" s="229">
        <v>6.9999999999999999E-4</v>
      </c>
      <c r="V179" s="228">
        <v>614.95000000000005</v>
      </c>
      <c r="W179" s="228">
        <v>614.54999999999995</v>
      </c>
      <c r="X179" s="228">
        <v>0.4</v>
      </c>
      <c r="Y179" s="229">
        <v>6.9999999999999999E-4</v>
      </c>
      <c r="Z179" s="228">
        <v>-8.3000000000000007</v>
      </c>
      <c r="AA179" s="228">
        <v>1.85</v>
      </c>
      <c r="AB179" s="228">
        <v>-10.15</v>
      </c>
      <c r="AC179" s="229">
        <v>-1.32E-2</v>
      </c>
      <c r="AD179" s="228">
        <v>-2</v>
      </c>
      <c r="AE179" s="228">
        <v>1.85</v>
      </c>
      <c r="AF179" s="228">
        <v>-3.85</v>
      </c>
      <c r="AG179" s="229">
        <v>-3.2000000000000002E-3</v>
      </c>
      <c r="AH179" s="228">
        <v>-8.3000000000000007</v>
      </c>
      <c r="AI179" s="228">
        <v>-10.35</v>
      </c>
      <c r="AJ179" s="228">
        <v>2.0499999999999998</v>
      </c>
      <c r="AK179" s="229">
        <v>-1.32E-2</v>
      </c>
      <c r="AL179" s="228">
        <v>-13.75</v>
      </c>
      <c r="AM179" s="228">
        <v>-15.75</v>
      </c>
      <c r="AN179" s="228">
        <v>2</v>
      </c>
      <c r="AO179" s="229">
        <v>-2.1899999999999999E-2</v>
      </c>
      <c r="AP179" s="228">
        <v>632.82000000000005</v>
      </c>
      <c r="AQ179" s="228">
        <v>623.46</v>
      </c>
      <c r="AR179" s="228">
        <v>0</v>
      </c>
      <c r="AS179" s="228">
        <v>709</v>
      </c>
      <c r="AT179" s="228">
        <v>808</v>
      </c>
      <c r="AU179" s="228">
        <v>-99</v>
      </c>
      <c r="AV179" s="229">
        <v>-0.1227</v>
      </c>
      <c r="AW179" s="228">
        <v>273</v>
      </c>
      <c r="AX179" s="228">
        <v>368</v>
      </c>
      <c r="AY179" s="228">
        <v>-94</v>
      </c>
      <c r="AZ179" s="229">
        <v>-0.25700000000000001</v>
      </c>
      <c r="BA179" s="228">
        <v>399</v>
      </c>
      <c r="BB179" s="228">
        <v>423</v>
      </c>
      <c r="BC179" s="228">
        <v>-23</v>
      </c>
      <c r="BD179" s="229">
        <v>-5.4899999999999997E-2</v>
      </c>
      <c r="BE179" s="228">
        <v>36</v>
      </c>
      <c r="BF179" s="228">
        <v>18</v>
      </c>
      <c r="BG179" s="228">
        <v>19</v>
      </c>
      <c r="BH179" s="229">
        <v>1.0448</v>
      </c>
      <c r="BI179" s="228">
        <v>527</v>
      </c>
      <c r="BJ179" s="228">
        <v>601</v>
      </c>
      <c r="BK179" s="228">
        <v>-74</v>
      </c>
      <c r="BL179" s="229">
        <v>-0.1234</v>
      </c>
      <c r="BM179" s="228">
        <v>252</v>
      </c>
      <c r="BN179" s="228">
        <v>251</v>
      </c>
      <c r="BO179" s="228">
        <v>1</v>
      </c>
      <c r="BP179" s="229">
        <v>5.1000000000000004E-3</v>
      </c>
      <c r="BQ179" s="230">
        <v>1487</v>
      </c>
      <c r="BR179" s="230">
        <v>1659</v>
      </c>
      <c r="BS179" s="228">
        <v>-172</v>
      </c>
      <c r="BT179" s="229">
        <v>-0.1037</v>
      </c>
      <c r="BU179" s="230">
        <v>1365449</v>
      </c>
      <c r="BV179" s="230">
        <v>565809</v>
      </c>
      <c r="BW179" s="230">
        <v>799640</v>
      </c>
      <c r="BX179" s="229">
        <v>1.4133</v>
      </c>
      <c r="BY179" s="230">
        <v>1611</v>
      </c>
      <c r="BZ179" s="230">
        <v>1713</v>
      </c>
      <c r="CA179" s="228">
        <v>-102</v>
      </c>
      <c r="CB179" s="229">
        <v>-5.96E-2</v>
      </c>
      <c r="CC179" s="228">
        <v>49</v>
      </c>
      <c r="CD179" s="228">
        <v>176</v>
      </c>
      <c r="CE179" s="228">
        <v>-127</v>
      </c>
      <c r="CF179" s="229">
        <v>-0.7228</v>
      </c>
      <c r="CG179" s="230">
        <v>1529</v>
      </c>
      <c r="CH179" s="230">
        <v>1474</v>
      </c>
      <c r="CI179" s="228">
        <v>55</v>
      </c>
      <c r="CJ179" s="229">
        <v>3.6999999999999998E-2</v>
      </c>
      <c r="CK179" s="228">
        <v>82</v>
      </c>
      <c r="CL179" s="228">
        <v>63</v>
      </c>
      <c r="CM179" s="228">
        <v>19</v>
      </c>
      <c r="CN179" s="229">
        <v>0.307</v>
      </c>
      <c r="CO179" s="228">
        <v>367</v>
      </c>
      <c r="CP179" s="228">
        <v>618</v>
      </c>
      <c r="CQ179" s="228">
        <v>-251</v>
      </c>
      <c r="CR179" s="229">
        <v>-0.40570000000000001</v>
      </c>
      <c r="CS179" s="228">
        <v>277</v>
      </c>
      <c r="CT179" s="228">
        <v>414</v>
      </c>
      <c r="CU179" s="228">
        <v>-137</v>
      </c>
      <c r="CV179" s="229">
        <v>-0.33129999999999998</v>
      </c>
      <c r="CW179" s="230">
        <v>2255</v>
      </c>
      <c r="CX179" s="230">
        <v>2745</v>
      </c>
      <c r="CY179" s="228">
        <v>-490</v>
      </c>
      <c r="CZ179" s="229">
        <v>-0.17849999999999999</v>
      </c>
      <c r="DA179" s="228">
        <v>28.74</v>
      </c>
      <c r="DB179" s="228">
        <v>30.21</v>
      </c>
      <c r="DC179" s="228">
        <v>-1.47</v>
      </c>
      <c r="DD179" s="228">
        <v>-1.47</v>
      </c>
      <c r="DE179" s="228">
        <v>31.26</v>
      </c>
      <c r="DF179" s="228">
        <v>31.34</v>
      </c>
      <c r="DG179" s="228">
        <v>-2.52</v>
      </c>
      <c r="DH179" s="228">
        <v>-0.08</v>
      </c>
      <c r="DI179" s="228">
        <v>28.96</v>
      </c>
      <c r="DJ179" s="228">
        <v>30.64</v>
      </c>
      <c r="DK179" s="228">
        <v>-1.68</v>
      </c>
      <c r="DL179" s="228">
        <v>-1.68</v>
      </c>
      <c r="DM179" s="228">
        <v>28.13</v>
      </c>
      <c r="DN179" s="228">
        <v>29.14</v>
      </c>
      <c r="DO179" s="228">
        <v>-1.01</v>
      </c>
      <c r="DP179" s="228">
        <v>-1.01</v>
      </c>
      <c r="DQ179" s="228">
        <v>0.75</v>
      </c>
      <c r="DR179" s="228">
        <v>0.67</v>
      </c>
      <c r="DS179" s="228">
        <v>0.08</v>
      </c>
      <c r="DT179" s="229">
        <v>0.11940000000000001</v>
      </c>
      <c r="DU179" s="228">
        <v>640</v>
      </c>
      <c r="DV179" s="228">
        <v>620</v>
      </c>
      <c r="DW179" s="228">
        <v>0.48</v>
      </c>
      <c r="DX179" s="228">
        <v>0.42</v>
      </c>
      <c r="DY179" s="228">
        <v>0.06</v>
      </c>
      <c r="DZ179" s="229">
        <v>0.1429</v>
      </c>
      <c r="EA179" s="229">
        <v>0.97060000000000002</v>
      </c>
      <c r="EB179" s="230">
        <v>24774400</v>
      </c>
      <c r="EC179" s="229">
        <v>-1.01E-2</v>
      </c>
      <c r="ED179" s="229">
        <v>0.97060000000000002</v>
      </c>
      <c r="EE179" s="228">
        <v>-9.36</v>
      </c>
      <c r="EF179" s="229">
        <v>-1.4800000000000001E-2</v>
      </c>
      <c r="EG179" s="230">
        <v>563546</v>
      </c>
      <c r="EH179" s="230">
        <v>186105</v>
      </c>
      <c r="EI179" s="229">
        <v>2.0280999999999998</v>
      </c>
      <c r="EJ179" s="229">
        <v>0.41270000000000001</v>
      </c>
      <c r="EK179" s="228">
        <v>564.13</v>
      </c>
      <c r="EL179" s="228">
        <v>260.18</v>
      </c>
      <c r="EM179" s="228">
        <v>716.09</v>
      </c>
      <c r="EN179" s="228">
        <v>172.53</v>
      </c>
      <c r="EO179" s="231">
        <v>1540.4</v>
      </c>
      <c r="EP179" s="231">
        <v>1711.89</v>
      </c>
      <c r="EQ179" s="228">
        <v>-171.5</v>
      </c>
      <c r="ER179" s="229">
        <v>-0.1002</v>
      </c>
      <c r="ES179" s="228">
        <v>385.61</v>
      </c>
      <c r="ET179" s="228">
        <v>277.10000000000002</v>
      </c>
      <c r="EU179" s="231">
        <v>1610.13</v>
      </c>
      <c r="EV179" s="231">
        <v>44841373</v>
      </c>
      <c r="EW179" s="231">
        <v>2272.84</v>
      </c>
      <c r="EX179" s="231">
        <v>2802.82</v>
      </c>
      <c r="EY179" s="228">
        <v>-529.98</v>
      </c>
      <c r="EZ179" s="229">
        <v>-0.18909999999999999</v>
      </c>
      <c r="FA179" s="229">
        <v>0.81059999999999999</v>
      </c>
      <c r="FB179" s="227" t="s">
        <v>691</v>
      </c>
      <c r="FC179">
        <f t="shared" si="3"/>
        <v>0</v>
      </c>
    </row>
    <row r="180" spans="1:159" ht="17.25" thickBot="1" x14ac:dyDescent="0.3">
      <c r="A180" s="226">
        <v>46168</v>
      </c>
      <c r="B180" s="227" t="s">
        <v>175</v>
      </c>
      <c r="C180" s="227" t="s">
        <v>462</v>
      </c>
      <c r="D180" s="228">
        <v>375</v>
      </c>
      <c r="E180" s="228">
        <v>0</v>
      </c>
      <c r="F180" s="231">
        <v>1892</v>
      </c>
      <c r="G180" s="231">
        <v>1909.6</v>
      </c>
      <c r="H180" s="228">
        <v>-17.600000000000001</v>
      </c>
      <c r="I180" s="229">
        <v>-9.1999999999999998E-3</v>
      </c>
      <c r="J180" s="231">
        <v>1883.2</v>
      </c>
      <c r="K180" s="231">
        <v>1901.9</v>
      </c>
      <c r="L180" s="228">
        <v>-18.7</v>
      </c>
      <c r="M180" s="229">
        <v>-9.7999999999999997E-3</v>
      </c>
      <c r="N180" s="231">
        <v>1876.3</v>
      </c>
      <c r="O180" s="231">
        <v>1894.3</v>
      </c>
      <c r="P180" s="228">
        <v>-18</v>
      </c>
      <c r="Q180" s="229">
        <v>-9.4999999999999998E-3</v>
      </c>
      <c r="R180" s="231">
        <v>1892</v>
      </c>
      <c r="S180" s="231">
        <v>1909.6</v>
      </c>
      <c r="T180" s="228">
        <v>-17.600000000000001</v>
      </c>
      <c r="U180" s="229">
        <v>-9.1999999999999998E-3</v>
      </c>
      <c r="V180" s="231">
        <v>1905.3</v>
      </c>
      <c r="W180" s="231">
        <v>1921.1</v>
      </c>
      <c r="X180" s="228">
        <v>-15.8</v>
      </c>
      <c r="Y180" s="229">
        <v>-8.2000000000000007E-3</v>
      </c>
      <c r="Z180" s="228">
        <v>8.8000000000000007</v>
      </c>
      <c r="AA180" s="228">
        <v>-7.6</v>
      </c>
      <c r="AB180" s="228">
        <v>16.399999999999999</v>
      </c>
      <c r="AC180" s="229">
        <v>4.7000000000000002E-3</v>
      </c>
      <c r="AD180" s="228">
        <v>-6.9</v>
      </c>
      <c r="AE180" s="228">
        <v>-7.6</v>
      </c>
      <c r="AF180" s="228">
        <v>0.7</v>
      </c>
      <c r="AG180" s="229">
        <v>-3.7000000000000002E-3</v>
      </c>
      <c r="AH180" s="228">
        <v>8.8000000000000007</v>
      </c>
      <c r="AI180" s="228">
        <v>7.7</v>
      </c>
      <c r="AJ180" s="228">
        <v>1.1000000000000001</v>
      </c>
      <c r="AK180" s="229">
        <v>4.7000000000000002E-3</v>
      </c>
      <c r="AL180" s="228">
        <v>22.1</v>
      </c>
      <c r="AM180" s="228">
        <v>19.2</v>
      </c>
      <c r="AN180" s="228">
        <v>2.9</v>
      </c>
      <c r="AO180" s="229">
        <v>1.17E-2</v>
      </c>
      <c r="AP180" s="231">
        <v>1882.34</v>
      </c>
      <c r="AQ180" s="231">
        <v>1898.36</v>
      </c>
      <c r="AR180" s="228">
        <v>0</v>
      </c>
      <c r="AS180" s="228">
        <v>639</v>
      </c>
      <c r="AT180" s="228">
        <v>781</v>
      </c>
      <c r="AU180" s="228">
        <v>-142</v>
      </c>
      <c r="AV180" s="229">
        <v>-0.18179999999999999</v>
      </c>
      <c r="AW180" s="228">
        <v>343</v>
      </c>
      <c r="AX180" s="228">
        <v>398</v>
      </c>
      <c r="AY180" s="228">
        <v>-54</v>
      </c>
      <c r="AZ180" s="229">
        <v>-0.1363</v>
      </c>
      <c r="BA180" s="228">
        <v>294</v>
      </c>
      <c r="BB180" s="228">
        <v>381</v>
      </c>
      <c r="BC180" s="228">
        <v>-87</v>
      </c>
      <c r="BD180" s="229">
        <v>-0.22839999999999999</v>
      </c>
      <c r="BE180" s="228">
        <v>2</v>
      </c>
      <c r="BF180" s="228">
        <v>2</v>
      </c>
      <c r="BG180" s="228">
        <v>-1</v>
      </c>
      <c r="BH180" s="229">
        <v>-0.32350000000000001</v>
      </c>
      <c r="BI180" s="228">
        <v>534</v>
      </c>
      <c r="BJ180" s="228">
        <v>792</v>
      </c>
      <c r="BK180" s="228">
        <v>-258</v>
      </c>
      <c r="BL180" s="229">
        <v>-0.32519999999999999</v>
      </c>
      <c r="BM180" s="228">
        <v>258</v>
      </c>
      <c r="BN180" s="228">
        <v>376</v>
      </c>
      <c r="BO180" s="228">
        <v>-118</v>
      </c>
      <c r="BP180" s="229">
        <v>-0.31469999999999998</v>
      </c>
      <c r="BQ180" s="230">
        <v>1432</v>
      </c>
      <c r="BR180" s="230">
        <v>1950</v>
      </c>
      <c r="BS180" s="228">
        <v>-518</v>
      </c>
      <c r="BT180" s="229">
        <v>-0.26569999999999999</v>
      </c>
      <c r="BU180" s="230">
        <v>838924</v>
      </c>
      <c r="BV180" s="230">
        <v>464867</v>
      </c>
      <c r="BW180" s="230">
        <v>374057</v>
      </c>
      <c r="BX180" s="229">
        <v>0.80469999999999997</v>
      </c>
      <c r="BY180" s="230">
        <v>1545</v>
      </c>
      <c r="BZ180" s="230">
        <v>1700</v>
      </c>
      <c r="CA180" s="228">
        <v>-155</v>
      </c>
      <c r="CB180" s="229">
        <v>-9.1300000000000006E-2</v>
      </c>
      <c r="CC180" s="228">
        <v>320</v>
      </c>
      <c r="CD180" s="228">
        <v>300</v>
      </c>
      <c r="CE180" s="228">
        <v>20</v>
      </c>
      <c r="CF180" s="229">
        <v>6.6500000000000004E-2</v>
      </c>
      <c r="CG180" s="230">
        <v>1503</v>
      </c>
      <c r="CH180" s="230">
        <v>1359</v>
      </c>
      <c r="CI180" s="228">
        <v>144</v>
      </c>
      <c r="CJ180" s="229">
        <v>0.10580000000000001</v>
      </c>
      <c r="CK180" s="228">
        <v>43</v>
      </c>
      <c r="CL180" s="228">
        <v>42</v>
      </c>
      <c r="CM180" s="228">
        <v>1</v>
      </c>
      <c r="CN180" s="229">
        <v>2.2100000000000002E-2</v>
      </c>
      <c r="CO180" s="228">
        <v>116</v>
      </c>
      <c r="CP180" s="228">
        <v>781</v>
      </c>
      <c r="CQ180" s="228">
        <v>-664</v>
      </c>
      <c r="CR180" s="229">
        <v>-0.85099999999999998</v>
      </c>
      <c r="CS180" s="228">
        <v>82</v>
      </c>
      <c r="CT180" s="228">
        <v>431</v>
      </c>
      <c r="CU180" s="228">
        <v>-349</v>
      </c>
      <c r="CV180" s="229">
        <v>-0.80910000000000004</v>
      </c>
      <c r="CW180" s="230">
        <v>1744</v>
      </c>
      <c r="CX180" s="230">
        <v>2912</v>
      </c>
      <c r="CY180" s="230">
        <v>-1169</v>
      </c>
      <c r="CZ180" s="229">
        <v>-0.4012</v>
      </c>
      <c r="DA180" s="228">
        <v>21.16</v>
      </c>
      <c r="DB180" s="228">
        <v>21.39</v>
      </c>
      <c r="DC180" s="228">
        <v>-0.23</v>
      </c>
      <c r="DD180" s="228">
        <v>-0.23</v>
      </c>
      <c r="DE180" s="228">
        <v>26.4</v>
      </c>
      <c r="DF180" s="228">
        <v>26.43</v>
      </c>
      <c r="DG180" s="228">
        <v>-5.24</v>
      </c>
      <c r="DH180" s="228">
        <v>-0.03</v>
      </c>
      <c r="DI180" s="228">
        <v>21.02</v>
      </c>
      <c r="DJ180" s="228">
        <v>21.22</v>
      </c>
      <c r="DK180" s="228">
        <v>-0.2</v>
      </c>
      <c r="DL180" s="228">
        <v>-0.2</v>
      </c>
      <c r="DM180" s="228">
        <v>21.67</v>
      </c>
      <c r="DN180" s="228">
        <v>22.26</v>
      </c>
      <c r="DO180" s="228">
        <v>-0.59</v>
      </c>
      <c r="DP180" s="228">
        <v>-0.59</v>
      </c>
      <c r="DQ180" s="228">
        <v>0.71</v>
      </c>
      <c r="DR180" s="228">
        <v>0.55000000000000004</v>
      </c>
      <c r="DS180" s="228">
        <v>0.16</v>
      </c>
      <c r="DT180" s="229">
        <v>0.29089999999999999</v>
      </c>
      <c r="DU180" s="231">
        <v>1860</v>
      </c>
      <c r="DV180" s="231">
        <v>1860</v>
      </c>
      <c r="DW180" s="228">
        <v>0.48</v>
      </c>
      <c r="DX180" s="228">
        <v>0.48</v>
      </c>
      <c r="DY180" s="228">
        <v>0</v>
      </c>
      <c r="DZ180" s="229">
        <v>0</v>
      </c>
      <c r="EA180" s="229">
        <v>0.82850000000000001</v>
      </c>
      <c r="EB180" s="230">
        <v>7401750</v>
      </c>
      <c r="EC180" s="229">
        <v>8.3999999999999995E-3</v>
      </c>
      <c r="ED180" s="229">
        <v>0.82850000000000001</v>
      </c>
      <c r="EE180" s="228">
        <v>16.02</v>
      </c>
      <c r="EF180" s="229">
        <v>8.5000000000000006E-3</v>
      </c>
      <c r="EG180" s="230">
        <v>516218</v>
      </c>
      <c r="EH180" s="230">
        <v>269949</v>
      </c>
      <c r="EI180" s="229">
        <v>0.9123</v>
      </c>
      <c r="EJ180" s="229">
        <v>0.61529999999999996</v>
      </c>
      <c r="EK180" s="228">
        <v>548.03</v>
      </c>
      <c r="EL180" s="228">
        <v>255.53</v>
      </c>
      <c r="EM180" s="228">
        <v>638.44000000000005</v>
      </c>
      <c r="EN180" s="228">
        <v>94.59</v>
      </c>
      <c r="EO180" s="231">
        <v>1442</v>
      </c>
      <c r="EP180" s="231">
        <v>1964.65</v>
      </c>
      <c r="EQ180" s="228">
        <v>-522.65</v>
      </c>
      <c r="ER180" s="229">
        <v>-0.26600000000000001</v>
      </c>
      <c r="ES180" s="228">
        <v>119.96</v>
      </c>
      <c r="ET180" s="228">
        <v>81.16</v>
      </c>
      <c r="EU180" s="231">
        <v>1545.45</v>
      </c>
      <c r="EV180" s="231">
        <v>45527821</v>
      </c>
      <c r="EW180" s="231">
        <v>1746.57</v>
      </c>
      <c r="EX180" s="231">
        <v>2918.14</v>
      </c>
      <c r="EY180" s="231">
        <v>-1171.57</v>
      </c>
      <c r="EZ180" s="229">
        <v>-0.40150000000000002</v>
      </c>
      <c r="FA180" s="229">
        <v>0.2024</v>
      </c>
      <c r="FB180" s="227" t="s">
        <v>567</v>
      </c>
      <c r="FC180">
        <f t="shared" si="3"/>
        <v>0</v>
      </c>
    </row>
    <row r="181" spans="1:159" ht="17.25" thickBot="1" x14ac:dyDescent="0.3">
      <c r="A181" s="226">
        <v>46168</v>
      </c>
      <c r="B181" s="227" t="s">
        <v>172</v>
      </c>
      <c r="C181" s="227" t="s">
        <v>283</v>
      </c>
      <c r="D181" s="228">
        <v>750</v>
      </c>
      <c r="E181" s="228">
        <v>0</v>
      </c>
      <c r="F181" s="228">
        <v>974.2</v>
      </c>
      <c r="G181" s="228">
        <v>976.7</v>
      </c>
      <c r="H181" s="228">
        <v>-2.5</v>
      </c>
      <c r="I181" s="229">
        <v>-2.5999999999999999E-3</v>
      </c>
      <c r="J181" s="228">
        <v>968.5</v>
      </c>
      <c r="K181" s="228">
        <v>969.6</v>
      </c>
      <c r="L181" s="228">
        <v>-1.1000000000000001</v>
      </c>
      <c r="M181" s="229">
        <v>-1.1000000000000001E-3</v>
      </c>
      <c r="N181" s="228">
        <v>967.7</v>
      </c>
      <c r="O181" s="228">
        <v>970.9</v>
      </c>
      <c r="P181" s="228">
        <v>-3.2</v>
      </c>
      <c r="Q181" s="229">
        <v>-3.3E-3</v>
      </c>
      <c r="R181" s="228">
        <v>974.2</v>
      </c>
      <c r="S181" s="228">
        <v>976.7</v>
      </c>
      <c r="T181" s="228">
        <v>-2.5</v>
      </c>
      <c r="U181" s="229">
        <v>-2.5999999999999999E-3</v>
      </c>
      <c r="V181" s="228">
        <v>980.2</v>
      </c>
      <c r="W181" s="228">
        <v>981.8</v>
      </c>
      <c r="X181" s="228">
        <v>-1.6</v>
      </c>
      <c r="Y181" s="229">
        <v>-1.6000000000000001E-3</v>
      </c>
      <c r="Z181" s="228">
        <v>5.7</v>
      </c>
      <c r="AA181" s="228">
        <v>1.3</v>
      </c>
      <c r="AB181" s="228">
        <v>4.4000000000000004</v>
      </c>
      <c r="AC181" s="229">
        <v>5.8999999999999999E-3</v>
      </c>
      <c r="AD181" s="228">
        <v>-0.8</v>
      </c>
      <c r="AE181" s="228">
        <v>1.3</v>
      </c>
      <c r="AF181" s="228">
        <v>-2.1</v>
      </c>
      <c r="AG181" s="229">
        <v>-8.0000000000000004E-4</v>
      </c>
      <c r="AH181" s="228">
        <v>5.7</v>
      </c>
      <c r="AI181" s="228">
        <v>7.1</v>
      </c>
      <c r="AJ181" s="228">
        <v>-1.4</v>
      </c>
      <c r="AK181" s="229">
        <v>5.8999999999999999E-3</v>
      </c>
      <c r="AL181" s="228">
        <v>11.7</v>
      </c>
      <c r="AM181" s="228">
        <v>12.2</v>
      </c>
      <c r="AN181" s="228">
        <v>-0.5</v>
      </c>
      <c r="AO181" s="229">
        <v>1.21E-2</v>
      </c>
      <c r="AP181" s="228">
        <v>970.85</v>
      </c>
      <c r="AQ181" s="228">
        <v>976.86</v>
      </c>
      <c r="AR181" s="228">
        <v>0</v>
      </c>
      <c r="AS181" s="230">
        <v>4565</v>
      </c>
      <c r="AT181" s="230">
        <v>5507</v>
      </c>
      <c r="AU181" s="228">
        <v>-943</v>
      </c>
      <c r="AV181" s="229">
        <v>-0.17119999999999999</v>
      </c>
      <c r="AW181" s="230">
        <v>1965</v>
      </c>
      <c r="AX181" s="230">
        <v>2687</v>
      </c>
      <c r="AY181" s="228">
        <v>-722</v>
      </c>
      <c r="AZ181" s="229">
        <v>-0.26860000000000001</v>
      </c>
      <c r="BA181" s="230">
        <v>2530</v>
      </c>
      <c r="BB181" s="230">
        <v>2762</v>
      </c>
      <c r="BC181" s="228">
        <v>-232</v>
      </c>
      <c r="BD181" s="229">
        <v>-8.4199999999999997E-2</v>
      </c>
      <c r="BE181" s="228">
        <v>70</v>
      </c>
      <c r="BF181" s="228">
        <v>58</v>
      </c>
      <c r="BG181" s="228">
        <v>12</v>
      </c>
      <c r="BH181" s="229">
        <v>0.2</v>
      </c>
      <c r="BI181" s="230">
        <v>8753</v>
      </c>
      <c r="BJ181" s="230">
        <v>20915</v>
      </c>
      <c r="BK181" s="230">
        <v>-12162</v>
      </c>
      <c r="BL181" s="229">
        <v>-0.58150000000000002</v>
      </c>
      <c r="BM181" s="230">
        <v>4750</v>
      </c>
      <c r="BN181" s="230">
        <v>8467</v>
      </c>
      <c r="BO181" s="230">
        <v>-3717</v>
      </c>
      <c r="BP181" s="229">
        <v>-0.439</v>
      </c>
      <c r="BQ181" s="230">
        <v>18068</v>
      </c>
      <c r="BR181" s="230">
        <v>34889</v>
      </c>
      <c r="BS181" s="230">
        <v>-16822</v>
      </c>
      <c r="BT181" s="229">
        <v>-0.48209999999999997</v>
      </c>
      <c r="BU181" s="230">
        <v>17149391</v>
      </c>
      <c r="BV181" s="230">
        <v>11574146</v>
      </c>
      <c r="BW181" s="230">
        <v>5575245</v>
      </c>
      <c r="BX181" s="229">
        <v>0.48170000000000002</v>
      </c>
      <c r="BY181" s="230">
        <v>9650</v>
      </c>
      <c r="BZ181" s="230">
        <v>10502</v>
      </c>
      <c r="CA181" s="228">
        <v>-852</v>
      </c>
      <c r="CB181" s="229">
        <v>-8.1199999999999994E-2</v>
      </c>
      <c r="CC181" s="230">
        <v>1083</v>
      </c>
      <c r="CD181" s="230">
        <v>2429</v>
      </c>
      <c r="CE181" s="230">
        <v>-1346</v>
      </c>
      <c r="CF181" s="229">
        <v>-0.55430000000000001</v>
      </c>
      <c r="CG181" s="230">
        <v>9067</v>
      </c>
      <c r="CH181" s="230">
        <v>7509</v>
      </c>
      <c r="CI181" s="230">
        <v>1558</v>
      </c>
      <c r="CJ181" s="229">
        <v>0.2074</v>
      </c>
      <c r="CK181" s="228">
        <v>583</v>
      </c>
      <c r="CL181" s="228">
        <v>564</v>
      </c>
      <c r="CM181" s="228">
        <v>19</v>
      </c>
      <c r="CN181" s="229">
        <v>3.3300000000000003E-2</v>
      </c>
      <c r="CO181" s="230">
        <v>3233</v>
      </c>
      <c r="CP181" s="230">
        <v>8781</v>
      </c>
      <c r="CQ181" s="230">
        <v>-5548</v>
      </c>
      <c r="CR181" s="229">
        <v>-0.63180000000000003</v>
      </c>
      <c r="CS181" s="230">
        <v>2720</v>
      </c>
      <c r="CT181" s="230">
        <v>5069</v>
      </c>
      <c r="CU181" s="230">
        <v>-2348</v>
      </c>
      <c r="CV181" s="229">
        <v>-0.46329999999999999</v>
      </c>
      <c r="CW181" s="230">
        <v>15603</v>
      </c>
      <c r="CX181" s="230">
        <v>24352</v>
      </c>
      <c r="CY181" s="230">
        <v>-8749</v>
      </c>
      <c r="CZ181" s="229">
        <v>-0.35930000000000001</v>
      </c>
      <c r="DA181" s="228">
        <v>21.71</v>
      </c>
      <c r="DB181" s="228">
        <v>23.07</v>
      </c>
      <c r="DC181" s="228">
        <v>-1.36</v>
      </c>
      <c r="DD181" s="228">
        <v>-1.36</v>
      </c>
      <c r="DE181" s="228">
        <v>30.77</v>
      </c>
      <c r="DF181" s="228">
        <v>30.85</v>
      </c>
      <c r="DG181" s="228">
        <v>-9.06</v>
      </c>
      <c r="DH181" s="228">
        <v>-0.08</v>
      </c>
      <c r="DI181" s="228">
        <v>21.72</v>
      </c>
      <c r="DJ181" s="228">
        <v>22.81</v>
      </c>
      <c r="DK181" s="228">
        <v>-1.0900000000000001</v>
      </c>
      <c r="DL181" s="228">
        <v>-1.0900000000000001</v>
      </c>
      <c r="DM181" s="228">
        <v>21.7</v>
      </c>
      <c r="DN181" s="228">
        <v>23.45</v>
      </c>
      <c r="DO181" s="228">
        <v>-1.75</v>
      </c>
      <c r="DP181" s="228">
        <v>-1.75</v>
      </c>
      <c r="DQ181" s="228">
        <v>0.84</v>
      </c>
      <c r="DR181" s="228">
        <v>0.57999999999999996</v>
      </c>
      <c r="DS181" s="228">
        <v>0.26</v>
      </c>
      <c r="DT181" s="229">
        <v>0.44829999999999998</v>
      </c>
      <c r="DU181" s="231">
        <v>1100</v>
      </c>
      <c r="DV181" s="228">
        <v>970</v>
      </c>
      <c r="DW181" s="228">
        <v>0.54</v>
      </c>
      <c r="DX181" s="228">
        <v>0.4</v>
      </c>
      <c r="DY181" s="228">
        <v>0.14000000000000001</v>
      </c>
      <c r="DZ181" s="229">
        <v>0.35</v>
      </c>
      <c r="EA181" s="229">
        <v>0.89910000000000001</v>
      </c>
      <c r="EB181" s="230">
        <v>82872750</v>
      </c>
      <c r="EC181" s="229">
        <v>6.7000000000000002E-3</v>
      </c>
      <c r="ED181" s="229">
        <v>0.89910000000000001</v>
      </c>
      <c r="EE181" s="228">
        <v>6.01</v>
      </c>
      <c r="EF181" s="229">
        <v>6.1999999999999998E-3</v>
      </c>
      <c r="EG181" s="230">
        <v>8984102</v>
      </c>
      <c r="EH181" s="230">
        <v>6548433</v>
      </c>
      <c r="EI181" s="229">
        <v>0.37190000000000001</v>
      </c>
      <c r="EJ181" s="229">
        <v>0.52390000000000003</v>
      </c>
      <c r="EK181" s="231">
        <v>9138.85</v>
      </c>
      <c r="EL181" s="231">
        <v>4880.66</v>
      </c>
      <c r="EM181" s="231">
        <v>4565.53</v>
      </c>
      <c r="EN181" s="228">
        <v>424</v>
      </c>
      <c r="EO181" s="231">
        <v>18585.04</v>
      </c>
      <c r="EP181" s="231">
        <v>35633.14</v>
      </c>
      <c r="EQ181" s="231">
        <v>-17048.099999999999</v>
      </c>
      <c r="ER181" s="229">
        <v>-0.47839999999999999</v>
      </c>
      <c r="ES181" s="231">
        <v>3417.34</v>
      </c>
      <c r="ET181" s="231">
        <v>2761.93</v>
      </c>
      <c r="EU181" s="231">
        <v>9653.5</v>
      </c>
      <c r="EV181" s="231">
        <v>580324288</v>
      </c>
      <c r="EW181" s="231">
        <v>15832.77</v>
      </c>
      <c r="EX181" s="231">
        <v>25201.759999999998</v>
      </c>
      <c r="EY181" s="231">
        <v>-9368.99</v>
      </c>
      <c r="EZ181" s="229">
        <v>-0.37180000000000002</v>
      </c>
      <c r="FA181" s="229">
        <v>0.27600000000000002</v>
      </c>
      <c r="FB181" s="227" t="s">
        <v>567</v>
      </c>
      <c r="FC181">
        <f t="shared" si="3"/>
        <v>0</v>
      </c>
    </row>
    <row r="182" spans="1:159" ht="17.25" thickBot="1" x14ac:dyDescent="0.3">
      <c r="A182" s="226">
        <v>46168</v>
      </c>
      <c r="B182" s="227" t="s">
        <v>157</v>
      </c>
      <c r="C182" s="227" t="s">
        <v>284</v>
      </c>
      <c r="D182" s="228">
        <v>25</v>
      </c>
      <c r="E182" s="228">
        <v>0</v>
      </c>
      <c r="F182" s="231">
        <v>24905</v>
      </c>
      <c r="G182" s="231">
        <v>25155</v>
      </c>
      <c r="H182" s="228">
        <v>-250</v>
      </c>
      <c r="I182" s="229">
        <v>-9.9000000000000008E-3</v>
      </c>
      <c r="J182" s="231">
        <v>25180</v>
      </c>
      <c r="K182" s="231">
        <v>25355</v>
      </c>
      <c r="L182" s="228">
        <v>-175</v>
      </c>
      <c r="M182" s="229">
        <v>-6.8999999999999999E-3</v>
      </c>
      <c r="N182" s="231">
        <v>25170</v>
      </c>
      <c r="O182" s="231">
        <v>25360</v>
      </c>
      <c r="P182" s="228">
        <v>-190</v>
      </c>
      <c r="Q182" s="229">
        <v>-7.4999999999999997E-3</v>
      </c>
      <c r="R182" s="231">
        <v>24905</v>
      </c>
      <c r="S182" s="231">
        <v>25155</v>
      </c>
      <c r="T182" s="228">
        <v>-250</v>
      </c>
      <c r="U182" s="229">
        <v>-9.9000000000000008E-3</v>
      </c>
      <c r="V182" s="231">
        <v>24840</v>
      </c>
      <c r="W182" s="231">
        <v>25155</v>
      </c>
      <c r="X182" s="228">
        <v>-315</v>
      </c>
      <c r="Y182" s="229">
        <v>-1.2500000000000001E-2</v>
      </c>
      <c r="Z182" s="228">
        <v>-275</v>
      </c>
      <c r="AA182" s="228">
        <v>5</v>
      </c>
      <c r="AB182" s="228">
        <v>-280</v>
      </c>
      <c r="AC182" s="229">
        <v>-1.09E-2</v>
      </c>
      <c r="AD182" s="228">
        <v>-10</v>
      </c>
      <c r="AE182" s="228">
        <v>5</v>
      </c>
      <c r="AF182" s="228">
        <v>-15</v>
      </c>
      <c r="AG182" s="229">
        <v>-4.0000000000000002E-4</v>
      </c>
      <c r="AH182" s="228">
        <v>-275</v>
      </c>
      <c r="AI182" s="228">
        <v>-200</v>
      </c>
      <c r="AJ182" s="228">
        <v>-75</v>
      </c>
      <c r="AK182" s="229">
        <v>-1.09E-2</v>
      </c>
      <c r="AL182" s="228">
        <v>-340</v>
      </c>
      <c r="AM182" s="228">
        <v>-200</v>
      </c>
      <c r="AN182" s="228">
        <v>-140</v>
      </c>
      <c r="AO182" s="229">
        <v>-1.35E-2</v>
      </c>
      <c r="AP182" s="231">
        <v>25164.49</v>
      </c>
      <c r="AQ182" s="231">
        <v>24940.82</v>
      </c>
      <c r="AR182" s="228">
        <v>0</v>
      </c>
      <c r="AS182" s="228">
        <v>309</v>
      </c>
      <c r="AT182" s="228">
        <v>547</v>
      </c>
      <c r="AU182" s="228">
        <v>-238</v>
      </c>
      <c r="AV182" s="229">
        <v>-0.43559999999999999</v>
      </c>
      <c r="AW182" s="228">
        <v>128</v>
      </c>
      <c r="AX182" s="228">
        <v>263</v>
      </c>
      <c r="AY182" s="228">
        <v>-135</v>
      </c>
      <c r="AZ182" s="229">
        <v>-0.51480000000000004</v>
      </c>
      <c r="BA182" s="228">
        <v>178</v>
      </c>
      <c r="BB182" s="228">
        <v>282</v>
      </c>
      <c r="BC182" s="228">
        <v>-104</v>
      </c>
      <c r="BD182" s="229">
        <v>-0.36940000000000001</v>
      </c>
      <c r="BE182" s="228">
        <v>3</v>
      </c>
      <c r="BF182" s="228">
        <v>2</v>
      </c>
      <c r="BG182" s="228">
        <v>1</v>
      </c>
      <c r="BH182" s="229">
        <v>0.88460000000000005</v>
      </c>
      <c r="BI182" s="228">
        <v>185</v>
      </c>
      <c r="BJ182" s="228">
        <v>537</v>
      </c>
      <c r="BK182" s="228">
        <v>-352</v>
      </c>
      <c r="BL182" s="229">
        <v>-0.65549999999999997</v>
      </c>
      <c r="BM182" s="228">
        <v>82</v>
      </c>
      <c r="BN182" s="228">
        <v>162</v>
      </c>
      <c r="BO182" s="228">
        <v>-80</v>
      </c>
      <c r="BP182" s="229">
        <v>-0.49459999999999998</v>
      </c>
      <c r="BQ182" s="228">
        <v>576</v>
      </c>
      <c r="BR182" s="230">
        <v>1246</v>
      </c>
      <c r="BS182" s="228">
        <v>-671</v>
      </c>
      <c r="BT182" s="229">
        <v>-0.53810000000000002</v>
      </c>
      <c r="BU182" s="230">
        <v>17840</v>
      </c>
      <c r="BV182" s="230">
        <v>11496</v>
      </c>
      <c r="BW182" s="230">
        <v>6344</v>
      </c>
      <c r="BX182" s="229">
        <v>0.55179999999999996</v>
      </c>
      <c r="BY182" s="228">
        <v>996</v>
      </c>
      <c r="BZ182" s="228">
        <v>991</v>
      </c>
      <c r="CA182" s="228">
        <v>5</v>
      </c>
      <c r="CB182" s="229">
        <v>5.0000000000000001E-3</v>
      </c>
      <c r="CC182" s="228">
        <v>28</v>
      </c>
      <c r="CD182" s="228">
        <v>87</v>
      </c>
      <c r="CE182" s="228">
        <v>-59</v>
      </c>
      <c r="CF182" s="229">
        <v>-0.67600000000000005</v>
      </c>
      <c r="CG182" s="228">
        <v>987</v>
      </c>
      <c r="CH182" s="228">
        <v>897</v>
      </c>
      <c r="CI182" s="228">
        <v>90</v>
      </c>
      <c r="CJ182" s="229">
        <v>0.1002</v>
      </c>
      <c r="CK182" s="228">
        <v>9</v>
      </c>
      <c r="CL182" s="228">
        <v>7</v>
      </c>
      <c r="CM182" s="228">
        <v>2</v>
      </c>
      <c r="CN182" s="229">
        <v>0.27929999999999999</v>
      </c>
      <c r="CO182" s="228">
        <v>42</v>
      </c>
      <c r="CP182" s="228">
        <v>171</v>
      </c>
      <c r="CQ182" s="228">
        <v>-128</v>
      </c>
      <c r="CR182" s="229">
        <v>-0.75149999999999995</v>
      </c>
      <c r="CS182" s="228">
        <v>31</v>
      </c>
      <c r="CT182" s="228">
        <v>107</v>
      </c>
      <c r="CU182" s="228">
        <v>-76</v>
      </c>
      <c r="CV182" s="229">
        <v>-0.71009999999999995</v>
      </c>
      <c r="CW182" s="230">
        <v>1069</v>
      </c>
      <c r="CX182" s="230">
        <v>1269</v>
      </c>
      <c r="CY182" s="228">
        <v>-199</v>
      </c>
      <c r="CZ182" s="229">
        <v>-0.15709999999999999</v>
      </c>
      <c r="DA182" s="228">
        <v>24.13</v>
      </c>
      <c r="DB182" s="228">
        <v>24.11</v>
      </c>
      <c r="DC182" s="228">
        <v>0.02</v>
      </c>
      <c r="DD182" s="228">
        <v>0.02</v>
      </c>
      <c r="DE182" s="228">
        <v>27.61</v>
      </c>
      <c r="DF182" s="228">
        <v>27.65</v>
      </c>
      <c r="DG182" s="228">
        <v>-3.48</v>
      </c>
      <c r="DH182" s="228">
        <v>-0.04</v>
      </c>
      <c r="DI182" s="228">
        <v>23.77</v>
      </c>
      <c r="DJ182" s="228">
        <v>24.2</v>
      </c>
      <c r="DK182" s="228">
        <v>-0.43</v>
      </c>
      <c r="DL182" s="228">
        <v>-0.43</v>
      </c>
      <c r="DM182" s="228">
        <v>25.46</v>
      </c>
      <c r="DN182" s="228">
        <v>23.7</v>
      </c>
      <c r="DO182" s="228">
        <v>1.76</v>
      </c>
      <c r="DP182" s="228">
        <v>1.76</v>
      </c>
      <c r="DQ182" s="228">
        <v>0.73</v>
      </c>
      <c r="DR182" s="228">
        <v>0.63</v>
      </c>
      <c r="DS182" s="228">
        <v>0.1</v>
      </c>
      <c r="DT182" s="229">
        <v>0.15870000000000001</v>
      </c>
      <c r="DU182" s="231">
        <v>27000</v>
      </c>
      <c r="DV182" s="231">
        <v>25000</v>
      </c>
      <c r="DW182" s="228">
        <v>0.44</v>
      </c>
      <c r="DX182" s="228">
        <v>0.3</v>
      </c>
      <c r="DY182" s="228">
        <v>0.14000000000000001</v>
      </c>
      <c r="DZ182" s="229">
        <v>0.4667</v>
      </c>
      <c r="EA182" s="229">
        <v>0.97250000000000003</v>
      </c>
      <c r="EB182" s="230">
        <v>363000</v>
      </c>
      <c r="EC182" s="229">
        <v>-1.0500000000000001E-2</v>
      </c>
      <c r="ED182" s="229">
        <v>0.97250000000000003</v>
      </c>
      <c r="EE182" s="228">
        <v>-223.67</v>
      </c>
      <c r="EF182" s="229">
        <v>-8.8999999999999999E-3</v>
      </c>
      <c r="EG182" s="230">
        <v>9584</v>
      </c>
      <c r="EH182" s="230">
        <v>4523</v>
      </c>
      <c r="EI182" s="229">
        <v>1.1189</v>
      </c>
      <c r="EJ182" s="229">
        <v>0.53720000000000001</v>
      </c>
      <c r="EK182" s="228">
        <v>194.53</v>
      </c>
      <c r="EL182" s="228">
        <v>80.75</v>
      </c>
      <c r="EM182" s="228">
        <v>310.20999999999998</v>
      </c>
      <c r="EN182" s="228">
        <v>77.900000000000006</v>
      </c>
      <c r="EO182" s="228">
        <v>585.49</v>
      </c>
      <c r="EP182" s="231">
        <v>1279.3599999999999</v>
      </c>
      <c r="EQ182" s="228">
        <v>-693.87</v>
      </c>
      <c r="ER182" s="229">
        <v>-0.54239999999999999</v>
      </c>
      <c r="ES182" s="228">
        <v>44.51</v>
      </c>
      <c r="ET182" s="228">
        <v>30.53</v>
      </c>
      <c r="EU182" s="228">
        <v>995.87</v>
      </c>
      <c r="EV182" s="231">
        <v>1655049</v>
      </c>
      <c r="EW182" s="231">
        <v>1070.9100000000001</v>
      </c>
      <c r="EX182" s="231">
        <v>1282.8900000000001</v>
      </c>
      <c r="EY182" s="228">
        <v>-211.98</v>
      </c>
      <c r="EZ182" s="229">
        <v>-0.16520000000000001</v>
      </c>
      <c r="FA182" s="229">
        <v>0.25940000000000002</v>
      </c>
      <c r="FB182" s="227" t="s">
        <v>566</v>
      </c>
      <c r="FC182">
        <f t="shared" si="3"/>
        <v>0</v>
      </c>
    </row>
    <row r="183" spans="1:159" ht="17.25" thickBot="1" x14ac:dyDescent="0.3">
      <c r="A183" s="226">
        <v>46168</v>
      </c>
      <c r="B183" s="227" t="s">
        <v>175</v>
      </c>
      <c r="C183" s="227" t="s">
        <v>561</v>
      </c>
      <c r="D183" s="228">
        <v>825</v>
      </c>
      <c r="E183" s="228">
        <v>0</v>
      </c>
      <c r="F183" s="228">
        <v>959.25</v>
      </c>
      <c r="G183" s="228">
        <v>967.45</v>
      </c>
      <c r="H183" s="228">
        <v>-8.1999999999999993</v>
      </c>
      <c r="I183" s="229">
        <v>-8.5000000000000006E-3</v>
      </c>
      <c r="J183" s="228">
        <v>952.15</v>
      </c>
      <c r="K183" s="228">
        <v>961.95</v>
      </c>
      <c r="L183" s="228">
        <v>-9.8000000000000007</v>
      </c>
      <c r="M183" s="229">
        <v>-1.0200000000000001E-2</v>
      </c>
      <c r="N183" s="228">
        <v>952.05</v>
      </c>
      <c r="O183" s="228">
        <v>961.6</v>
      </c>
      <c r="P183" s="228">
        <v>-9.5500000000000007</v>
      </c>
      <c r="Q183" s="229">
        <v>-9.9000000000000008E-3</v>
      </c>
      <c r="R183" s="228">
        <v>959.25</v>
      </c>
      <c r="S183" s="228">
        <v>967.45</v>
      </c>
      <c r="T183" s="228">
        <v>-8.1999999999999993</v>
      </c>
      <c r="U183" s="229">
        <v>-8.5000000000000006E-3</v>
      </c>
      <c r="V183" s="228">
        <v>960.6</v>
      </c>
      <c r="W183" s="228">
        <v>967.55</v>
      </c>
      <c r="X183" s="228">
        <v>-6.95</v>
      </c>
      <c r="Y183" s="229">
        <v>-7.1999999999999998E-3</v>
      </c>
      <c r="Z183" s="228">
        <v>7.1</v>
      </c>
      <c r="AA183" s="228">
        <v>-0.35</v>
      </c>
      <c r="AB183" s="228">
        <v>7.45</v>
      </c>
      <c r="AC183" s="229">
        <v>7.4999999999999997E-3</v>
      </c>
      <c r="AD183" s="228">
        <v>-0.1</v>
      </c>
      <c r="AE183" s="228">
        <v>-0.35</v>
      </c>
      <c r="AF183" s="228">
        <v>0.25</v>
      </c>
      <c r="AG183" s="229">
        <v>-1E-4</v>
      </c>
      <c r="AH183" s="228">
        <v>7.1</v>
      </c>
      <c r="AI183" s="228">
        <v>5.5</v>
      </c>
      <c r="AJ183" s="228">
        <v>1.6</v>
      </c>
      <c r="AK183" s="229">
        <v>7.4999999999999997E-3</v>
      </c>
      <c r="AL183" s="228">
        <v>8.4499999999999993</v>
      </c>
      <c r="AM183" s="228">
        <v>5.6</v>
      </c>
      <c r="AN183" s="228">
        <v>2.85</v>
      </c>
      <c r="AO183" s="229">
        <v>8.8999999999999999E-3</v>
      </c>
      <c r="AP183" s="228">
        <v>956.6</v>
      </c>
      <c r="AQ183" s="228">
        <v>962.78</v>
      </c>
      <c r="AR183" s="228">
        <v>0</v>
      </c>
      <c r="AS183" s="230">
        <v>1623</v>
      </c>
      <c r="AT183" s="230">
        <v>2243</v>
      </c>
      <c r="AU183" s="228">
        <v>-620</v>
      </c>
      <c r="AV183" s="229">
        <v>-0.27629999999999999</v>
      </c>
      <c r="AW183" s="228">
        <v>695</v>
      </c>
      <c r="AX183" s="230">
        <v>1069</v>
      </c>
      <c r="AY183" s="228">
        <v>-374</v>
      </c>
      <c r="AZ183" s="229">
        <v>-0.3498</v>
      </c>
      <c r="BA183" s="228">
        <v>911</v>
      </c>
      <c r="BB183" s="230">
        <v>1152</v>
      </c>
      <c r="BC183" s="228">
        <v>-242</v>
      </c>
      <c r="BD183" s="229">
        <v>-0.2097</v>
      </c>
      <c r="BE183" s="228">
        <v>17</v>
      </c>
      <c r="BF183" s="228">
        <v>21</v>
      </c>
      <c r="BG183" s="228">
        <v>-4</v>
      </c>
      <c r="BH183" s="229">
        <v>-0.1903</v>
      </c>
      <c r="BI183" s="228">
        <v>918</v>
      </c>
      <c r="BJ183" s="230">
        <v>2611</v>
      </c>
      <c r="BK183" s="230">
        <v>-1693</v>
      </c>
      <c r="BL183" s="229">
        <v>-0.64849999999999997</v>
      </c>
      <c r="BM183" s="228">
        <v>568</v>
      </c>
      <c r="BN183" s="228">
        <v>994</v>
      </c>
      <c r="BO183" s="228">
        <v>-426</v>
      </c>
      <c r="BP183" s="229">
        <v>-0.42859999999999998</v>
      </c>
      <c r="BQ183" s="230">
        <v>3109</v>
      </c>
      <c r="BR183" s="230">
        <v>5848</v>
      </c>
      <c r="BS183" s="230">
        <v>-2739</v>
      </c>
      <c r="BT183" s="229">
        <v>-0.46829999999999999</v>
      </c>
      <c r="BU183" s="230">
        <v>4505592</v>
      </c>
      <c r="BV183" s="230">
        <v>6887354</v>
      </c>
      <c r="BW183" s="230">
        <v>-2381762</v>
      </c>
      <c r="BX183" s="229">
        <v>-0.3458</v>
      </c>
      <c r="BY183" s="230">
        <v>3933</v>
      </c>
      <c r="BZ183" s="230">
        <v>4210</v>
      </c>
      <c r="CA183" s="228">
        <v>-277</v>
      </c>
      <c r="CB183" s="229">
        <v>-6.5799999999999997E-2</v>
      </c>
      <c r="CC183" s="228">
        <v>248</v>
      </c>
      <c r="CD183" s="228">
        <v>742</v>
      </c>
      <c r="CE183" s="228">
        <v>-493</v>
      </c>
      <c r="CF183" s="229">
        <v>-0.6653</v>
      </c>
      <c r="CG183" s="230">
        <v>3703</v>
      </c>
      <c r="CH183" s="230">
        <v>3249</v>
      </c>
      <c r="CI183" s="228">
        <v>455</v>
      </c>
      <c r="CJ183" s="229">
        <v>0.14000000000000001</v>
      </c>
      <c r="CK183" s="228">
        <v>230</v>
      </c>
      <c r="CL183" s="228">
        <v>220</v>
      </c>
      <c r="CM183" s="228">
        <v>10</v>
      </c>
      <c r="CN183" s="229">
        <v>4.53E-2</v>
      </c>
      <c r="CO183" s="228">
        <v>480</v>
      </c>
      <c r="CP183" s="230">
        <v>1403</v>
      </c>
      <c r="CQ183" s="228">
        <v>-923</v>
      </c>
      <c r="CR183" s="229">
        <v>-0.65780000000000005</v>
      </c>
      <c r="CS183" s="228">
        <v>371</v>
      </c>
      <c r="CT183" s="228">
        <v>910</v>
      </c>
      <c r="CU183" s="228">
        <v>-539</v>
      </c>
      <c r="CV183" s="229">
        <v>-0.59260000000000002</v>
      </c>
      <c r="CW183" s="230">
        <v>4784</v>
      </c>
      <c r="CX183" s="230">
        <v>6524</v>
      </c>
      <c r="CY183" s="230">
        <v>-1739</v>
      </c>
      <c r="CZ183" s="229">
        <v>-0.2666</v>
      </c>
      <c r="DA183" s="228">
        <v>30.88</v>
      </c>
      <c r="DB183" s="228">
        <v>31.99</v>
      </c>
      <c r="DC183" s="228">
        <v>-1.1100000000000001</v>
      </c>
      <c r="DD183" s="228">
        <v>-1.1100000000000001</v>
      </c>
      <c r="DE183" s="228">
        <v>44.48</v>
      </c>
      <c r="DF183" s="228">
        <v>44.57</v>
      </c>
      <c r="DG183" s="228">
        <v>-13.6</v>
      </c>
      <c r="DH183" s="228">
        <v>-0.09</v>
      </c>
      <c r="DI183" s="228">
        <v>30.73</v>
      </c>
      <c r="DJ183" s="228">
        <v>31.91</v>
      </c>
      <c r="DK183" s="228">
        <v>-1.18</v>
      </c>
      <c r="DL183" s="228">
        <v>-1.18</v>
      </c>
      <c r="DM183" s="228">
        <v>31.1</v>
      </c>
      <c r="DN183" s="228">
        <v>32.22</v>
      </c>
      <c r="DO183" s="228">
        <v>-1.1200000000000001</v>
      </c>
      <c r="DP183" s="228">
        <v>-1.1200000000000001</v>
      </c>
      <c r="DQ183" s="228">
        <v>0.77</v>
      </c>
      <c r="DR183" s="228">
        <v>0.65</v>
      </c>
      <c r="DS183" s="228">
        <v>0.12</v>
      </c>
      <c r="DT183" s="229">
        <v>0.18459999999999999</v>
      </c>
      <c r="DU183" s="231">
        <v>1000</v>
      </c>
      <c r="DV183" s="228">
        <v>900</v>
      </c>
      <c r="DW183" s="228">
        <v>0.62</v>
      </c>
      <c r="DX183" s="228">
        <v>0.38</v>
      </c>
      <c r="DY183" s="228">
        <v>0.24</v>
      </c>
      <c r="DZ183" s="229">
        <v>0.63160000000000005</v>
      </c>
      <c r="EA183" s="229">
        <v>0.94059999999999999</v>
      </c>
      <c r="EB183" s="230">
        <v>36159750</v>
      </c>
      <c r="EC183" s="229">
        <v>7.6E-3</v>
      </c>
      <c r="ED183" s="229">
        <v>0.94059999999999999</v>
      </c>
      <c r="EE183" s="228">
        <v>6.18</v>
      </c>
      <c r="EF183" s="229">
        <v>6.4999999999999997E-3</v>
      </c>
      <c r="EG183" s="230">
        <v>2708837</v>
      </c>
      <c r="EH183" s="230">
        <v>4374148</v>
      </c>
      <c r="EI183" s="229">
        <v>-0.38069999999999998</v>
      </c>
      <c r="EJ183" s="229">
        <v>0.60119999999999996</v>
      </c>
      <c r="EK183" s="228">
        <v>962.11</v>
      </c>
      <c r="EL183" s="228">
        <v>569.55999999999995</v>
      </c>
      <c r="EM183" s="231">
        <v>1624.62</v>
      </c>
      <c r="EN183" s="228">
        <v>189.4</v>
      </c>
      <c r="EO183" s="231">
        <v>3156.29</v>
      </c>
      <c r="EP183" s="231">
        <v>5960.61</v>
      </c>
      <c r="EQ183" s="231">
        <v>-2804.32</v>
      </c>
      <c r="ER183" s="229">
        <v>-0.47049999999999997</v>
      </c>
      <c r="ES183" s="228">
        <v>499.77</v>
      </c>
      <c r="ET183" s="228">
        <v>359.54</v>
      </c>
      <c r="EU183" s="231">
        <v>3933.73</v>
      </c>
      <c r="EV183" s="231">
        <v>210567108</v>
      </c>
      <c r="EW183" s="231">
        <v>4793.04</v>
      </c>
      <c r="EX183" s="231">
        <v>6606.19</v>
      </c>
      <c r="EY183" s="231">
        <v>-1813.15</v>
      </c>
      <c r="EZ183" s="229">
        <v>-0.27450000000000002</v>
      </c>
      <c r="FA183" s="229">
        <v>0.2369</v>
      </c>
      <c r="FB183" s="227" t="s">
        <v>567</v>
      </c>
      <c r="FC183">
        <f t="shared" si="3"/>
        <v>0</v>
      </c>
    </row>
    <row r="184" spans="1:159" ht="17.25" thickBot="1" x14ac:dyDescent="0.3">
      <c r="A184" s="226">
        <v>46168</v>
      </c>
      <c r="B184" s="227" t="s">
        <v>184</v>
      </c>
      <c r="C184" s="227" t="s">
        <v>285</v>
      </c>
      <c r="D184" s="228">
        <v>175</v>
      </c>
      <c r="E184" s="228">
        <v>0</v>
      </c>
      <c r="F184" s="231">
        <v>3680.8</v>
      </c>
      <c r="G184" s="231">
        <v>3650.2</v>
      </c>
      <c r="H184" s="228">
        <v>30.6</v>
      </c>
      <c r="I184" s="229">
        <v>8.3999999999999995E-3</v>
      </c>
      <c r="J184" s="231">
        <v>3677.2</v>
      </c>
      <c r="K184" s="231">
        <v>3667.5</v>
      </c>
      <c r="L184" s="228">
        <v>9.6999999999999993</v>
      </c>
      <c r="M184" s="229">
        <v>2.5999999999999999E-3</v>
      </c>
      <c r="N184" s="231">
        <v>3685.5</v>
      </c>
      <c r="O184" s="231">
        <v>3664.3</v>
      </c>
      <c r="P184" s="228">
        <v>21.2</v>
      </c>
      <c r="Q184" s="229">
        <v>5.7999999999999996E-3</v>
      </c>
      <c r="R184" s="231">
        <v>3680.8</v>
      </c>
      <c r="S184" s="231">
        <v>3650.2</v>
      </c>
      <c r="T184" s="228">
        <v>30.6</v>
      </c>
      <c r="U184" s="229">
        <v>8.3999999999999995E-3</v>
      </c>
      <c r="V184" s="231">
        <v>3674.1</v>
      </c>
      <c r="W184" s="231">
        <v>3655.3</v>
      </c>
      <c r="X184" s="228">
        <v>18.8</v>
      </c>
      <c r="Y184" s="229">
        <v>5.1000000000000004E-3</v>
      </c>
      <c r="Z184" s="228">
        <v>3.6</v>
      </c>
      <c r="AA184" s="228">
        <v>-3.2</v>
      </c>
      <c r="AB184" s="228">
        <v>6.8</v>
      </c>
      <c r="AC184" s="229">
        <v>1E-3</v>
      </c>
      <c r="AD184" s="228">
        <v>8.3000000000000007</v>
      </c>
      <c r="AE184" s="228">
        <v>-3.2</v>
      </c>
      <c r="AF184" s="228">
        <v>11.5</v>
      </c>
      <c r="AG184" s="229">
        <v>2.3E-3</v>
      </c>
      <c r="AH184" s="228">
        <v>3.6</v>
      </c>
      <c r="AI184" s="228">
        <v>-17.3</v>
      </c>
      <c r="AJ184" s="228">
        <v>20.9</v>
      </c>
      <c r="AK184" s="229">
        <v>1E-3</v>
      </c>
      <c r="AL184" s="228">
        <v>-3.1</v>
      </c>
      <c r="AM184" s="228">
        <v>-12.2</v>
      </c>
      <c r="AN184" s="228">
        <v>9.1</v>
      </c>
      <c r="AO184" s="229">
        <v>-8.0000000000000004E-4</v>
      </c>
      <c r="AP184" s="231">
        <v>3653.88</v>
      </c>
      <c r="AQ184" s="231">
        <v>3646.34</v>
      </c>
      <c r="AR184" s="228">
        <v>0</v>
      </c>
      <c r="AS184" s="228">
        <v>685</v>
      </c>
      <c r="AT184" s="230">
        <v>1054</v>
      </c>
      <c r="AU184" s="228">
        <v>-369</v>
      </c>
      <c r="AV184" s="229">
        <v>-0.35</v>
      </c>
      <c r="AW184" s="228">
        <v>205</v>
      </c>
      <c r="AX184" s="228">
        <v>427</v>
      </c>
      <c r="AY184" s="228">
        <v>-222</v>
      </c>
      <c r="AZ184" s="229">
        <v>-0.51990000000000003</v>
      </c>
      <c r="BA184" s="228">
        <v>474</v>
      </c>
      <c r="BB184" s="228">
        <v>623</v>
      </c>
      <c r="BC184" s="228">
        <v>-148</v>
      </c>
      <c r="BD184" s="229">
        <v>-0.2382</v>
      </c>
      <c r="BE184" s="228">
        <v>5</v>
      </c>
      <c r="BF184" s="228">
        <v>4</v>
      </c>
      <c r="BG184" s="228">
        <v>2</v>
      </c>
      <c r="BH184" s="229">
        <v>0.44829999999999998</v>
      </c>
      <c r="BI184" s="230">
        <v>1875</v>
      </c>
      <c r="BJ184" s="230">
        <v>2184</v>
      </c>
      <c r="BK184" s="228">
        <v>-309</v>
      </c>
      <c r="BL184" s="229">
        <v>-0.14130000000000001</v>
      </c>
      <c r="BM184" s="230">
        <v>1204</v>
      </c>
      <c r="BN184" s="230">
        <v>2439</v>
      </c>
      <c r="BO184" s="230">
        <v>-1235</v>
      </c>
      <c r="BP184" s="229">
        <v>-0.50619999999999998</v>
      </c>
      <c r="BQ184" s="230">
        <v>3765</v>
      </c>
      <c r="BR184" s="230">
        <v>5676</v>
      </c>
      <c r="BS184" s="230">
        <v>-1912</v>
      </c>
      <c r="BT184" s="229">
        <v>-0.33679999999999999</v>
      </c>
      <c r="BU184" s="230">
        <v>768312</v>
      </c>
      <c r="BV184" s="230">
        <v>526697</v>
      </c>
      <c r="BW184" s="230">
        <v>241615</v>
      </c>
      <c r="BX184" s="229">
        <v>0.4587</v>
      </c>
      <c r="BY184" s="230">
        <v>1096</v>
      </c>
      <c r="BZ184" s="230">
        <v>1159</v>
      </c>
      <c r="CA184" s="228">
        <v>-63</v>
      </c>
      <c r="CB184" s="229">
        <v>-5.4300000000000001E-2</v>
      </c>
      <c r="CC184" s="228">
        <v>109</v>
      </c>
      <c r="CD184" s="228">
        <v>167</v>
      </c>
      <c r="CE184" s="228">
        <v>-58</v>
      </c>
      <c r="CF184" s="229">
        <v>-0.34620000000000001</v>
      </c>
      <c r="CG184" s="230">
        <v>1089</v>
      </c>
      <c r="CH184" s="228">
        <v>987</v>
      </c>
      <c r="CI184" s="228">
        <v>102</v>
      </c>
      <c r="CJ184" s="229">
        <v>0.10349999999999999</v>
      </c>
      <c r="CK184" s="228">
        <v>6</v>
      </c>
      <c r="CL184" s="228">
        <v>5</v>
      </c>
      <c r="CM184" s="228">
        <v>2</v>
      </c>
      <c r="CN184" s="229">
        <v>0.36990000000000001</v>
      </c>
      <c r="CO184" s="228">
        <v>370</v>
      </c>
      <c r="CP184" s="228">
        <v>535</v>
      </c>
      <c r="CQ184" s="228">
        <v>-166</v>
      </c>
      <c r="CR184" s="229">
        <v>-0.30930000000000002</v>
      </c>
      <c r="CS184" s="228">
        <v>324</v>
      </c>
      <c r="CT184" s="228">
        <v>393</v>
      </c>
      <c r="CU184" s="228">
        <v>-70</v>
      </c>
      <c r="CV184" s="229">
        <v>-0.1772</v>
      </c>
      <c r="CW184" s="230">
        <v>1789</v>
      </c>
      <c r="CX184" s="230">
        <v>2088</v>
      </c>
      <c r="CY184" s="228">
        <v>-298</v>
      </c>
      <c r="CZ184" s="229">
        <v>-0.1429</v>
      </c>
      <c r="DA184" s="228">
        <v>41.19</v>
      </c>
      <c r="DB184" s="228">
        <v>40.67</v>
      </c>
      <c r="DC184" s="228">
        <v>0.52</v>
      </c>
      <c r="DD184" s="228">
        <v>0.52</v>
      </c>
      <c r="DE184" s="228">
        <v>41.74</v>
      </c>
      <c r="DF184" s="228">
        <v>41.83</v>
      </c>
      <c r="DG184" s="228">
        <v>-0.55000000000000004</v>
      </c>
      <c r="DH184" s="228">
        <v>-0.09</v>
      </c>
      <c r="DI184" s="228">
        <v>40.89</v>
      </c>
      <c r="DJ184" s="228">
        <v>40.56</v>
      </c>
      <c r="DK184" s="228">
        <v>0.33</v>
      </c>
      <c r="DL184" s="228">
        <v>0.33</v>
      </c>
      <c r="DM184" s="228">
        <v>41.67</v>
      </c>
      <c r="DN184" s="228">
        <v>40.83</v>
      </c>
      <c r="DO184" s="228">
        <v>0.84</v>
      </c>
      <c r="DP184" s="228">
        <v>0.84</v>
      </c>
      <c r="DQ184" s="228">
        <v>0.87</v>
      </c>
      <c r="DR184" s="228">
        <v>0.73</v>
      </c>
      <c r="DS184" s="228">
        <v>0.14000000000000001</v>
      </c>
      <c r="DT184" s="229">
        <v>0.1918</v>
      </c>
      <c r="DU184" s="231">
        <v>4000</v>
      </c>
      <c r="DV184" s="231">
        <v>3600</v>
      </c>
      <c r="DW184" s="228">
        <v>0.64</v>
      </c>
      <c r="DX184" s="228">
        <v>1.1200000000000001</v>
      </c>
      <c r="DY184" s="228">
        <v>-0.48</v>
      </c>
      <c r="DZ184" s="229">
        <v>-0.42859999999999998</v>
      </c>
      <c r="EA184" s="229">
        <v>0.90939999999999999</v>
      </c>
      <c r="EB184" s="230">
        <v>2694825</v>
      </c>
      <c r="EC184" s="229">
        <v>-1.2999999999999999E-3</v>
      </c>
      <c r="ED184" s="229">
        <v>0.90939999999999999</v>
      </c>
      <c r="EE184" s="228">
        <v>-7.54</v>
      </c>
      <c r="EF184" s="229">
        <v>-2.0999999999999999E-3</v>
      </c>
      <c r="EG184" s="230">
        <v>189903</v>
      </c>
      <c r="EH184" s="230">
        <v>157777</v>
      </c>
      <c r="EI184" s="229">
        <v>0.2036</v>
      </c>
      <c r="EJ184" s="229">
        <v>0.2472</v>
      </c>
      <c r="EK184" s="231">
        <v>1989.48</v>
      </c>
      <c r="EL184" s="231">
        <v>1169.03</v>
      </c>
      <c r="EM184" s="228">
        <v>678.86</v>
      </c>
      <c r="EN184" s="228">
        <v>107.14</v>
      </c>
      <c r="EO184" s="231">
        <v>3837.37</v>
      </c>
      <c r="EP184" s="231">
        <v>5836.27</v>
      </c>
      <c r="EQ184" s="231">
        <v>-1998.9</v>
      </c>
      <c r="ER184" s="229">
        <v>-0.34250000000000003</v>
      </c>
      <c r="ES184" s="228">
        <v>393.69</v>
      </c>
      <c r="ET184" s="228">
        <v>306.02999999999997</v>
      </c>
      <c r="EU184" s="231">
        <v>1095.8599999999999</v>
      </c>
      <c r="EV184" s="231">
        <v>10374894</v>
      </c>
      <c r="EW184" s="231">
        <v>1795.59</v>
      </c>
      <c r="EX184" s="231">
        <v>2096.59</v>
      </c>
      <c r="EY184" s="228">
        <v>-301</v>
      </c>
      <c r="EZ184" s="229">
        <v>-0.14360000000000001</v>
      </c>
      <c r="FA184" s="229">
        <v>0.46860000000000002</v>
      </c>
      <c r="FB184" s="227" t="s">
        <v>691</v>
      </c>
      <c r="FC184">
        <f t="shared" si="3"/>
        <v>0</v>
      </c>
    </row>
    <row r="185" spans="1:159" ht="17.25" thickBot="1" x14ac:dyDescent="0.3">
      <c r="A185" s="226">
        <v>46168</v>
      </c>
      <c r="B185" s="227" t="s">
        <v>498</v>
      </c>
      <c r="C185" s="227" t="s">
        <v>645</v>
      </c>
      <c r="D185" s="228">
        <v>50</v>
      </c>
      <c r="E185" s="228">
        <v>0</v>
      </c>
      <c r="F185" s="231">
        <v>18632</v>
      </c>
      <c r="G185" s="231">
        <v>18507</v>
      </c>
      <c r="H185" s="228">
        <v>125</v>
      </c>
      <c r="I185" s="229">
        <v>6.7999999999999996E-3</v>
      </c>
      <c r="J185" s="231">
        <v>18479</v>
      </c>
      <c r="K185" s="231">
        <v>18377</v>
      </c>
      <c r="L185" s="228">
        <v>102</v>
      </c>
      <c r="M185" s="229">
        <v>5.5999999999999999E-3</v>
      </c>
      <c r="N185" s="231">
        <v>18469</v>
      </c>
      <c r="O185" s="231">
        <v>18387</v>
      </c>
      <c r="P185" s="228">
        <v>82</v>
      </c>
      <c r="Q185" s="229">
        <v>4.4999999999999997E-3</v>
      </c>
      <c r="R185" s="231">
        <v>18632</v>
      </c>
      <c r="S185" s="231">
        <v>18507</v>
      </c>
      <c r="T185" s="228">
        <v>125</v>
      </c>
      <c r="U185" s="229">
        <v>6.7999999999999996E-3</v>
      </c>
      <c r="V185" s="231">
        <v>18724</v>
      </c>
      <c r="W185" s="231">
        <v>18590</v>
      </c>
      <c r="X185" s="228">
        <v>134</v>
      </c>
      <c r="Y185" s="229">
        <v>7.1999999999999998E-3</v>
      </c>
      <c r="Z185" s="228">
        <v>153</v>
      </c>
      <c r="AA185" s="228">
        <v>10</v>
      </c>
      <c r="AB185" s="228">
        <v>143</v>
      </c>
      <c r="AC185" s="229">
        <v>8.3000000000000001E-3</v>
      </c>
      <c r="AD185" s="228">
        <v>-10</v>
      </c>
      <c r="AE185" s="228">
        <v>10</v>
      </c>
      <c r="AF185" s="228">
        <v>-20</v>
      </c>
      <c r="AG185" s="229">
        <v>-5.0000000000000001E-4</v>
      </c>
      <c r="AH185" s="228">
        <v>153</v>
      </c>
      <c r="AI185" s="228">
        <v>130</v>
      </c>
      <c r="AJ185" s="228">
        <v>23</v>
      </c>
      <c r="AK185" s="229">
        <v>8.3000000000000001E-3</v>
      </c>
      <c r="AL185" s="228">
        <v>245</v>
      </c>
      <c r="AM185" s="228">
        <v>213</v>
      </c>
      <c r="AN185" s="228">
        <v>32</v>
      </c>
      <c r="AO185" s="229">
        <v>1.3299999999999999E-2</v>
      </c>
      <c r="AP185" s="231">
        <v>18413.84</v>
      </c>
      <c r="AQ185" s="231">
        <v>18560.189999999999</v>
      </c>
      <c r="AR185" s="228">
        <v>0</v>
      </c>
      <c r="AS185" s="228">
        <v>615</v>
      </c>
      <c r="AT185" s="230">
        <v>1069</v>
      </c>
      <c r="AU185" s="228">
        <v>-455</v>
      </c>
      <c r="AV185" s="229">
        <v>-0.42509999999999998</v>
      </c>
      <c r="AW185" s="228">
        <v>236</v>
      </c>
      <c r="AX185" s="228">
        <v>505</v>
      </c>
      <c r="AY185" s="228">
        <v>-269</v>
      </c>
      <c r="AZ185" s="229">
        <v>-0.53269999999999995</v>
      </c>
      <c r="BA185" s="228">
        <v>371</v>
      </c>
      <c r="BB185" s="228">
        <v>550</v>
      </c>
      <c r="BC185" s="228">
        <v>-178</v>
      </c>
      <c r="BD185" s="229">
        <v>-0.32469999999999999</v>
      </c>
      <c r="BE185" s="228">
        <v>8</v>
      </c>
      <c r="BF185" s="228">
        <v>14</v>
      </c>
      <c r="BG185" s="228">
        <v>-7</v>
      </c>
      <c r="BH185" s="229">
        <v>-0.47739999999999999</v>
      </c>
      <c r="BI185" s="230">
        <v>1036</v>
      </c>
      <c r="BJ185" s="230">
        <v>2223</v>
      </c>
      <c r="BK185" s="230">
        <v>-1187</v>
      </c>
      <c r="BL185" s="229">
        <v>-0.53380000000000005</v>
      </c>
      <c r="BM185" s="228">
        <v>675</v>
      </c>
      <c r="BN185" s="230">
        <v>1560</v>
      </c>
      <c r="BO185" s="228">
        <v>-885</v>
      </c>
      <c r="BP185" s="229">
        <v>-0.56710000000000005</v>
      </c>
      <c r="BQ185" s="230">
        <v>2327</v>
      </c>
      <c r="BR185" s="230">
        <v>4853</v>
      </c>
      <c r="BS185" s="230">
        <v>-2526</v>
      </c>
      <c r="BT185" s="229">
        <v>-0.52049999999999996</v>
      </c>
      <c r="BU185" s="230">
        <v>124995</v>
      </c>
      <c r="BV185" s="230">
        <v>110617</v>
      </c>
      <c r="BW185" s="230">
        <v>14378</v>
      </c>
      <c r="BX185" s="229">
        <v>0.13</v>
      </c>
      <c r="BY185" s="230">
        <v>1429</v>
      </c>
      <c r="BZ185" s="230">
        <v>1534</v>
      </c>
      <c r="CA185" s="228">
        <v>-105</v>
      </c>
      <c r="CB185" s="229">
        <v>-6.8599999999999994E-2</v>
      </c>
      <c r="CC185" s="228">
        <v>53</v>
      </c>
      <c r="CD185" s="228">
        <v>210</v>
      </c>
      <c r="CE185" s="228">
        <v>-157</v>
      </c>
      <c r="CF185" s="229">
        <v>-0.74660000000000004</v>
      </c>
      <c r="CG185" s="230">
        <v>1394</v>
      </c>
      <c r="CH185" s="230">
        <v>1293</v>
      </c>
      <c r="CI185" s="228">
        <v>101</v>
      </c>
      <c r="CJ185" s="229">
        <v>7.8200000000000006E-2</v>
      </c>
      <c r="CK185" s="228">
        <v>35</v>
      </c>
      <c r="CL185" s="228">
        <v>31</v>
      </c>
      <c r="CM185" s="228">
        <v>4</v>
      </c>
      <c r="CN185" s="229">
        <v>0.1124</v>
      </c>
      <c r="CO185" s="228">
        <v>262</v>
      </c>
      <c r="CP185" s="228">
        <v>679</v>
      </c>
      <c r="CQ185" s="228">
        <v>-418</v>
      </c>
      <c r="CR185" s="229">
        <v>-0.61480000000000001</v>
      </c>
      <c r="CS185" s="228">
        <v>162</v>
      </c>
      <c r="CT185" s="228">
        <v>603</v>
      </c>
      <c r="CU185" s="228">
        <v>-441</v>
      </c>
      <c r="CV185" s="229">
        <v>-0.7319</v>
      </c>
      <c r="CW185" s="230">
        <v>1852</v>
      </c>
      <c r="CX185" s="230">
        <v>2817</v>
      </c>
      <c r="CY185" s="228">
        <v>-964</v>
      </c>
      <c r="CZ185" s="229">
        <v>-0.34229999999999999</v>
      </c>
      <c r="DA185" s="228">
        <v>33.81</v>
      </c>
      <c r="DB185" s="228">
        <v>35.229999999999997</v>
      </c>
      <c r="DC185" s="228">
        <v>-1.42</v>
      </c>
      <c r="DD185" s="228">
        <v>-1.42</v>
      </c>
      <c r="DE185" s="228">
        <v>41.64</v>
      </c>
      <c r="DF185" s="228">
        <v>41.73</v>
      </c>
      <c r="DG185" s="228">
        <v>-7.83</v>
      </c>
      <c r="DH185" s="228">
        <v>-0.09</v>
      </c>
      <c r="DI185" s="228">
        <v>33.119999999999997</v>
      </c>
      <c r="DJ185" s="228">
        <v>34.86</v>
      </c>
      <c r="DK185" s="228">
        <v>-1.74</v>
      </c>
      <c r="DL185" s="228">
        <v>-1.74</v>
      </c>
      <c r="DM185" s="228">
        <v>35</v>
      </c>
      <c r="DN185" s="228">
        <v>35.94</v>
      </c>
      <c r="DO185" s="228">
        <v>-0.94</v>
      </c>
      <c r="DP185" s="228">
        <v>-0.94</v>
      </c>
      <c r="DQ185" s="228">
        <v>0.62</v>
      </c>
      <c r="DR185" s="228">
        <v>0.89</v>
      </c>
      <c r="DS185" s="228">
        <v>-0.27</v>
      </c>
      <c r="DT185" s="229">
        <v>-0.3034</v>
      </c>
      <c r="DU185" s="231">
        <v>17000</v>
      </c>
      <c r="DV185" s="231">
        <v>16000</v>
      </c>
      <c r="DW185" s="228">
        <v>0.65</v>
      </c>
      <c r="DX185" s="228">
        <v>0.7</v>
      </c>
      <c r="DY185" s="228">
        <v>-0.05</v>
      </c>
      <c r="DZ185" s="229">
        <v>-7.1400000000000005E-2</v>
      </c>
      <c r="EA185" s="229">
        <v>0.96409999999999996</v>
      </c>
      <c r="EB185" s="230">
        <v>710900</v>
      </c>
      <c r="EC185" s="229">
        <v>8.8000000000000005E-3</v>
      </c>
      <c r="ED185" s="229">
        <v>0.96409999999999996</v>
      </c>
      <c r="EE185" s="228">
        <v>146.35</v>
      </c>
      <c r="EF185" s="229">
        <v>7.9000000000000008E-3</v>
      </c>
      <c r="EG185" s="230">
        <v>52864</v>
      </c>
      <c r="EH185" s="230">
        <v>34765</v>
      </c>
      <c r="EI185" s="229">
        <v>0.52059999999999995</v>
      </c>
      <c r="EJ185" s="229">
        <v>0.4229</v>
      </c>
      <c r="EK185" s="231">
        <v>1062.1099999999999</v>
      </c>
      <c r="EL185" s="228">
        <v>623.58000000000004</v>
      </c>
      <c r="EM185" s="228">
        <v>610.66999999999996</v>
      </c>
      <c r="EN185" s="228">
        <v>84.4</v>
      </c>
      <c r="EO185" s="231">
        <v>2296.36</v>
      </c>
      <c r="EP185" s="231">
        <v>4781.71</v>
      </c>
      <c r="EQ185" s="231">
        <v>-2485.35</v>
      </c>
      <c r="ER185" s="229">
        <v>-0.51980000000000004</v>
      </c>
      <c r="ES185" s="228">
        <v>259.57</v>
      </c>
      <c r="ET185" s="228">
        <v>148.31</v>
      </c>
      <c r="EU185" s="231">
        <v>1429.34</v>
      </c>
      <c r="EV185" s="231">
        <v>3644817</v>
      </c>
      <c r="EW185" s="231">
        <v>1837.22</v>
      </c>
      <c r="EX185" s="231">
        <v>2722.69</v>
      </c>
      <c r="EY185" s="228">
        <v>-885.47</v>
      </c>
      <c r="EZ185" s="229">
        <v>-0.32519999999999999</v>
      </c>
      <c r="FA185" s="229">
        <v>0.27279999999999999</v>
      </c>
      <c r="FB185" s="227" t="s">
        <v>691</v>
      </c>
      <c r="FC185">
        <f t="shared" si="3"/>
        <v>0</v>
      </c>
    </row>
    <row r="186" spans="1:159" ht="17.25" thickBot="1" x14ac:dyDescent="0.3">
      <c r="A186" s="226">
        <v>46168</v>
      </c>
      <c r="B186" s="227" t="s">
        <v>162</v>
      </c>
      <c r="C186" s="227" t="s">
        <v>613</v>
      </c>
      <c r="D186" s="228">
        <v>1225</v>
      </c>
      <c r="E186" s="228">
        <v>0</v>
      </c>
      <c r="F186" s="228">
        <v>609.25</v>
      </c>
      <c r="G186" s="228">
        <v>597.29999999999995</v>
      </c>
      <c r="H186" s="228">
        <v>11.95</v>
      </c>
      <c r="I186" s="229">
        <v>0.02</v>
      </c>
      <c r="J186" s="228">
        <v>608</v>
      </c>
      <c r="K186" s="228">
        <v>594.65</v>
      </c>
      <c r="L186" s="228">
        <v>13.35</v>
      </c>
      <c r="M186" s="229">
        <v>2.2499999999999999E-2</v>
      </c>
      <c r="N186" s="228">
        <v>606.70000000000005</v>
      </c>
      <c r="O186" s="228">
        <v>596.1</v>
      </c>
      <c r="P186" s="228">
        <v>10.6</v>
      </c>
      <c r="Q186" s="229">
        <v>1.78E-2</v>
      </c>
      <c r="R186" s="228">
        <v>609.25</v>
      </c>
      <c r="S186" s="228">
        <v>597.29999999999995</v>
      </c>
      <c r="T186" s="228">
        <v>11.95</v>
      </c>
      <c r="U186" s="229">
        <v>0.02</v>
      </c>
      <c r="V186" s="228">
        <v>611.70000000000005</v>
      </c>
      <c r="W186" s="228">
        <v>601.29999999999995</v>
      </c>
      <c r="X186" s="228">
        <v>10.4</v>
      </c>
      <c r="Y186" s="229">
        <v>1.7299999999999999E-2</v>
      </c>
      <c r="Z186" s="228">
        <v>1.25</v>
      </c>
      <c r="AA186" s="228">
        <v>1.45</v>
      </c>
      <c r="AB186" s="228">
        <v>-0.2</v>
      </c>
      <c r="AC186" s="229">
        <v>2.0999999999999999E-3</v>
      </c>
      <c r="AD186" s="228">
        <v>-1.3</v>
      </c>
      <c r="AE186" s="228">
        <v>1.45</v>
      </c>
      <c r="AF186" s="228">
        <v>-2.75</v>
      </c>
      <c r="AG186" s="229">
        <v>-2.0999999999999999E-3</v>
      </c>
      <c r="AH186" s="228">
        <v>1.25</v>
      </c>
      <c r="AI186" s="228">
        <v>2.65</v>
      </c>
      <c r="AJ186" s="228">
        <v>-1.4</v>
      </c>
      <c r="AK186" s="229">
        <v>2.0999999999999999E-3</v>
      </c>
      <c r="AL186" s="228">
        <v>3.7</v>
      </c>
      <c r="AM186" s="228">
        <v>6.65</v>
      </c>
      <c r="AN186" s="228">
        <v>-2.95</v>
      </c>
      <c r="AO186" s="229">
        <v>6.1000000000000004E-3</v>
      </c>
      <c r="AP186" s="228">
        <v>602.16</v>
      </c>
      <c r="AQ186" s="228">
        <v>604.37</v>
      </c>
      <c r="AR186" s="228">
        <v>0</v>
      </c>
      <c r="AS186" s="228">
        <v>547</v>
      </c>
      <c r="AT186" s="228">
        <v>797</v>
      </c>
      <c r="AU186" s="228">
        <v>-250</v>
      </c>
      <c r="AV186" s="229">
        <v>-0.31380000000000002</v>
      </c>
      <c r="AW186" s="228">
        <v>231</v>
      </c>
      <c r="AX186" s="228">
        <v>390</v>
      </c>
      <c r="AY186" s="228">
        <v>-159</v>
      </c>
      <c r="AZ186" s="229">
        <v>-0.40679999999999999</v>
      </c>
      <c r="BA186" s="228">
        <v>314</v>
      </c>
      <c r="BB186" s="228">
        <v>405</v>
      </c>
      <c r="BC186" s="228">
        <v>-91</v>
      </c>
      <c r="BD186" s="229">
        <v>-0.22500000000000001</v>
      </c>
      <c r="BE186" s="228">
        <v>1</v>
      </c>
      <c r="BF186" s="228">
        <v>2</v>
      </c>
      <c r="BG186" s="228">
        <v>0</v>
      </c>
      <c r="BH186" s="229">
        <v>-0.13039999999999999</v>
      </c>
      <c r="BI186" s="228">
        <v>362</v>
      </c>
      <c r="BJ186" s="228">
        <v>264</v>
      </c>
      <c r="BK186" s="228">
        <v>99</v>
      </c>
      <c r="BL186" s="229">
        <v>0.37519999999999998</v>
      </c>
      <c r="BM186" s="228">
        <v>180</v>
      </c>
      <c r="BN186" s="228">
        <v>164</v>
      </c>
      <c r="BO186" s="228">
        <v>15</v>
      </c>
      <c r="BP186" s="229">
        <v>9.4100000000000003E-2</v>
      </c>
      <c r="BQ186" s="230">
        <v>1089</v>
      </c>
      <c r="BR186" s="230">
        <v>1225</v>
      </c>
      <c r="BS186" s="228">
        <v>-136</v>
      </c>
      <c r="BT186" s="229">
        <v>-0.1109</v>
      </c>
      <c r="BU186" s="230">
        <v>2567668</v>
      </c>
      <c r="BV186" s="230">
        <v>771538</v>
      </c>
      <c r="BW186" s="230">
        <v>1796130</v>
      </c>
      <c r="BX186" s="229">
        <v>2.3279999999999998</v>
      </c>
      <c r="BY186" s="228">
        <v>912</v>
      </c>
      <c r="BZ186" s="228">
        <v>927</v>
      </c>
      <c r="CA186" s="228">
        <v>-16</v>
      </c>
      <c r="CB186" s="229">
        <v>-1.6799999999999999E-2</v>
      </c>
      <c r="CC186" s="228">
        <v>53</v>
      </c>
      <c r="CD186" s="228">
        <v>156</v>
      </c>
      <c r="CE186" s="228">
        <v>-104</v>
      </c>
      <c r="CF186" s="229">
        <v>-0.66359999999999997</v>
      </c>
      <c r="CG186" s="228">
        <v>907</v>
      </c>
      <c r="CH186" s="228">
        <v>766</v>
      </c>
      <c r="CI186" s="228">
        <v>141</v>
      </c>
      <c r="CJ186" s="229">
        <v>0.18360000000000001</v>
      </c>
      <c r="CK186" s="228">
        <v>5</v>
      </c>
      <c r="CL186" s="228">
        <v>5</v>
      </c>
      <c r="CM186" s="228">
        <v>0</v>
      </c>
      <c r="CN186" s="229">
        <v>4.41E-2</v>
      </c>
      <c r="CO186" s="228">
        <v>111</v>
      </c>
      <c r="CP186" s="228">
        <v>307</v>
      </c>
      <c r="CQ186" s="228">
        <v>-196</v>
      </c>
      <c r="CR186" s="229">
        <v>-0.63770000000000004</v>
      </c>
      <c r="CS186" s="228">
        <v>86</v>
      </c>
      <c r="CT186" s="228">
        <v>186</v>
      </c>
      <c r="CU186" s="228">
        <v>-100</v>
      </c>
      <c r="CV186" s="229">
        <v>-0.53779999999999994</v>
      </c>
      <c r="CW186" s="230">
        <v>1109</v>
      </c>
      <c r="CX186" s="230">
        <v>1420</v>
      </c>
      <c r="CY186" s="228">
        <v>-311</v>
      </c>
      <c r="CZ186" s="229">
        <v>-0.21909999999999999</v>
      </c>
      <c r="DA186" s="228">
        <v>31.67</v>
      </c>
      <c r="DB186" s="228">
        <v>32.61</v>
      </c>
      <c r="DC186" s="228">
        <v>-0.94</v>
      </c>
      <c r="DD186" s="228">
        <v>-0.94</v>
      </c>
      <c r="DE186" s="228">
        <v>41.08</v>
      </c>
      <c r="DF186" s="228">
        <v>41.1</v>
      </c>
      <c r="DG186" s="228">
        <v>-9.41</v>
      </c>
      <c r="DH186" s="228">
        <v>-0.02</v>
      </c>
      <c r="DI186" s="228">
        <v>31.1</v>
      </c>
      <c r="DJ186" s="228">
        <v>32.25</v>
      </c>
      <c r="DK186" s="228">
        <v>-1.1499999999999999</v>
      </c>
      <c r="DL186" s="228">
        <v>-1.1499999999999999</v>
      </c>
      <c r="DM186" s="228">
        <v>32.909999999999997</v>
      </c>
      <c r="DN186" s="228">
        <v>33.39</v>
      </c>
      <c r="DO186" s="228">
        <v>-0.48</v>
      </c>
      <c r="DP186" s="228">
        <v>-0.48</v>
      </c>
      <c r="DQ186" s="228">
        <v>0.77</v>
      </c>
      <c r="DR186" s="228">
        <v>0.6</v>
      </c>
      <c r="DS186" s="228">
        <v>0.17</v>
      </c>
      <c r="DT186" s="229">
        <v>0.2833</v>
      </c>
      <c r="DU186" s="228">
        <v>600</v>
      </c>
      <c r="DV186" s="228">
        <v>600</v>
      </c>
      <c r="DW186" s="228">
        <v>0.5</v>
      </c>
      <c r="DX186" s="228">
        <v>0.62</v>
      </c>
      <c r="DY186" s="228">
        <v>-0.12</v>
      </c>
      <c r="DZ186" s="229">
        <v>-0.19350000000000001</v>
      </c>
      <c r="EA186" s="229">
        <v>0.94540000000000002</v>
      </c>
      <c r="EB186" s="230">
        <v>12655475</v>
      </c>
      <c r="EC186" s="229">
        <v>4.1999999999999997E-3</v>
      </c>
      <c r="ED186" s="229">
        <v>0.94540000000000002</v>
      </c>
      <c r="EE186" s="228">
        <v>2.21</v>
      </c>
      <c r="EF186" s="229">
        <v>3.7000000000000002E-3</v>
      </c>
      <c r="EG186" s="230">
        <v>1511919</v>
      </c>
      <c r="EH186" s="230">
        <v>315141</v>
      </c>
      <c r="EI186" s="229">
        <v>3.7976000000000001</v>
      </c>
      <c r="EJ186" s="229">
        <v>0.58879999999999999</v>
      </c>
      <c r="EK186" s="228">
        <v>368.27</v>
      </c>
      <c r="EL186" s="228">
        <v>175.01</v>
      </c>
      <c r="EM186" s="228">
        <v>541.78</v>
      </c>
      <c r="EN186" s="228">
        <v>69.87</v>
      </c>
      <c r="EO186" s="231">
        <v>1085.05</v>
      </c>
      <c r="EP186" s="231">
        <v>1205.48</v>
      </c>
      <c r="EQ186" s="228">
        <v>-120.42</v>
      </c>
      <c r="ER186" s="229">
        <v>-9.9900000000000003E-2</v>
      </c>
      <c r="ES186" s="228">
        <v>111</v>
      </c>
      <c r="ET186" s="228">
        <v>82.23</v>
      </c>
      <c r="EU186" s="228">
        <v>911.89</v>
      </c>
      <c r="EV186" s="231">
        <v>61283708</v>
      </c>
      <c r="EW186" s="231">
        <v>1105.1199999999999</v>
      </c>
      <c r="EX186" s="231">
        <v>1390.51</v>
      </c>
      <c r="EY186" s="228">
        <v>-285.39</v>
      </c>
      <c r="EZ186" s="229">
        <v>-0.20519999999999999</v>
      </c>
      <c r="FA186" s="229">
        <v>0.29699999999999999</v>
      </c>
      <c r="FB186" s="227" t="s">
        <v>691</v>
      </c>
      <c r="FC186">
        <f t="shared" si="3"/>
        <v>0</v>
      </c>
    </row>
    <row r="187" spans="1:159" ht="17.25" thickBot="1" x14ac:dyDescent="0.3">
      <c r="A187" s="226">
        <v>46168</v>
      </c>
      <c r="B187" s="227" t="s">
        <v>197</v>
      </c>
      <c r="C187" s="227" t="s">
        <v>286</v>
      </c>
      <c r="D187" s="228">
        <v>200</v>
      </c>
      <c r="E187" s="228">
        <v>0</v>
      </c>
      <c r="F187" s="231">
        <v>2762.1</v>
      </c>
      <c r="G187" s="231">
        <v>2731.3</v>
      </c>
      <c r="H187" s="228">
        <v>30.8</v>
      </c>
      <c r="I187" s="229">
        <v>1.1299999999999999E-2</v>
      </c>
      <c r="J187" s="231">
        <v>2749.7</v>
      </c>
      <c r="K187" s="231">
        <v>2711</v>
      </c>
      <c r="L187" s="228">
        <v>38.700000000000003</v>
      </c>
      <c r="M187" s="229">
        <v>1.43E-2</v>
      </c>
      <c r="N187" s="231">
        <v>2749.7</v>
      </c>
      <c r="O187" s="231">
        <v>2713.9</v>
      </c>
      <c r="P187" s="228">
        <v>35.799999999999997</v>
      </c>
      <c r="Q187" s="229">
        <v>1.32E-2</v>
      </c>
      <c r="R187" s="231">
        <v>2762.1</v>
      </c>
      <c r="S187" s="231">
        <v>2731.3</v>
      </c>
      <c r="T187" s="228">
        <v>30.8</v>
      </c>
      <c r="U187" s="229">
        <v>1.1299999999999999E-2</v>
      </c>
      <c r="V187" s="231">
        <v>2774.5</v>
      </c>
      <c r="W187" s="231">
        <v>2740.4</v>
      </c>
      <c r="X187" s="228">
        <v>34.1</v>
      </c>
      <c r="Y187" s="229">
        <v>1.24E-2</v>
      </c>
      <c r="Z187" s="228">
        <v>12.4</v>
      </c>
      <c r="AA187" s="228">
        <v>2.9</v>
      </c>
      <c r="AB187" s="228">
        <v>9.5</v>
      </c>
      <c r="AC187" s="229">
        <v>4.4999999999999997E-3</v>
      </c>
      <c r="AD187" s="228">
        <v>0</v>
      </c>
      <c r="AE187" s="228">
        <v>2.9</v>
      </c>
      <c r="AF187" s="228">
        <v>-2.9</v>
      </c>
      <c r="AG187" s="229">
        <v>0</v>
      </c>
      <c r="AH187" s="228">
        <v>12.4</v>
      </c>
      <c r="AI187" s="228">
        <v>20.3</v>
      </c>
      <c r="AJ187" s="228">
        <v>-7.9</v>
      </c>
      <c r="AK187" s="229">
        <v>4.4999999999999997E-3</v>
      </c>
      <c r="AL187" s="228">
        <v>24.8</v>
      </c>
      <c r="AM187" s="228">
        <v>29.4</v>
      </c>
      <c r="AN187" s="228">
        <v>-4.5999999999999996</v>
      </c>
      <c r="AO187" s="229">
        <v>8.9999999999999993E-3</v>
      </c>
      <c r="AP187" s="231">
        <v>2748.1</v>
      </c>
      <c r="AQ187" s="231">
        <v>2762.41</v>
      </c>
      <c r="AR187" s="228">
        <v>0</v>
      </c>
      <c r="AS187" s="228">
        <v>452</v>
      </c>
      <c r="AT187" s="228">
        <v>596</v>
      </c>
      <c r="AU187" s="228">
        <v>-144</v>
      </c>
      <c r="AV187" s="229">
        <v>-0.24160000000000001</v>
      </c>
      <c r="AW187" s="228">
        <v>152</v>
      </c>
      <c r="AX187" s="228">
        <v>269</v>
      </c>
      <c r="AY187" s="228">
        <v>-118</v>
      </c>
      <c r="AZ187" s="229">
        <v>-0.4365</v>
      </c>
      <c r="BA187" s="228">
        <v>296</v>
      </c>
      <c r="BB187" s="228">
        <v>321</v>
      </c>
      <c r="BC187" s="228">
        <v>-25</v>
      </c>
      <c r="BD187" s="229">
        <v>-7.7600000000000002E-2</v>
      </c>
      <c r="BE187" s="228">
        <v>4</v>
      </c>
      <c r="BF187" s="228">
        <v>6</v>
      </c>
      <c r="BG187" s="228">
        <v>-2</v>
      </c>
      <c r="BH187" s="229">
        <v>-0.2636</v>
      </c>
      <c r="BI187" s="228">
        <v>908</v>
      </c>
      <c r="BJ187" s="228">
        <v>667</v>
      </c>
      <c r="BK187" s="228">
        <v>242</v>
      </c>
      <c r="BL187" s="229">
        <v>0.36220000000000002</v>
      </c>
      <c r="BM187" s="228">
        <v>347</v>
      </c>
      <c r="BN187" s="228">
        <v>269</v>
      </c>
      <c r="BO187" s="228">
        <v>78</v>
      </c>
      <c r="BP187" s="229">
        <v>0.29049999999999998</v>
      </c>
      <c r="BQ187" s="230">
        <v>1708</v>
      </c>
      <c r="BR187" s="230">
        <v>1532</v>
      </c>
      <c r="BS187" s="228">
        <v>176</v>
      </c>
      <c r="BT187" s="229">
        <v>0.1145</v>
      </c>
      <c r="BU187" s="230">
        <v>729778</v>
      </c>
      <c r="BV187" s="230">
        <v>177535</v>
      </c>
      <c r="BW187" s="230">
        <v>552243</v>
      </c>
      <c r="BX187" s="229">
        <v>3.1105999999999998</v>
      </c>
      <c r="BY187" s="228">
        <v>944</v>
      </c>
      <c r="BZ187" s="230">
        <v>1158</v>
      </c>
      <c r="CA187" s="228">
        <v>-213</v>
      </c>
      <c r="CB187" s="229">
        <v>-0.1842</v>
      </c>
      <c r="CC187" s="228">
        <v>177</v>
      </c>
      <c r="CD187" s="228">
        <v>255</v>
      </c>
      <c r="CE187" s="228">
        <v>-79</v>
      </c>
      <c r="CF187" s="229">
        <v>-0.30759999999999998</v>
      </c>
      <c r="CG187" s="228">
        <v>935</v>
      </c>
      <c r="CH187" s="228">
        <v>893</v>
      </c>
      <c r="CI187" s="228">
        <v>42</v>
      </c>
      <c r="CJ187" s="229">
        <v>4.6899999999999997E-2</v>
      </c>
      <c r="CK187" s="228">
        <v>9</v>
      </c>
      <c r="CL187" s="228">
        <v>9</v>
      </c>
      <c r="CM187" s="228">
        <v>0</v>
      </c>
      <c r="CN187" s="229">
        <v>2.4799999999999999E-2</v>
      </c>
      <c r="CO187" s="228">
        <v>156</v>
      </c>
      <c r="CP187" s="228">
        <v>433</v>
      </c>
      <c r="CQ187" s="228">
        <v>-277</v>
      </c>
      <c r="CR187" s="229">
        <v>-0.64</v>
      </c>
      <c r="CS187" s="228">
        <v>91</v>
      </c>
      <c r="CT187" s="228">
        <v>333</v>
      </c>
      <c r="CU187" s="228">
        <v>-242</v>
      </c>
      <c r="CV187" s="229">
        <v>-0.72789999999999999</v>
      </c>
      <c r="CW187" s="230">
        <v>1191</v>
      </c>
      <c r="CX187" s="230">
        <v>1923</v>
      </c>
      <c r="CY187" s="228">
        <v>-733</v>
      </c>
      <c r="CZ187" s="229">
        <v>-0.38090000000000002</v>
      </c>
      <c r="DA187" s="228">
        <v>25.52</v>
      </c>
      <c r="DB187" s="228">
        <v>25.59</v>
      </c>
      <c r="DC187" s="228">
        <v>-7.0000000000000007E-2</v>
      </c>
      <c r="DD187" s="228">
        <v>-7.0000000000000007E-2</v>
      </c>
      <c r="DE187" s="228">
        <v>36.770000000000003</v>
      </c>
      <c r="DF187" s="228">
        <v>36.81</v>
      </c>
      <c r="DG187" s="228">
        <v>-11.25</v>
      </c>
      <c r="DH187" s="228">
        <v>-0.04</v>
      </c>
      <c r="DI187" s="228">
        <v>25.46</v>
      </c>
      <c r="DJ187" s="228">
        <v>25.55</v>
      </c>
      <c r="DK187" s="228">
        <v>-0.09</v>
      </c>
      <c r="DL187" s="228">
        <v>-0.09</v>
      </c>
      <c r="DM187" s="228">
        <v>25.87</v>
      </c>
      <c r="DN187" s="228">
        <v>25.77</v>
      </c>
      <c r="DO187" s="228">
        <v>0.1</v>
      </c>
      <c r="DP187" s="228">
        <v>0.1</v>
      </c>
      <c r="DQ187" s="228">
        <v>0.57999999999999996</v>
      </c>
      <c r="DR187" s="228">
        <v>0.77</v>
      </c>
      <c r="DS187" s="228">
        <v>-0.19</v>
      </c>
      <c r="DT187" s="229">
        <v>-0.24679999999999999</v>
      </c>
      <c r="DU187" s="231">
        <v>2700</v>
      </c>
      <c r="DV187" s="231">
        <v>2500</v>
      </c>
      <c r="DW187" s="228">
        <v>0.38</v>
      </c>
      <c r="DX187" s="228">
        <v>0.4</v>
      </c>
      <c r="DY187" s="228">
        <v>-0.02</v>
      </c>
      <c r="DZ187" s="229">
        <v>-0.05</v>
      </c>
      <c r="EA187" s="229">
        <v>0.84230000000000005</v>
      </c>
      <c r="EB187" s="230">
        <v>3266800</v>
      </c>
      <c r="EC187" s="229">
        <v>4.4999999999999997E-3</v>
      </c>
      <c r="ED187" s="229">
        <v>0.84230000000000005</v>
      </c>
      <c r="EE187" s="228">
        <v>14.31</v>
      </c>
      <c r="EF187" s="229">
        <v>5.1999999999999998E-3</v>
      </c>
      <c r="EG187" s="230">
        <v>349802</v>
      </c>
      <c r="EH187" s="230">
        <v>69483</v>
      </c>
      <c r="EI187" s="229">
        <v>4.0343999999999998</v>
      </c>
      <c r="EJ187" s="229">
        <v>0.4793</v>
      </c>
      <c r="EK187" s="228">
        <v>928.01</v>
      </c>
      <c r="EL187" s="228">
        <v>342.34</v>
      </c>
      <c r="EM187" s="228">
        <v>451.61</v>
      </c>
      <c r="EN187" s="228">
        <v>90.64</v>
      </c>
      <c r="EO187" s="231">
        <v>1721.96</v>
      </c>
      <c r="EP187" s="231">
        <v>1512.89</v>
      </c>
      <c r="EQ187" s="228">
        <v>209.06</v>
      </c>
      <c r="ER187" s="229">
        <v>0.13819999999999999</v>
      </c>
      <c r="ES187" s="228">
        <v>156.71</v>
      </c>
      <c r="ET187" s="228">
        <v>88.59</v>
      </c>
      <c r="EU187" s="228">
        <v>944.46</v>
      </c>
      <c r="EV187" s="231">
        <v>19721628</v>
      </c>
      <c r="EW187" s="231">
        <v>1189.76</v>
      </c>
      <c r="EX187" s="231">
        <v>1888.17</v>
      </c>
      <c r="EY187" s="228">
        <v>-698.41</v>
      </c>
      <c r="EZ187" s="229">
        <v>-0.36990000000000001</v>
      </c>
      <c r="FA187" s="229">
        <v>0.21859999999999999</v>
      </c>
      <c r="FB187" s="227" t="s">
        <v>691</v>
      </c>
      <c r="FC187">
        <f t="shared" si="3"/>
        <v>0</v>
      </c>
    </row>
    <row r="188" spans="1:159" ht="17.25" thickBot="1" x14ac:dyDescent="0.3">
      <c r="A188" s="226">
        <v>46168</v>
      </c>
      <c r="B188" s="227" t="s">
        <v>170</v>
      </c>
      <c r="C188" s="227" t="s">
        <v>288</v>
      </c>
      <c r="D188" s="228">
        <v>350</v>
      </c>
      <c r="E188" s="228">
        <v>0</v>
      </c>
      <c r="F188" s="231">
        <v>1855</v>
      </c>
      <c r="G188" s="231">
        <v>1855.3</v>
      </c>
      <c r="H188" s="228">
        <v>-0.3</v>
      </c>
      <c r="I188" s="229">
        <v>-2.0000000000000001E-4</v>
      </c>
      <c r="J188" s="231">
        <v>1840.8</v>
      </c>
      <c r="K188" s="231">
        <v>1840.6</v>
      </c>
      <c r="L188" s="228">
        <v>0.2</v>
      </c>
      <c r="M188" s="229">
        <v>1E-4</v>
      </c>
      <c r="N188" s="231">
        <v>1846.5</v>
      </c>
      <c r="O188" s="231">
        <v>1843.5</v>
      </c>
      <c r="P188" s="228">
        <v>3</v>
      </c>
      <c r="Q188" s="229">
        <v>1.6000000000000001E-3</v>
      </c>
      <c r="R188" s="231">
        <v>1855</v>
      </c>
      <c r="S188" s="231">
        <v>1855.3</v>
      </c>
      <c r="T188" s="228">
        <v>-0.3</v>
      </c>
      <c r="U188" s="229">
        <v>-2.0000000000000001E-4</v>
      </c>
      <c r="V188" s="231">
        <v>1862.7</v>
      </c>
      <c r="W188" s="231">
        <v>1865.1</v>
      </c>
      <c r="X188" s="228">
        <v>-2.4</v>
      </c>
      <c r="Y188" s="229">
        <v>-1.2999999999999999E-3</v>
      </c>
      <c r="Z188" s="228">
        <v>14.2</v>
      </c>
      <c r="AA188" s="228">
        <v>2.9</v>
      </c>
      <c r="AB188" s="228">
        <v>11.3</v>
      </c>
      <c r="AC188" s="229">
        <v>7.7000000000000002E-3</v>
      </c>
      <c r="AD188" s="228">
        <v>5.7</v>
      </c>
      <c r="AE188" s="228">
        <v>2.9</v>
      </c>
      <c r="AF188" s="228">
        <v>2.8</v>
      </c>
      <c r="AG188" s="229">
        <v>3.0999999999999999E-3</v>
      </c>
      <c r="AH188" s="228">
        <v>14.2</v>
      </c>
      <c r="AI188" s="228">
        <v>14.7</v>
      </c>
      <c r="AJ188" s="228">
        <v>-0.5</v>
      </c>
      <c r="AK188" s="229">
        <v>7.7000000000000002E-3</v>
      </c>
      <c r="AL188" s="228">
        <v>21.9</v>
      </c>
      <c r="AM188" s="228">
        <v>24.5</v>
      </c>
      <c r="AN188" s="228">
        <v>-2.6</v>
      </c>
      <c r="AO188" s="229">
        <v>1.1900000000000001E-2</v>
      </c>
      <c r="AP188" s="231">
        <v>1833.53</v>
      </c>
      <c r="AQ188" s="231">
        <v>1845.62</v>
      </c>
      <c r="AR188" s="228">
        <v>0</v>
      </c>
      <c r="AS188" s="230">
        <v>1177</v>
      </c>
      <c r="AT188" s="230">
        <v>3319</v>
      </c>
      <c r="AU188" s="230">
        <v>-2142</v>
      </c>
      <c r="AV188" s="229">
        <v>-0.64539999999999997</v>
      </c>
      <c r="AW188" s="228">
        <v>483</v>
      </c>
      <c r="AX188" s="230">
        <v>1629</v>
      </c>
      <c r="AY188" s="230">
        <v>-1146</v>
      </c>
      <c r="AZ188" s="229">
        <v>-0.70350000000000001</v>
      </c>
      <c r="BA188" s="228">
        <v>687</v>
      </c>
      <c r="BB188" s="230">
        <v>1642</v>
      </c>
      <c r="BC188" s="228">
        <v>-955</v>
      </c>
      <c r="BD188" s="229">
        <v>-0.58150000000000002</v>
      </c>
      <c r="BE188" s="228">
        <v>6</v>
      </c>
      <c r="BF188" s="228">
        <v>48</v>
      </c>
      <c r="BG188" s="228">
        <v>-41</v>
      </c>
      <c r="BH188" s="229">
        <v>-0.86529999999999996</v>
      </c>
      <c r="BI188" s="230">
        <v>2374</v>
      </c>
      <c r="BJ188" s="230">
        <v>7847</v>
      </c>
      <c r="BK188" s="230">
        <v>-5473</v>
      </c>
      <c r="BL188" s="229">
        <v>-0.69750000000000001</v>
      </c>
      <c r="BM188" s="230">
        <v>2227</v>
      </c>
      <c r="BN188" s="230">
        <v>5503</v>
      </c>
      <c r="BO188" s="230">
        <v>-3276</v>
      </c>
      <c r="BP188" s="229">
        <v>-0.59530000000000005</v>
      </c>
      <c r="BQ188" s="230">
        <v>5778</v>
      </c>
      <c r="BR188" s="230">
        <v>16670</v>
      </c>
      <c r="BS188" s="230">
        <v>-10891</v>
      </c>
      <c r="BT188" s="229">
        <v>-0.65339999999999998</v>
      </c>
      <c r="BU188" s="230">
        <v>2457082</v>
      </c>
      <c r="BV188" s="230">
        <v>3138722</v>
      </c>
      <c r="BW188" s="230">
        <v>-681640</v>
      </c>
      <c r="BX188" s="229">
        <v>-0.2172</v>
      </c>
      <c r="BY188" s="230">
        <v>4306</v>
      </c>
      <c r="BZ188" s="230">
        <v>4980</v>
      </c>
      <c r="CA188" s="228">
        <v>-675</v>
      </c>
      <c r="CB188" s="229">
        <v>-0.13539999999999999</v>
      </c>
      <c r="CC188" s="228">
        <v>683</v>
      </c>
      <c r="CD188" s="228">
        <v>823</v>
      </c>
      <c r="CE188" s="228">
        <v>-141</v>
      </c>
      <c r="CF188" s="229">
        <v>-0.17080000000000001</v>
      </c>
      <c r="CG188" s="230">
        <v>4237</v>
      </c>
      <c r="CH188" s="230">
        <v>4091</v>
      </c>
      <c r="CI188" s="228">
        <v>146</v>
      </c>
      <c r="CJ188" s="229">
        <v>3.5799999999999998E-2</v>
      </c>
      <c r="CK188" s="228">
        <v>69</v>
      </c>
      <c r="CL188" s="228">
        <v>66</v>
      </c>
      <c r="CM188" s="228">
        <v>2</v>
      </c>
      <c r="CN188" s="229">
        <v>3.6200000000000003E-2</v>
      </c>
      <c r="CO188" s="228">
        <v>839</v>
      </c>
      <c r="CP188" s="230">
        <v>3493</v>
      </c>
      <c r="CQ188" s="230">
        <v>-2653</v>
      </c>
      <c r="CR188" s="229">
        <v>-0.75970000000000004</v>
      </c>
      <c r="CS188" s="228">
        <v>786</v>
      </c>
      <c r="CT188" s="230">
        <v>2172</v>
      </c>
      <c r="CU188" s="230">
        <v>-1386</v>
      </c>
      <c r="CV188" s="229">
        <v>-0.6381</v>
      </c>
      <c r="CW188" s="230">
        <v>5931</v>
      </c>
      <c r="CX188" s="230">
        <v>10644</v>
      </c>
      <c r="CY188" s="230">
        <v>-4714</v>
      </c>
      <c r="CZ188" s="229">
        <v>-0.44280000000000003</v>
      </c>
      <c r="DA188" s="228">
        <v>17.13</v>
      </c>
      <c r="DB188" s="228">
        <v>18.18</v>
      </c>
      <c r="DC188" s="228">
        <v>-1.05</v>
      </c>
      <c r="DD188" s="228">
        <v>-1.05</v>
      </c>
      <c r="DE188" s="228">
        <v>25.45</v>
      </c>
      <c r="DF188" s="228">
        <v>25.51</v>
      </c>
      <c r="DG188" s="228">
        <v>-8.32</v>
      </c>
      <c r="DH188" s="228">
        <v>-0.06</v>
      </c>
      <c r="DI188" s="228">
        <v>17.32</v>
      </c>
      <c r="DJ188" s="228">
        <v>18.22</v>
      </c>
      <c r="DK188" s="228">
        <v>-0.9</v>
      </c>
      <c r="DL188" s="228">
        <v>-0.9</v>
      </c>
      <c r="DM188" s="228">
        <v>16.89</v>
      </c>
      <c r="DN188" s="228">
        <v>18.14</v>
      </c>
      <c r="DO188" s="228">
        <v>-1.25</v>
      </c>
      <c r="DP188" s="228">
        <v>-1.25</v>
      </c>
      <c r="DQ188" s="228">
        <v>0.94</v>
      </c>
      <c r="DR188" s="228">
        <v>0.62</v>
      </c>
      <c r="DS188" s="228">
        <v>0.32</v>
      </c>
      <c r="DT188" s="229">
        <v>0.5161</v>
      </c>
      <c r="DU188" s="231">
        <v>1900</v>
      </c>
      <c r="DV188" s="231">
        <v>1900</v>
      </c>
      <c r="DW188" s="228">
        <v>0.94</v>
      </c>
      <c r="DX188" s="228">
        <v>0.7</v>
      </c>
      <c r="DY188" s="228">
        <v>0.24</v>
      </c>
      <c r="DZ188" s="229">
        <v>0.34289999999999998</v>
      </c>
      <c r="EA188" s="229">
        <v>0.86319999999999997</v>
      </c>
      <c r="EB188" s="230">
        <v>22410150</v>
      </c>
      <c r="EC188" s="229">
        <v>4.5999999999999999E-3</v>
      </c>
      <c r="ED188" s="229">
        <v>0.86319999999999997</v>
      </c>
      <c r="EE188" s="228">
        <v>12.09</v>
      </c>
      <c r="EF188" s="229">
        <v>6.6E-3</v>
      </c>
      <c r="EG188" s="230">
        <v>1411960</v>
      </c>
      <c r="EH188" s="230">
        <v>1604244</v>
      </c>
      <c r="EI188" s="229">
        <v>-0.11990000000000001</v>
      </c>
      <c r="EJ188" s="229">
        <v>0.5746</v>
      </c>
      <c r="EK188" s="231">
        <v>2410.11</v>
      </c>
      <c r="EL188" s="231">
        <v>2200.02</v>
      </c>
      <c r="EM188" s="231">
        <v>1167.76</v>
      </c>
      <c r="EN188" s="228">
        <v>306.14999999999998</v>
      </c>
      <c r="EO188" s="231">
        <v>5777.88</v>
      </c>
      <c r="EP188" s="231">
        <v>16710.39</v>
      </c>
      <c r="EQ188" s="231">
        <v>-10932.51</v>
      </c>
      <c r="ER188" s="229">
        <v>-0.6542</v>
      </c>
      <c r="ES188" s="228">
        <v>867.27</v>
      </c>
      <c r="ET188" s="228">
        <v>763.75</v>
      </c>
      <c r="EU188" s="231">
        <v>4306.05</v>
      </c>
      <c r="EV188" s="231">
        <v>121755902</v>
      </c>
      <c r="EW188" s="231">
        <v>5937.07</v>
      </c>
      <c r="EX188" s="231">
        <v>10615.11</v>
      </c>
      <c r="EY188" s="231">
        <v>-4678.04</v>
      </c>
      <c r="EZ188" s="229">
        <v>-0.44069999999999998</v>
      </c>
      <c r="FA188" s="229">
        <v>0.2626</v>
      </c>
      <c r="FB188" s="227" t="s">
        <v>567</v>
      </c>
      <c r="FC188">
        <f t="shared" si="3"/>
        <v>0</v>
      </c>
    </row>
    <row r="189" spans="1:159" ht="17.25" thickBot="1" x14ac:dyDescent="0.3">
      <c r="A189" s="226">
        <v>46168</v>
      </c>
      <c r="B189" s="227" t="s">
        <v>184</v>
      </c>
      <c r="C189" s="227" t="s">
        <v>573</v>
      </c>
      <c r="D189" s="228">
        <v>175</v>
      </c>
      <c r="E189" s="228">
        <v>0</v>
      </c>
      <c r="F189" s="231">
        <v>3572.6</v>
      </c>
      <c r="G189" s="231">
        <v>3609.5</v>
      </c>
      <c r="H189" s="228">
        <v>-36.9</v>
      </c>
      <c r="I189" s="229">
        <v>-1.0200000000000001E-2</v>
      </c>
      <c r="J189" s="231">
        <v>3570.9</v>
      </c>
      <c r="K189" s="231">
        <v>3612.9</v>
      </c>
      <c r="L189" s="228">
        <v>-42</v>
      </c>
      <c r="M189" s="229">
        <v>-1.1599999999999999E-2</v>
      </c>
      <c r="N189" s="231">
        <v>3563.4</v>
      </c>
      <c r="O189" s="231">
        <v>3610.8</v>
      </c>
      <c r="P189" s="228">
        <v>-47.4</v>
      </c>
      <c r="Q189" s="229">
        <v>-1.3100000000000001E-2</v>
      </c>
      <c r="R189" s="231">
        <v>3572.6</v>
      </c>
      <c r="S189" s="231">
        <v>3609.5</v>
      </c>
      <c r="T189" s="228">
        <v>-36.9</v>
      </c>
      <c r="U189" s="229">
        <v>-1.0200000000000001E-2</v>
      </c>
      <c r="V189" s="231">
        <v>3587.8</v>
      </c>
      <c r="W189" s="231">
        <v>3632.4</v>
      </c>
      <c r="X189" s="228">
        <v>-44.6</v>
      </c>
      <c r="Y189" s="229">
        <v>-1.23E-2</v>
      </c>
      <c r="Z189" s="228">
        <v>1.7</v>
      </c>
      <c r="AA189" s="228">
        <v>-2.1</v>
      </c>
      <c r="AB189" s="228">
        <v>3.8</v>
      </c>
      <c r="AC189" s="229">
        <v>5.0000000000000001E-4</v>
      </c>
      <c r="AD189" s="228">
        <v>-7.5</v>
      </c>
      <c r="AE189" s="228">
        <v>-2.1</v>
      </c>
      <c r="AF189" s="228">
        <v>-5.4</v>
      </c>
      <c r="AG189" s="229">
        <v>-2.0999999999999999E-3</v>
      </c>
      <c r="AH189" s="228">
        <v>1.7</v>
      </c>
      <c r="AI189" s="228">
        <v>-3.4</v>
      </c>
      <c r="AJ189" s="228">
        <v>5.0999999999999996</v>
      </c>
      <c r="AK189" s="229">
        <v>5.0000000000000001E-4</v>
      </c>
      <c r="AL189" s="228">
        <v>16.899999999999999</v>
      </c>
      <c r="AM189" s="228">
        <v>19.5</v>
      </c>
      <c r="AN189" s="228">
        <v>-2.6</v>
      </c>
      <c r="AO189" s="229">
        <v>4.7000000000000002E-3</v>
      </c>
      <c r="AP189" s="231">
        <v>3571.28</v>
      </c>
      <c r="AQ189" s="231">
        <v>3574.42</v>
      </c>
      <c r="AR189" s="228">
        <v>0</v>
      </c>
      <c r="AS189" s="228">
        <v>307</v>
      </c>
      <c r="AT189" s="228">
        <v>475</v>
      </c>
      <c r="AU189" s="228">
        <v>-168</v>
      </c>
      <c r="AV189" s="229">
        <v>-0.3538</v>
      </c>
      <c r="AW189" s="228">
        <v>137</v>
      </c>
      <c r="AX189" s="228">
        <v>223</v>
      </c>
      <c r="AY189" s="228">
        <v>-86</v>
      </c>
      <c r="AZ189" s="229">
        <v>-0.38490000000000002</v>
      </c>
      <c r="BA189" s="228">
        <v>168</v>
      </c>
      <c r="BB189" s="228">
        <v>249</v>
      </c>
      <c r="BC189" s="228">
        <v>-81</v>
      </c>
      <c r="BD189" s="229">
        <v>-0.32650000000000001</v>
      </c>
      <c r="BE189" s="228">
        <v>2</v>
      </c>
      <c r="BF189" s="228">
        <v>2</v>
      </c>
      <c r="BG189" s="228">
        <v>-1</v>
      </c>
      <c r="BH189" s="229">
        <v>-0.29730000000000001</v>
      </c>
      <c r="BI189" s="228">
        <v>198</v>
      </c>
      <c r="BJ189" s="228">
        <v>410</v>
      </c>
      <c r="BK189" s="228">
        <v>-212</v>
      </c>
      <c r="BL189" s="229">
        <v>-0.51700000000000002</v>
      </c>
      <c r="BM189" s="228">
        <v>75</v>
      </c>
      <c r="BN189" s="228">
        <v>326</v>
      </c>
      <c r="BO189" s="228">
        <v>-252</v>
      </c>
      <c r="BP189" s="229">
        <v>-0.77139999999999997</v>
      </c>
      <c r="BQ189" s="228">
        <v>579</v>
      </c>
      <c r="BR189" s="230">
        <v>1211</v>
      </c>
      <c r="BS189" s="228">
        <v>-632</v>
      </c>
      <c r="BT189" s="229">
        <v>-0.52159999999999995</v>
      </c>
      <c r="BU189" s="230">
        <v>96135</v>
      </c>
      <c r="BV189" s="230">
        <v>88353</v>
      </c>
      <c r="BW189" s="230">
        <v>7782</v>
      </c>
      <c r="BX189" s="229">
        <v>8.8099999999999998E-2</v>
      </c>
      <c r="BY189" s="228">
        <v>747</v>
      </c>
      <c r="BZ189" s="228">
        <v>775</v>
      </c>
      <c r="CA189" s="228">
        <v>-28</v>
      </c>
      <c r="CB189" s="229">
        <v>-3.5799999999999998E-2</v>
      </c>
      <c r="CC189" s="228">
        <v>47</v>
      </c>
      <c r="CD189" s="228">
        <v>109</v>
      </c>
      <c r="CE189" s="228">
        <v>-62</v>
      </c>
      <c r="CF189" s="229">
        <v>-0.57189999999999996</v>
      </c>
      <c r="CG189" s="228">
        <v>743</v>
      </c>
      <c r="CH189" s="228">
        <v>663</v>
      </c>
      <c r="CI189" s="228">
        <v>80</v>
      </c>
      <c r="CJ189" s="229">
        <v>0.1207</v>
      </c>
      <c r="CK189" s="228">
        <v>4</v>
      </c>
      <c r="CL189" s="228">
        <v>3</v>
      </c>
      <c r="CM189" s="228">
        <v>1</v>
      </c>
      <c r="CN189" s="229">
        <v>0.4375</v>
      </c>
      <c r="CO189" s="228">
        <v>38</v>
      </c>
      <c r="CP189" s="228">
        <v>352</v>
      </c>
      <c r="CQ189" s="228">
        <v>-314</v>
      </c>
      <c r="CR189" s="229">
        <v>-0.89080000000000004</v>
      </c>
      <c r="CS189" s="228">
        <v>39</v>
      </c>
      <c r="CT189" s="228">
        <v>146</v>
      </c>
      <c r="CU189" s="228">
        <v>-106</v>
      </c>
      <c r="CV189" s="229">
        <v>-0.72960000000000003</v>
      </c>
      <c r="CW189" s="228">
        <v>825</v>
      </c>
      <c r="CX189" s="230">
        <v>1273</v>
      </c>
      <c r="CY189" s="228">
        <v>-448</v>
      </c>
      <c r="CZ189" s="229">
        <v>-0.35160000000000002</v>
      </c>
      <c r="DA189" s="228">
        <v>27.02</v>
      </c>
      <c r="DB189" s="228">
        <v>28.14</v>
      </c>
      <c r="DC189" s="228">
        <v>-1.1200000000000001</v>
      </c>
      <c r="DD189" s="228">
        <v>-1.1200000000000001</v>
      </c>
      <c r="DE189" s="228">
        <v>36.770000000000003</v>
      </c>
      <c r="DF189" s="228">
        <v>36.83</v>
      </c>
      <c r="DG189" s="228">
        <v>-9.75</v>
      </c>
      <c r="DH189" s="228">
        <v>-0.06</v>
      </c>
      <c r="DI189" s="228">
        <v>26.89</v>
      </c>
      <c r="DJ189" s="228">
        <v>27.71</v>
      </c>
      <c r="DK189" s="228">
        <v>-0.82</v>
      </c>
      <c r="DL189" s="228">
        <v>-0.82</v>
      </c>
      <c r="DM189" s="228">
        <v>27.12</v>
      </c>
      <c r="DN189" s="228">
        <v>29.5</v>
      </c>
      <c r="DO189" s="228">
        <v>-2.38</v>
      </c>
      <c r="DP189" s="228">
        <v>-2.38</v>
      </c>
      <c r="DQ189" s="228">
        <v>1.02</v>
      </c>
      <c r="DR189" s="228">
        <v>0.41</v>
      </c>
      <c r="DS189" s="228">
        <v>0.61</v>
      </c>
      <c r="DT189" s="229">
        <v>1.4878</v>
      </c>
      <c r="DU189" s="231">
        <v>4000</v>
      </c>
      <c r="DV189" s="231">
        <v>3450</v>
      </c>
      <c r="DW189" s="228">
        <v>0.38</v>
      </c>
      <c r="DX189" s="228">
        <v>0.8</v>
      </c>
      <c r="DY189" s="228">
        <v>-0.42</v>
      </c>
      <c r="DZ189" s="229">
        <v>-0.52500000000000002</v>
      </c>
      <c r="EA189" s="229">
        <v>0.94120000000000004</v>
      </c>
      <c r="EB189" s="230">
        <v>1864450</v>
      </c>
      <c r="EC189" s="229">
        <v>2.5999999999999999E-3</v>
      </c>
      <c r="ED189" s="229">
        <v>0.94120000000000004</v>
      </c>
      <c r="EE189" s="228">
        <v>3.14</v>
      </c>
      <c r="EF189" s="229">
        <v>8.9999999999999998E-4</v>
      </c>
      <c r="EG189" s="230">
        <v>39044</v>
      </c>
      <c r="EH189" s="230">
        <v>40936</v>
      </c>
      <c r="EI189" s="229">
        <v>-4.6199999999999998E-2</v>
      </c>
      <c r="EJ189" s="229">
        <v>0.40610000000000002</v>
      </c>
      <c r="EK189" s="228">
        <v>210.33</v>
      </c>
      <c r="EL189" s="228">
        <v>74.25</v>
      </c>
      <c r="EM189" s="228">
        <v>306.89999999999998</v>
      </c>
      <c r="EN189" s="228">
        <v>55.65</v>
      </c>
      <c r="EO189" s="228">
        <v>591.48</v>
      </c>
      <c r="EP189" s="231">
        <v>1234.06</v>
      </c>
      <c r="EQ189" s="228">
        <v>-642.57000000000005</v>
      </c>
      <c r="ER189" s="229">
        <v>-0.52070000000000005</v>
      </c>
      <c r="ES189" s="228">
        <v>40.14</v>
      </c>
      <c r="ET189" s="228">
        <v>38.409999999999997</v>
      </c>
      <c r="EU189" s="228">
        <v>747.45</v>
      </c>
      <c r="EV189" s="231">
        <v>9724371</v>
      </c>
      <c r="EW189" s="228">
        <v>826</v>
      </c>
      <c r="EX189" s="231">
        <v>1304.78</v>
      </c>
      <c r="EY189" s="228">
        <v>-478.78</v>
      </c>
      <c r="EZ189" s="229">
        <v>-0.3669</v>
      </c>
      <c r="FA189" s="229">
        <v>0.23749999999999999</v>
      </c>
      <c r="FB189" s="227" t="s">
        <v>567</v>
      </c>
      <c r="FC189">
        <f t="shared" si="3"/>
        <v>0</v>
      </c>
    </row>
    <row r="190" spans="1:159" ht="17.25" thickBot="1" x14ac:dyDescent="0.3">
      <c r="A190" s="226">
        <v>46168</v>
      </c>
      <c r="B190" s="227" t="s">
        <v>161</v>
      </c>
      <c r="C190" s="227" t="s">
        <v>680</v>
      </c>
      <c r="D190" s="228">
        <v>9025</v>
      </c>
      <c r="E190" s="228">
        <v>0</v>
      </c>
      <c r="F190" s="228">
        <v>55.02</v>
      </c>
      <c r="G190" s="228">
        <v>54.18</v>
      </c>
      <c r="H190" s="228">
        <v>0.84</v>
      </c>
      <c r="I190" s="229">
        <v>1.55E-2</v>
      </c>
      <c r="J190" s="228">
        <v>54.58</v>
      </c>
      <c r="K190" s="228">
        <v>53.99</v>
      </c>
      <c r="L190" s="228">
        <v>0.59</v>
      </c>
      <c r="M190" s="229">
        <v>1.09E-2</v>
      </c>
      <c r="N190" s="228">
        <v>54.74</v>
      </c>
      <c r="O190" s="228">
        <v>54.18</v>
      </c>
      <c r="P190" s="228">
        <v>0.56000000000000005</v>
      </c>
      <c r="Q190" s="229">
        <v>1.03E-2</v>
      </c>
      <c r="R190" s="228">
        <v>55.02</v>
      </c>
      <c r="S190" s="228">
        <v>54.18</v>
      </c>
      <c r="T190" s="228">
        <v>0.84</v>
      </c>
      <c r="U190" s="229">
        <v>1.55E-2</v>
      </c>
      <c r="V190" s="228">
        <v>55.21</v>
      </c>
      <c r="W190" s="228">
        <v>54.08</v>
      </c>
      <c r="X190" s="228">
        <v>1.1299999999999999</v>
      </c>
      <c r="Y190" s="229">
        <v>2.0899999999999998E-2</v>
      </c>
      <c r="Z190" s="228">
        <v>0.44</v>
      </c>
      <c r="AA190" s="228">
        <v>0.19</v>
      </c>
      <c r="AB190" s="228">
        <v>0.25</v>
      </c>
      <c r="AC190" s="229">
        <v>8.0999999999999996E-3</v>
      </c>
      <c r="AD190" s="228">
        <v>0.16</v>
      </c>
      <c r="AE190" s="228">
        <v>0.19</v>
      </c>
      <c r="AF190" s="228">
        <v>-0.03</v>
      </c>
      <c r="AG190" s="229">
        <v>2.8999999999999998E-3</v>
      </c>
      <c r="AH190" s="228">
        <v>0.44</v>
      </c>
      <c r="AI190" s="228">
        <v>0.19</v>
      </c>
      <c r="AJ190" s="228">
        <v>0.25</v>
      </c>
      <c r="AK190" s="229">
        <v>8.0999999999999996E-3</v>
      </c>
      <c r="AL190" s="228">
        <v>0.63</v>
      </c>
      <c r="AM190" s="228">
        <v>0.09</v>
      </c>
      <c r="AN190" s="228">
        <v>0.54</v>
      </c>
      <c r="AO190" s="229">
        <v>1.15E-2</v>
      </c>
      <c r="AP190" s="228">
        <v>54.6</v>
      </c>
      <c r="AQ190" s="228">
        <v>55.06</v>
      </c>
      <c r="AR190" s="228">
        <v>0</v>
      </c>
      <c r="AS190" s="230">
        <v>1114</v>
      </c>
      <c r="AT190" s="230">
        <v>1620</v>
      </c>
      <c r="AU190" s="228">
        <v>-506</v>
      </c>
      <c r="AV190" s="229">
        <v>-0.31259999999999999</v>
      </c>
      <c r="AW190" s="228">
        <v>419</v>
      </c>
      <c r="AX190" s="228">
        <v>658</v>
      </c>
      <c r="AY190" s="228">
        <v>-239</v>
      </c>
      <c r="AZ190" s="229">
        <v>-0.3634</v>
      </c>
      <c r="BA190" s="228">
        <v>677</v>
      </c>
      <c r="BB190" s="228">
        <v>915</v>
      </c>
      <c r="BC190" s="228">
        <v>-237</v>
      </c>
      <c r="BD190" s="229">
        <v>-0.25940000000000002</v>
      </c>
      <c r="BE190" s="228">
        <v>18</v>
      </c>
      <c r="BF190" s="228">
        <v>48</v>
      </c>
      <c r="BG190" s="228">
        <v>-30</v>
      </c>
      <c r="BH190" s="229">
        <v>-0.62970000000000004</v>
      </c>
      <c r="BI190" s="230">
        <v>1415</v>
      </c>
      <c r="BJ190" s="230">
        <v>1527</v>
      </c>
      <c r="BK190" s="228">
        <v>-112</v>
      </c>
      <c r="BL190" s="229">
        <v>-7.3499999999999996E-2</v>
      </c>
      <c r="BM190" s="228">
        <v>791</v>
      </c>
      <c r="BN190" s="228">
        <v>924</v>
      </c>
      <c r="BO190" s="228">
        <v>-133</v>
      </c>
      <c r="BP190" s="229">
        <v>-0.14399999999999999</v>
      </c>
      <c r="BQ190" s="230">
        <v>3319</v>
      </c>
      <c r="BR190" s="230">
        <v>4071</v>
      </c>
      <c r="BS190" s="228">
        <v>-752</v>
      </c>
      <c r="BT190" s="229">
        <v>-0.18459999999999999</v>
      </c>
      <c r="BU190" s="230">
        <v>182577261</v>
      </c>
      <c r="BV190" s="230">
        <v>142556667</v>
      </c>
      <c r="BW190" s="230">
        <v>40020594</v>
      </c>
      <c r="BX190" s="229">
        <v>0.28070000000000001</v>
      </c>
      <c r="BY190" s="230">
        <v>1813</v>
      </c>
      <c r="BZ190" s="230">
        <v>1893</v>
      </c>
      <c r="CA190" s="228">
        <v>-81</v>
      </c>
      <c r="CB190" s="229">
        <v>-4.2500000000000003E-2</v>
      </c>
      <c r="CC190" s="228">
        <v>83</v>
      </c>
      <c r="CD190" s="228">
        <v>242</v>
      </c>
      <c r="CE190" s="228">
        <v>-158</v>
      </c>
      <c r="CF190" s="229">
        <v>-0.65500000000000003</v>
      </c>
      <c r="CG190" s="230">
        <v>1746</v>
      </c>
      <c r="CH190" s="230">
        <v>1589</v>
      </c>
      <c r="CI190" s="228">
        <v>156</v>
      </c>
      <c r="CJ190" s="229">
        <v>9.8400000000000001E-2</v>
      </c>
      <c r="CK190" s="228">
        <v>67</v>
      </c>
      <c r="CL190" s="228">
        <v>62</v>
      </c>
      <c r="CM190" s="228">
        <v>5</v>
      </c>
      <c r="CN190" s="229">
        <v>7.6300000000000007E-2</v>
      </c>
      <c r="CO190" s="228">
        <v>456</v>
      </c>
      <c r="CP190" s="228">
        <v>994</v>
      </c>
      <c r="CQ190" s="228">
        <v>-538</v>
      </c>
      <c r="CR190" s="229">
        <v>-0.54159999999999997</v>
      </c>
      <c r="CS190" s="228">
        <v>263</v>
      </c>
      <c r="CT190" s="228">
        <v>514</v>
      </c>
      <c r="CU190" s="228">
        <v>-251</v>
      </c>
      <c r="CV190" s="229">
        <v>-0.48870000000000002</v>
      </c>
      <c r="CW190" s="230">
        <v>2531</v>
      </c>
      <c r="CX190" s="230">
        <v>3401</v>
      </c>
      <c r="CY190" s="228">
        <v>-870</v>
      </c>
      <c r="CZ190" s="229">
        <v>-0.25580000000000003</v>
      </c>
      <c r="DA190" s="228">
        <v>36.97</v>
      </c>
      <c r="DB190" s="228">
        <v>45.85</v>
      </c>
      <c r="DC190" s="228">
        <v>-8.8800000000000008</v>
      </c>
      <c r="DD190" s="228">
        <v>-8.8800000000000008</v>
      </c>
      <c r="DE190" s="228">
        <v>46.27</v>
      </c>
      <c r="DF190" s="228">
        <v>46.34</v>
      </c>
      <c r="DG190" s="228">
        <v>-9.3000000000000007</v>
      </c>
      <c r="DH190" s="228">
        <v>-7.0000000000000007E-2</v>
      </c>
      <c r="DI190" s="228">
        <v>37.08</v>
      </c>
      <c r="DJ190" s="228">
        <v>45.4</v>
      </c>
      <c r="DK190" s="228">
        <v>-8.32</v>
      </c>
      <c r="DL190" s="228">
        <v>-8.32</v>
      </c>
      <c r="DM190" s="228">
        <v>36.770000000000003</v>
      </c>
      <c r="DN190" s="228">
        <v>46.64</v>
      </c>
      <c r="DO190" s="228">
        <v>-9.8699999999999992</v>
      </c>
      <c r="DP190" s="228">
        <v>-9.8699999999999992</v>
      </c>
      <c r="DQ190" s="228">
        <v>0.57999999999999996</v>
      </c>
      <c r="DR190" s="228">
        <v>0.52</v>
      </c>
      <c r="DS190" s="228">
        <v>0.06</v>
      </c>
      <c r="DT190" s="229">
        <v>0.1154</v>
      </c>
      <c r="DU190" s="228">
        <v>60</v>
      </c>
      <c r="DV190" s="228">
        <v>55</v>
      </c>
      <c r="DW190" s="228">
        <v>0.56000000000000005</v>
      </c>
      <c r="DX190" s="228">
        <v>0.61</v>
      </c>
      <c r="DY190" s="228">
        <v>-0.05</v>
      </c>
      <c r="DZ190" s="229">
        <v>-8.2000000000000003E-2</v>
      </c>
      <c r="EA190" s="229">
        <v>0.95599999999999996</v>
      </c>
      <c r="EB190" s="230">
        <v>300151800</v>
      </c>
      <c r="EC190" s="229">
        <v>5.1000000000000004E-3</v>
      </c>
      <c r="ED190" s="229">
        <v>0.95599999999999996</v>
      </c>
      <c r="EE190" s="228">
        <v>0.46</v>
      </c>
      <c r="EF190" s="229">
        <v>8.3999999999999995E-3</v>
      </c>
      <c r="EG190" s="230">
        <v>55417610</v>
      </c>
      <c r="EH190" s="230">
        <v>51435297</v>
      </c>
      <c r="EI190" s="229">
        <v>7.7399999999999997E-2</v>
      </c>
      <c r="EJ190" s="229">
        <v>0.30349999999999999</v>
      </c>
      <c r="EK190" s="231">
        <v>1488.19</v>
      </c>
      <c r="EL190" s="228">
        <v>778.19</v>
      </c>
      <c r="EM190" s="231">
        <v>1118.3699999999999</v>
      </c>
      <c r="EN190" s="228">
        <v>188.68</v>
      </c>
      <c r="EO190" s="231">
        <v>3384.75</v>
      </c>
      <c r="EP190" s="231">
        <v>4114.32</v>
      </c>
      <c r="EQ190" s="228">
        <v>-729.58</v>
      </c>
      <c r="ER190" s="229">
        <v>-0.17730000000000001</v>
      </c>
      <c r="ES190" s="228">
        <v>475.34</v>
      </c>
      <c r="ET190" s="228">
        <v>253.73</v>
      </c>
      <c r="EU190" s="231">
        <v>1812.78</v>
      </c>
      <c r="EV190" s="231">
        <v>1815546735</v>
      </c>
      <c r="EW190" s="231">
        <v>2541.85</v>
      </c>
      <c r="EX190" s="231">
        <v>3385.45</v>
      </c>
      <c r="EY190" s="228">
        <v>-843.6</v>
      </c>
      <c r="EZ190" s="229">
        <v>-0.2492</v>
      </c>
      <c r="FA190" s="229">
        <v>0.25340000000000001</v>
      </c>
      <c r="FB190" s="227" t="s">
        <v>691</v>
      </c>
      <c r="FC190">
        <f t="shared" si="3"/>
        <v>0</v>
      </c>
    </row>
    <row r="191" spans="1:159" ht="17.25" thickBot="1" x14ac:dyDescent="0.3">
      <c r="A191" s="226">
        <v>46168</v>
      </c>
      <c r="B191" s="227" t="s">
        <v>614</v>
      </c>
      <c r="C191" s="227" t="s">
        <v>689</v>
      </c>
      <c r="D191" s="228">
        <v>1300</v>
      </c>
      <c r="E191" s="228">
        <v>0</v>
      </c>
      <c r="F191" s="228">
        <v>256.10000000000002</v>
      </c>
      <c r="G191" s="228">
        <v>252.15</v>
      </c>
      <c r="H191" s="228">
        <v>3.95</v>
      </c>
      <c r="I191" s="229">
        <v>1.5699999999999999E-2</v>
      </c>
      <c r="J191" s="228">
        <v>253.9</v>
      </c>
      <c r="K191" s="228">
        <v>250.05</v>
      </c>
      <c r="L191" s="228">
        <v>3.85</v>
      </c>
      <c r="M191" s="229">
        <v>1.54E-2</v>
      </c>
      <c r="N191" s="228">
        <v>254.6</v>
      </c>
      <c r="O191" s="228">
        <v>250.7</v>
      </c>
      <c r="P191" s="228">
        <v>3.9</v>
      </c>
      <c r="Q191" s="229">
        <v>1.5599999999999999E-2</v>
      </c>
      <c r="R191" s="228">
        <v>256.10000000000002</v>
      </c>
      <c r="S191" s="228">
        <v>252.15</v>
      </c>
      <c r="T191" s="228">
        <v>3.95</v>
      </c>
      <c r="U191" s="229">
        <v>1.5699999999999999E-2</v>
      </c>
      <c r="V191" s="228">
        <v>257.39999999999998</v>
      </c>
      <c r="W191" s="228">
        <v>252.95</v>
      </c>
      <c r="X191" s="228">
        <v>4.45</v>
      </c>
      <c r="Y191" s="229">
        <v>1.7600000000000001E-2</v>
      </c>
      <c r="Z191" s="228">
        <v>2.2000000000000002</v>
      </c>
      <c r="AA191" s="228">
        <v>0.65</v>
      </c>
      <c r="AB191" s="228">
        <v>1.55</v>
      </c>
      <c r="AC191" s="229">
        <v>8.6999999999999994E-3</v>
      </c>
      <c r="AD191" s="228">
        <v>0.7</v>
      </c>
      <c r="AE191" s="228">
        <v>0.65</v>
      </c>
      <c r="AF191" s="228">
        <v>0.05</v>
      </c>
      <c r="AG191" s="229">
        <v>2.8E-3</v>
      </c>
      <c r="AH191" s="228">
        <v>2.2000000000000002</v>
      </c>
      <c r="AI191" s="228">
        <v>2.1</v>
      </c>
      <c r="AJ191" s="228">
        <v>0.1</v>
      </c>
      <c r="AK191" s="229">
        <v>8.6999999999999994E-3</v>
      </c>
      <c r="AL191" s="228">
        <v>3.5</v>
      </c>
      <c r="AM191" s="228">
        <v>2.9</v>
      </c>
      <c r="AN191" s="228">
        <v>0.6</v>
      </c>
      <c r="AO191" s="229">
        <v>1.38E-2</v>
      </c>
      <c r="AP191" s="228">
        <v>254.44</v>
      </c>
      <c r="AQ191" s="228">
        <v>255.99</v>
      </c>
      <c r="AR191" s="228">
        <v>0</v>
      </c>
      <c r="AS191" s="228">
        <v>386</v>
      </c>
      <c r="AT191" s="228">
        <v>653</v>
      </c>
      <c r="AU191" s="228">
        <v>-268</v>
      </c>
      <c r="AV191" s="229">
        <v>-0.4098</v>
      </c>
      <c r="AW191" s="228">
        <v>141</v>
      </c>
      <c r="AX191" s="228">
        <v>270</v>
      </c>
      <c r="AY191" s="228">
        <v>-129</v>
      </c>
      <c r="AZ191" s="229">
        <v>-0.47770000000000001</v>
      </c>
      <c r="BA191" s="228">
        <v>241</v>
      </c>
      <c r="BB191" s="228">
        <v>382</v>
      </c>
      <c r="BC191" s="228">
        <v>-141</v>
      </c>
      <c r="BD191" s="229">
        <v>-0.36909999999999998</v>
      </c>
      <c r="BE191" s="228">
        <v>4</v>
      </c>
      <c r="BF191" s="228">
        <v>2</v>
      </c>
      <c r="BG191" s="228">
        <v>2</v>
      </c>
      <c r="BH191" s="229">
        <v>1.1509</v>
      </c>
      <c r="BI191" s="228">
        <v>255</v>
      </c>
      <c r="BJ191" s="228">
        <v>270</v>
      </c>
      <c r="BK191" s="228">
        <v>-15</v>
      </c>
      <c r="BL191" s="229">
        <v>-5.5199999999999999E-2</v>
      </c>
      <c r="BM191" s="228">
        <v>101</v>
      </c>
      <c r="BN191" s="228">
        <v>114</v>
      </c>
      <c r="BO191" s="228">
        <v>-12</v>
      </c>
      <c r="BP191" s="229">
        <v>-0.1096</v>
      </c>
      <c r="BQ191" s="228">
        <v>742</v>
      </c>
      <c r="BR191" s="230">
        <v>1037</v>
      </c>
      <c r="BS191" s="228">
        <v>-295</v>
      </c>
      <c r="BT191" s="229">
        <v>-0.28449999999999998</v>
      </c>
      <c r="BU191" s="230">
        <v>8487347</v>
      </c>
      <c r="BV191" s="230">
        <v>9910182</v>
      </c>
      <c r="BW191" s="230">
        <v>-1422835</v>
      </c>
      <c r="BX191" s="229">
        <v>-0.14360000000000001</v>
      </c>
      <c r="BY191" s="230">
        <v>1108</v>
      </c>
      <c r="BZ191" s="230">
        <v>1256</v>
      </c>
      <c r="CA191" s="228">
        <v>-148</v>
      </c>
      <c r="CB191" s="229">
        <v>-0.1176</v>
      </c>
      <c r="CC191" s="228">
        <v>172</v>
      </c>
      <c r="CD191" s="228">
        <v>255</v>
      </c>
      <c r="CE191" s="228">
        <v>-84</v>
      </c>
      <c r="CF191" s="229">
        <v>-0.32819999999999999</v>
      </c>
      <c r="CG191" s="230">
        <v>1091</v>
      </c>
      <c r="CH191" s="228">
        <v>986</v>
      </c>
      <c r="CI191" s="228">
        <v>105</v>
      </c>
      <c r="CJ191" s="229">
        <v>0.1061</v>
      </c>
      <c r="CK191" s="228">
        <v>17</v>
      </c>
      <c r="CL191" s="228">
        <v>14</v>
      </c>
      <c r="CM191" s="228">
        <v>3</v>
      </c>
      <c r="CN191" s="229">
        <v>0.22189999999999999</v>
      </c>
      <c r="CO191" s="228">
        <v>139</v>
      </c>
      <c r="CP191" s="228">
        <v>433</v>
      </c>
      <c r="CQ191" s="228">
        <v>-294</v>
      </c>
      <c r="CR191" s="229">
        <v>-0.67969999999999997</v>
      </c>
      <c r="CS191" s="228">
        <v>56</v>
      </c>
      <c r="CT191" s="228">
        <v>160</v>
      </c>
      <c r="CU191" s="228">
        <v>-103</v>
      </c>
      <c r="CV191" s="229">
        <v>-0.64710000000000001</v>
      </c>
      <c r="CW191" s="230">
        <v>1303</v>
      </c>
      <c r="CX191" s="230">
        <v>1848</v>
      </c>
      <c r="CY191" s="228">
        <v>-545</v>
      </c>
      <c r="CZ191" s="229">
        <v>-0.29509999999999997</v>
      </c>
      <c r="DA191" s="228">
        <v>38.42</v>
      </c>
      <c r="DB191" s="228">
        <v>38.03</v>
      </c>
      <c r="DC191" s="228">
        <v>0.39</v>
      </c>
      <c r="DD191" s="228">
        <v>0.39</v>
      </c>
      <c r="DE191" s="228">
        <v>44.95</v>
      </c>
      <c r="DF191" s="228">
        <v>45.02</v>
      </c>
      <c r="DG191" s="228">
        <v>-6.53</v>
      </c>
      <c r="DH191" s="228">
        <v>-7.0000000000000007E-2</v>
      </c>
      <c r="DI191" s="228">
        <v>38.619999999999997</v>
      </c>
      <c r="DJ191" s="228">
        <v>37.86</v>
      </c>
      <c r="DK191" s="228">
        <v>0.76</v>
      </c>
      <c r="DL191" s="228">
        <v>0.76</v>
      </c>
      <c r="DM191" s="228">
        <v>37.56</v>
      </c>
      <c r="DN191" s="228">
        <v>38.6</v>
      </c>
      <c r="DO191" s="228">
        <v>-1.04</v>
      </c>
      <c r="DP191" s="228">
        <v>-1.04</v>
      </c>
      <c r="DQ191" s="228">
        <v>0.41</v>
      </c>
      <c r="DR191" s="228">
        <v>0.37</v>
      </c>
      <c r="DS191" s="228">
        <v>0.04</v>
      </c>
      <c r="DT191" s="229">
        <v>0.1081</v>
      </c>
      <c r="DU191" s="228">
        <v>300</v>
      </c>
      <c r="DV191" s="228">
        <v>260</v>
      </c>
      <c r="DW191" s="228">
        <v>0.4</v>
      </c>
      <c r="DX191" s="228">
        <v>0.42</v>
      </c>
      <c r="DY191" s="228">
        <v>-0.02</v>
      </c>
      <c r="DZ191" s="229">
        <v>-4.7600000000000003E-2</v>
      </c>
      <c r="EA191" s="229">
        <v>0.8659</v>
      </c>
      <c r="EB191" s="230">
        <v>39055850</v>
      </c>
      <c r="EC191" s="229">
        <v>5.8999999999999999E-3</v>
      </c>
      <c r="ED191" s="229">
        <v>0.8659</v>
      </c>
      <c r="EE191" s="228">
        <v>1.55</v>
      </c>
      <c r="EF191" s="229">
        <v>6.1000000000000004E-3</v>
      </c>
      <c r="EG191" s="230">
        <v>4130782</v>
      </c>
      <c r="EH191" s="230">
        <v>5356767</v>
      </c>
      <c r="EI191" s="229">
        <v>-0.22889999999999999</v>
      </c>
      <c r="EJ191" s="229">
        <v>0.48670000000000002</v>
      </c>
      <c r="EK191" s="228">
        <v>273.16000000000003</v>
      </c>
      <c r="EL191" s="228">
        <v>103.41</v>
      </c>
      <c r="EM191" s="228">
        <v>386.11</v>
      </c>
      <c r="EN191" s="228">
        <v>161.03</v>
      </c>
      <c r="EO191" s="228">
        <v>762.69</v>
      </c>
      <c r="EP191" s="231">
        <v>1043.7</v>
      </c>
      <c r="EQ191" s="228">
        <v>-281.02</v>
      </c>
      <c r="ER191" s="229">
        <v>-0.26929999999999998</v>
      </c>
      <c r="ES191" s="228">
        <v>151.80000000000001</v>
      </c>
      <c r="ET191" s="228">
        <v>54.77</v>
      </c>
      <c r="EU191" s="231">
        <v>1108.08</v>
      </c>
      <c r="EV191" s="231">
        <v>389472858</v>
      </c>
      <c r="EW191" s="231">
        <v>1314.65</v>
      </c>
      <c r="EX191" s="231">
        <v>1874.88</v>
      </c>
      <c r="EY191" s="228">
        <v>-560.23</v>
      </c>
      <c r="EZ191" s="229">
        <v>-0.29880000000000001</v>
      </c>
      <c r="FA191" s="229">
        <v>0.13059999999999999</v>
      </c>
      <c r="FB191" s="227" t="s">
        <v>691</v>
      </c>
      <c r="FC191">
        <f t="shared" si="3"/>
        <v>0</v>
      </c>
    </row>
    <row r="192" spans="1:159" ht="17.25" thickBot="1" x14ac:dyDescent="0.3">
      <c r="A192" s="226">
        <v>46168</v>
      </c>
      <c r="B192" s="227" t="s">
        <v>168</v>
      </c>
      <c r="C192" s="227" t="s">
        <v>291</v>
      </c>
      <c r="D192" s="228">
        <v>550</v>
      </c>
      <c r="E192" s="228">
        <v>0</v>
      </c>
      <c r="F192" s="231">
        <v>1197.7</v>
      </c>
      <c r="G192" s="231">
        <v>1197.5</v>
      </c>
      <c r="H192" s="228">
        <v>0.2</v>
      </c>
      <c r="I192" s="229">
        <v>2.0000000000000001E-4</v>
      </c>
      <c r="J192" s="231">
        <v>1187.5999999999999</v>
      </c>
      <c r="K192" s="231">
        <v>1187.2</v>
      </c>
      <c r="L192" s="228">
        <v>0.4</v>
      </c>
      <c r="M192" s="229">
        <v>2.9999999999999997E-4</v>
      </c>
      <c r="N192" s="231">
        <v>1188.2</v>
      </c>
      <c r="O192" s="231">
        <v>1189.4000000000001</v>
      </c>
      <c r="P192" s="228">
        <v>-1.2</v>
      </c>
      <c r="Q192" s="229">
        <v>-1E-3</v>
      </c>
      <c r="R192" s="231">
        <v>1197.7</v>
      </c>
      <c r="S192" s="231">
        <v>1197.5</v>
      </c>
      <c r="T192" s="228">
        <v>0.2</v>
      </c>
      <c r="U192" s="229">
        <v>2.0000000000000001E-4</v>
      </c>
      <c r="V192" s="231">
        <v>1204.8</v>
      </c>
      <c r="W192" s="231">
        <v>1204.8</v>
      </c>
      <c r="X192" s="228">
        <v>0</v>
      </c>
      <c r="Y192" s="229">
        <v>0</v>
      </c>
      <c r="Z192" s="228">
        <v>10.1</v>
      </c>
      <c r="AA192" s="228">
        <v>2.2000000000000002</v>
      </c>
      <c r="AB192" s="228">
        <v>7.9</v>
      </c>
      <c r="AC192" s="229">
        <v>8.5000000000000006E-3</v>
      </c>
      <c r="AD192" s="228">
        <v>0.6</v>
      </c>
      <c r="AE192" s="228">
        <v>2.2000000000000002</v>
      </c>
      <c r="AF192" s="228">
        <v>-1.6</v>
      </c>
      <c r="AG192" s="229">
        <v>5.0000000000000001E-4</v>
      </c>
      <c r="AH192" s="228">
        <v>10.1</v>
      </c>
      <c r="AI192" s="228">
        <v>10.3</v>
      </c>
      <c r="AJ192" s="228">
        <v>-0.2</v>
      </c>
      <c r="AK192" s="229">
        <v>8.5000000000000006E-3</v>
      </c>
      <c r="AL192" s="228">
        <v>17.2</v>
      </c>
      <c r="AM192" s="228">
        <v>17.600000000000001</v>
      </c>
      <c r="AN192" s="228">
        <v>-0.4</v>
      </c>
      <c r="AO192" s="229">
        <v>1.4500000000000001E-2</v>
      </c>
      <c r="AP192" s="231">
        <v>1189.43</v>
      </c>
      <c r="AQ192" s="231">
        <v>1199.46</v>
      </c>
      <c r="AR192" s="228">
        <v>0</v>
      </c>
      <c r="AS192" s="228">
        <v>752</v>
      </c>
      <c r="AT192" s="228">
        <v>857</v>
      </c>
      <c r="AU192" s="228">
        <v>-105</v>
      </c>
      <c r="AV192" s="229">
        <v>-0.12230000000000001</v>
      </c>
      <c r="AW192" s="228">
        <v>283</v>
      </c>
      <c r="AX192" s="228">
        <v>420</v>
      </c>
      <c r="AY192" s="228">
        <v>-137</v>
      </c>
      <c r="AZ192" s="229">
        <v>-0.32529999999999998</v>
      </c>
      <c r="BA192" s="228">
        <v>466</v>
      </c>
      <c r="BB192" s="228">
        <v>434</v>
      </c>
      <c r="BC192" s="228">
        <v>32</v>
      </c>
      <c r="BD192" s="229">
        <v>7.3599999999999999E-2</v>
      </c>
      <c r="BE192" s="228">
        <v>3</v>
      </c>
      <c r="BF192" s="228">
        <v>3</v>
      </c>
      <c r="BG192" s="228">
        <v>0</v>
      </c>
      <c r="BH192" s="229">
        <v>-0.06</v>
      </c>
      <c r="BI192" s="228">
        <v>397</v>
      </c>
      <c r="BJ192" s="228">
        <v>508</v>
      </c>
      <c r="BK192" s="228">
        <v>-111</v>
      </c>
      <c r="BL192" s="229">
        <v>-0.21829999999999999</v>
      </c>
      <c r="BM192" s="228">
        <v>179</v>
      </c>
      <c r="BN192" s="228">
        <v>216</v>
      </c>
      <c r="BO192" s="228">
        <v>-37</v>
      </c>
      <c r="BP192" s="229">
        <v>-0.1711</v>
      </c>
      <c r="BQ192" s="230">
        <v>1328</v>
      </c>
      <c r="BR192" s="230">
        <v>1581</v>
      </c>
      <c r="BS192" s="228">
        <v>-253</v>
      </c>
      <c r="BT192" s="229">
        <v>-0.1598</v>
      </c>
      <c r="BU192" s="230">
        <v>1813605</v>
      </c>
      <c r="BV192" s="230">
        <v>2129809</v>
      </c>
      <c r="BW192" s="230">
        <v>-316204</v>
      </c>
      <c r="BX192" s="229">
        <v>-0.14849999999999999</v>
      </c>
      <c r="BY192" s="230">
        <v>1808</v>
      </c>
      <c r="BZ192" s="230">
        <v>1853</v>
      </c>
      <c r="CA192" s="228">
        <v>-45</v>
      </c>
      <c r="CB192" s="229">
        <v>-2.4500000000000001E-2</v>
      </c>
      <c r="CC192" s="228">
        <v>96</v>
      </c>
      <c r="CD192" s="228">
        <v>285</v>
      </c>
      <c r="CE192" s="228">
        <v>-189</v>
      </c>
      <c r="CF192" s="229">
        <v>-0.66369999999999996</v>
      </c>
      <c r="CG192" s="230">
        <v>1746</v>
      </c>
      <c r="CH192" s="230">
        <v>1508</v>
      </c>
      <c r="CI192" s="228">
        <v>238</v>
      </c>
      <c r="CJ192" s="229">
        <v>0.1578</v>
      </c>
      <c r="CK192" s="228">
        <v>61</v>
      </c>
      <c r="CL192" s="228">
        <v>60</v>
      </c>
      <c r="CM192" s="228">
        <v>1</v>
      </c>
      <c r="CN192" s="229">
        <v>2.0899999999999998E-2</v>
      </c>
      <c r="CO192" s="228">
        <v>137</v>
      </c>
      <c r="CP192" s="228">
        <v>564</v>
      </c>
      <c r="CQ192" s="228">
        <v>-428</v>
      </c>
      <c r="CR192" s="229">
        <v>-0.75780000000000003</v>
      </c>
      <c r="CS192" s="228">
        <v>108</v>
      </c>
      <c r="CT192" s="228">
        <v>376</v>
      </c>
      <c r="CU192" s="228">
        <v>-268</v>
      </c>
      <c r="CV192" s="229">
        <v>-0.71260000000000001</v>
      </c>
      <c r="CW192" s="230">
        <v>2052</v>
      </c>
      <c r="CX192" s="230">
        <v>2793</v>
      </c>
      <c r="CY192" s="228">
        <v>-741</v>
      </c>
      <c r="CZ192" s="229">
        <v>-0.26519999999999999</v>
      </c>
      <c r="DA192" s="228">
        <v>22.45</v>
      </c>
      <c r="DB192" s="228">
        <v>23.19</v>
      </c>
      <c r="DC192" s="228">
        <v>-0.74</v>
      </c>
      <c r="DD192" s="228">
        <v>-0.74</v>
      </c>
      <c r="DE192" s="228">
        <v>28.8</v>
      </c>
      <c r="DF192" s="228">
        <v>28.87</v>
      </c>
      <c r="DG192" s="228">
        <v>-6.35</v>
      </c>
      <c r="DH192" s="228">
        <v>-7.0000000000000007E-2</v>
      </c>
      <c r="DI192" s="228">
        <v>22.83</v>
      </c>
      <c r="DJ192" s="228">
        <v>23.06</v>
      </c>
      <c r="DK192" s="228">
        <v>-0.23</v>
      </c>
      <c r="DL192" s="228">
        <v>-0.23</v>
      </c>
      <c r="DM192" s="228">
        <v>21.64</v>
      </c>
      <c r="DN192" s="228">
        <v>23.46</v>
      </c>
      <c r="DO192" s="228">
        <v>-1.82</v>
      </c>
      <c r="DP192" s="228">
        <v>-1.82</v>
      </c>
      <c r="DQ192" s="228">
        <v>0.79</v>
      </c>
      <c r="DR192" s="228">
        <v>0.67</v>
      </c>
      <c r="DS192" s="228">
        <v>0.12</v>
      </c>
      <c r="DT192" s="229">
        <v>0.17910000000000001</v>
      </c>
      <c r="DU192" s="231">
        <v>1250</v>
      </c>
      <c r="DV192" s="231">
        <v>1100</v>
      </c>
      <c r="DW192" s="228">
        <v>0.45</v>
      </c>
      <c r="DX192" s="228">
        <v>0.43</v>
      </c>
      <c r="DY192" s="228">
        <v>0.02</v>
      </c>
      <c r="DZ192" s="229">
        <v>4.65E-2</v>
      </c>
      <c r="EA192" s="229">
        <v>0.94969999999999999</v>
      </c>
      <c r="EB192" s="230">
        <v>13094400</v>
      </c>
      <c r="EC192" s="229">
        <v>8.0000000000000002E-3</v>
      </c>
      <c r="ED192" s="229">
        <v>0.94969999999999999</v>
      </c>
      <c r="EE192" s="228">
        <v>10.029999999999999</v>
      </c>
      <c r="EF192" s="229">
        <v>8.3999999999999995E-3</v>
      </c>
      <c r="EG192" s="230">
        <v>1002014</v>
      </c>
      <c r="EH192" s="230">
        <v>1376316</v>
      </c>
      <c r="EI192" s="229">
        <v>-0.27200000000000002</v>
      </c>
      <c r="EJ192" s="229">
        <v>0.55249999999999999</v>
      </c>
      <c r="EK192" s="228">
        <v>409.65</v>
      </c>
      <c r="EL192" s="228">
        <v>179.84</v>
      </c>
      <c r="EM192" s="228">
        <v>750.96</v>
      </c>
      <c r="EN192" s="228">
        <v>104.66</v>
      </c>
      <c r="EO192" s="231">
        <v>1340.45</v>
      </c>
      <c r="EP192" s="231">
        <v>1590.21</v>
      </c>
      <c r="EQ192" s="228">
        <v>-249.77</v>
      </c>
      <c r="ER192" s="229">
        <v>-0.15709999999999999</v>
      </c>
      <c r="ES192" s="228">
        <v>141.94999999999999</v>
      </c>
      <c r="ET192" s="228">
        <v>106</v>
      </c>
      <c r="EU192" s="231">
        <v>1807.93</v>
      </c>
      <c r="EV192" s="231">
        <v>65472757</v>
      </c>
      <c r="EW192" s="231">
        <v>2055.89</v>
      </c>
      <c r="EX192" s="231">
        <v>2809.92</v>
      </c>
      <c r="EY192" s="228">
        <v>-754.03</v>
      </c>
      <c r="EZ192" s="229">
        <v>-0.26829999999999998</v>
      </c>
      <c r="FA192" s="229">
        <v>0.26169999999999999</v>
      </c>
      <c r="FB192" s="227" t="s">
        <v>691</v>
      </c>
      <c r="FC192">
        <f t="shared" si="3"/>
        <v>0</v>
      </c>
    </row>
    <row r="193" spans="1:159" ht="17.25" thickBot="1" x14ac:dyDescent="0.3">
      <c r="A193" s="226">
        <v>46168</v>
      </c>
      <c r="B193" s="227" t="s">
        <v>221</v>
      </c>
      <c r="C193" s="227" t="s">
        <v>603</v>
      </c>
      <c r="D193" s="228">
        <v>100</v>
      </c>
      <c r="E193" s="228">
        <v>0</v>
      </c>
      <c r="F193" s="231">
        <v>4247.2</v>
      </c>
      <c r="G193" s="231">
        <v>4217.8</v>
      </c>
      <c r="H193" s="228">
        <v>29.4</v>
      </c>
      <c r="I193" s="229">
        <v>7.0000000000000001E-3</v>
      </c>
      <c r="J193" s="231">
        <v>4335.6000000000004</v>
      </c>
      <c r="K193" s="231">
        <v>4327.2</v>
      </c>
      <c r="L193" s="228">
        <v>8.4</v>
      </c>
      <c r="M193" s="229">
        <v>1.9E-3</v>
      </c>
      <c r="N193" s="231">
        <v>4349.3999999999996</v>
      </c>
      <c r="O193" s="231">
        <v>4336.2</v>
      </c>
      <c r="P193" s="228">
        <v>13.2</v>
      </c>
      <c r="Q193" s="229">
        <v>3.0000000000000001E-3</v>
      </c>
      <c r="R193" s="231">
        <v>4247.2</v>
      </c>
      <c r="S193" s="231">
        <v>4217.8</v>
      </c>
      <c r="T193" s="228">
        <v>29.4</v>
      </c>
      <c r="U193" s="229">
        <v>7.0000000000000001E-3</v>
      </c>
      <c r="V193" s="231">
        <v>4237.3999999999996</v>
      </c>
      <c r="W193" s="231">
        <v>4213.3</v>
      </c>
      <c r="X193" s="228">
        <v>24.1</v>
      </c>
      <c r="Y193" s="229">
        <v>5.7000000000000002E-3</v>
      </c>
      <c r="Z193" s="228">
        <v>-88.4</v>
      </c>
      <c r="AA193" s="228">
        <v>9</v>
      </c>
      <c r="AB193" s="228">
        <v>-97.4</v>
      </c>
      <c r="AC193" s="229">
        <v>-2.0400000000000001E-2</v>
      </c>
      <c r="AD193" s="228">
        <v>13.8</v>
      </c>
      <c r="AE193" s="228">
        <v>9</v>
      </c>
      <c r="AF193" s="228">
        <v>4.8</v>
      </c>
      <c r="AG193" s="229">
        <v>3.2000000000000002E-3</v>
      </c>
      <c r="AH193" s="228">
        <v>-88.4</v>
      </c>
      <c r="AI193" s="228">
        <v>-109.4</v>
      </c>
      <c r="AJ193" s="228">
        <v>21</v>
      </c>
      <c r="AK193" s="229">
        <v>-2.0400000000000001E-2</v>
      </c>
      <c r="AL193" s="228">
        <v>-98.2</v>
      </c>
      <c r="AM193" s="228">
        <v>-113.9</v>
      </c>
      <c r="AN193" s="228">
        <v>15.7</v>
      </c>
      <c r="AO193" s="229">
        <v>-2.2599999999999999E-2</v>
      </c>
      <c r="AP193" s="231">
        <v>4350.08</v>
      </c>
      <c r="AQ193" s="231">
        <v>4250.8599999999997</v>
      </c>
      <c r="AR193" s="228">
        <v>0</v>
      </c>
      <c r="AS193" s="228">
        <v>312</v>
      </c>
      <c r="AT193" s="228">
        <v>713</v>
      </c>
      <c r="AU193" s="228">
        <v>-401</v>
      </c>
      <c r="AV193" s="229">
        <v>-0.56179999999999997</v>
      </c>
      <c r="AW193" s="228">
        <v>139</v>
      </c>
      <c r="AX193" s="228">
        <v>313</v>
      </c>
      <c r="AY193" s="228">
        <v>-173</v>
      </c>
      <c r="AZ193" s="229">
        <v>-0.55449999999999999</v>
      </c>
      <c r="BA193" s="228">
        <v>168</v>
      </c>
      <c r="BB193" s="228">
        <v>395</v>
      </c>
      <c r="BC193" s="228">
        <v>-227</v>
      </c>
      <c r="BD193" s="229">
        <v>-0.57579999999999998</v>
      </c>
      <c r="BE193" s="228">
        <v>6</v>
      </c>
      <c r="BF193" s="228">
        <v>5</v>
      </c>
      <c r="BG193" s="228">
        <v>0</v>
      </c>
      <c r="BH193" s="229">
        <v>5.6899999999999999E-2</v>
      </c>
      <c r="BI193" s="228">
        <v>367</v>
      </c>
      <c r="BJ193" s="228">
        <v>967</v>
      </c>
      <c r="BK193" s="228">
        <v>-600</v>
      </c>
      <c r="BL193" s="229">
        <v>-0.62050000000000005</v>
      </c>
      <c r="BM193" s="228">
        <v>91</v>
      </c>
      <c r="BN193" s="228">
        <v>286</v>
      </c>
      <c r="BO193" s="228">
        <v>-196</v>
      </c>
      <c r="BP193" s="229">
        <v>-0.68389999999999995</v>
      </c>
      <c r="BQ193" s="228">
        <v>770</v>
      </c>
      <c r="BR193" s="230">
        <v>1966</v>
      </c>
      <c r="BS193" s="230">
        <v>-1196</v>
      </c>
      <c r="BT193" s="229">
        <v>-0.60840000000000005</v>
      </c>
      <c r="BU193" s="230">
        <v>198359</v>
      </c>
      <c r="BV193" s="230">
        <v>302176</v>
      </c>
      <c r="BW193" s="230">
        <v>-103817</v>
      </c>
      <c r="BX193" s="229">
        <v>-0.34360000000000002</v>
      </c>
      <c r="BY193" s="228">
        <v>796</v>
      </c>
      <c r="BZ193" s="228">
        <v>914</v>
      </c>
      <c r="CA193" s="228">
        <v>-118</v>
      </c>
      <c r="CB193" s="229">
        <v>-0.1288</v>
      </c>
      <c r="CC193" s="228">
        <v>60</v>
      </c>
      <c r="CD193" s="228">
        <v>111</v>
      </c>
      <c r="CE193" s="228">
        <v>-52</v>
      </c>
      <c r="CF193" s="229">
        <v>-0.46589999999999998</v>
      </c>
      <c r="CG193" s="228">
        <v>776</v>
      </c>
      <c r="CH193" s="228">
        <v>786</v>
      </c>
      <c r="CI193" s="228">
        <v>-9</v>
      </c>
      <c r="CJ193" s="229">
        <v>-1.1900000000000001E-2</v>
      </c>
      <c r="CK193" s="228">
        <v>20</v>
      </c>
      <c r="CL193" s="228">
        <v>17</v>
      </c>
      <c r="CM193" s="228">
        <v>3</v>
      </c>
      <c r="CN193" s="229">
        <v>0.18729999999999999</v>
      </c>
      <c r="CO193" s="228">
        <v>138</v>
      </c>
      <c r="CP193" s="228">
        <v>465</v>
      </c>
      <c r="CQ193" s="228">
        <v>-327</v>
      </c>
      <c r="CR193" s="229">
        <v>-0.70369999999999999</v>
      </c>
      <c r="CS193" s="228">
        <v>98</v>
      </c>
      <c r="CT193" s="228">
        <v>235</v>
      </c>
      <c r="CU193" s="228">
        <v>-138</v>
      </c>
      <c r="CV193" s="229">
        <v>-0.58530000000000004</v>
      </c>
      <c r="CW193" s="230">
        <v>1032</v>
      </c>
      <c r="CX193" s="230">
        <v>1614</v>
      </c>
      <c r="CY193" s="228">
        <v>-583</v>
      </c>
      <c r="CZ193" s="229">
        <v>-0.36099999999999999</v>
      </c>
      <c r="DA193" s="228">
        <v>31.69</v>
      </c>
      <c r="DB193" s="228">
        <v>31.91</v>
      </c>
      <c r="DC193" s="228">
        <v>-0.22</v>
      </c>
      <c r="DD193" s="228">
        <v>-0.22</v>
      </c>
      <c r="DE193" s="228">
        <v>39.04</v>
      </c>
      <c r="DF193" s="228">
        <v>39.119999999999997</v>
      </c>
      <c r="DG193" s="228">
        <v>-7.35</v>
      </c>
      <c r="DH193" s="228">
        <v>-0.08</v>
      </c>
      <c r="DI193" s="228">
        <v>31.94</v>
      </c>
      <c r="DJ193" s="228">
        <v>32.04</v>
      </c>
      <c r="DK193" s="228">
        <v>-0.1</v>
      </c>
      <c r="DL193" s="228">
        <v>-0.1</v>
      </c>
      <c r="DM193" s="228">
        <v>30.58</v>
      </c>
      <c r="DN193" s="228">
        <v>31.47</v>
      </c>
      <c r="DO193" s="228">
        <v>-0.89</v>
      </c>
      <c r="DP193" s="228">
        <v>-0.89</v>
      </c>
      <c r="DQ193" s="228">
        <v>0.71</v>
      </c>
      <c r="DR193" s="228">
        <v>0.51</v>
      </c>
      <c r="DS193" s="228">
        <v>0.2</v>
      </c>
      <c r="DT193" s="229">
        <v>0.39219999999999999</v>
      </c>
      <c r="DU193" s="231">
        <v>4500</v>
      </c>
      <c r="DV193" s="231">
        <v>3800</v>
      </c>
      <c r="DW193" s="228">
        <v>0.25</v>
      </c>
      <c r="DX193" s="228">
        <v>0.3</v>
      </c>
      <c r="DY193" s="228">
        <v>-0.05</v>
      </c>
      <c r="DZ193" s="229">
        <v>-0.16669999999999999</v>
      </c>
      <c r="EA193" s="229">
        <v>0.93049999999999999</v>
      </c>
      <c r="EB193" s="230">
        <v>1889175</v>
      </c>
      <c r="EC193" s="229">
        <v>-2.35E-2</v>
      </c>
      <c r="ED193" s="229">
        <v>0.93049999999999999</v>
      </c>
      <c r="EE193" s="228">
        <v>-99.22</v>
      </c>
      <c r="EF193" s="229">
        <v>-2.2800000000000001E-2</v>
      </c>
      <c r="EG193" s="230">
        <v>94227</v>
      </c>
      <c r="EH193" s="230">
        <v>90674</v>
      </c>
      <c r="EI193" s="229">
        <v>3.9199999999999999E-2</v>
      </c>
      <c r="EJ193" s="229">
        <v>0.47499999999999998</v>
      </c>
      <c r="EK193" s="228">
        <v>393.81</v>
      </c>
      <c r="EL193" s="228">
        <v>92.21</v>
      </c>
      <c r="EM193" s="228">
        <v>317.36</v>
      </c>
      <c r="EN193" s="228">
        <v>119.84</v>
      </c>
      <c r="EO193" s="228">
        <v>803.39</v>
      </c>
      <c r="EP193" s="231">
        <v>2036.32</v>
      </c>
      <c r="EQ193" s="231">
        <v>-1232.93</v>
      </c>
      <c r="ER193" s="229">
        <v>-0.60550000000000004</v>
      </c>
      <c r="ES193" s="228">
        <v>145.66</v>
      </c>
      <c r="ET193" s="228">
        <v>97.93</v>
      </c>
      <c r="EU193" s="228">
        <v>796.07</v>
      </c>
      <c r="EV193" s="231">
        <v>5241946</v>
      </c>
      <c r="EW193" s="231">
        <v>1039.6600000000001</v>
      </c>
      <c r="EX193" s="231">
        <v>1641.18</v>
      </c>
      <c r="EY193" s="228">
        <v>-601.52</v>
      </c>
      <c r="EZ193" s="229">
        <v>-0.36649999999999999</v>
      </c>
      <c r="FA193" s="229">
        <v>0.46329999999999999</v>
      </c>
      <c r="FB193" s="227" t="s">
        <v>691</v>
      </c>
      <c r="FC193">
        <f t="shared" si="3"/>
        <v>0</v>
      </c>
    </row>
    <row r="194" spans="1:159" ht="17.25" thickBot="1" x14ac:dyDescent="0.3">
      <c r="A194" s="226">
        <v>46168</v>
      </c>
      <c r="B194" s="227" t="s">
        <v>161</v>
      </c>
      <c r="C194" s="227" t="s">
        <v>293</v>
      </c>
      <c r="D194" s="228">
        <v>1450</v>
      </c>
      <c r="E194" s="228">
        <v>0</v>
      </c>
      <c r="F194" s="228">
        <v>421.95</v>
      </c>
      <c r="G194" s="228">
        <v>414.3</v>
      </c>
      <c r="H194" s="228">
        <v>7.65</v>
      </c>
      <c r="I194" s="229">
        <v>1.8499999999999999E-2</v>
      </c>
      <c r="J194" s="228">
        <v>420.95</v>
      </c>
      <c r="K194" s="228">
        <v>413.55</v>
      </c>
      <c r="L194" s="228">
        <v>7.4</v>
      </c>
      <c r="M194" s="229">
        <v>1.7899999999999999E-2</v>
      </c>
      <c r="N194" s="228">
        <v>420.7</v>
      </c>
      <c r="O194" s="228">
        <v>414.35</v>
      </c>
      <c r="P194" s="228">
        <v>6.35</v>
      </c>
      <c r="Q194" s="229">
        <v>1.5299999999999999E-2</v>
      </c>
      <c r="R194" s="228">
        <v>421.95</v>
      </c>
      <c r="S194" s="228">
        <v>414.3</v>
      </c>
      <c r="T194" s="228">
        <v>7.65</v>
      </c>
      <c r="U194" s="229">
        <v>1.8499999999999999E-2</v>
      </c>
      <c r="V194" s="228">
        <v>424.55</v>
      </c>
      <c r="W194" s="228">
        <v>416.55</v>
      </c>
      <c r="X194" s="228">
        <v>8</v>
      </c>
      <c r="Y194" s="229">
        <v>1.9199999999999998E-2</v>
      </c>
      <c r="Z194" s="228">
        <v>1</v>
      </c>
      <c r="AA194" s="228">
        <v>0.8</v>
      </c>
      <c r="AB194" s="228">
        <v>0.2</v>
      </c>
      <c r="AC194" s="229">
        <v>2.3999999999999998E-3</v>
      </c>
      <c r="AD194" s="228">
        <v>-0.25</v>
      </c>
      <c r="AE194" s="228">
        <v>0.8</v>
      </c>
      <c r="AF194" s="228">
        <v>-1.05</v>
      </c>
      <c r="AG194" s="229">
        <v>-5.9999999999999995E-4</v>
      </c>
      <c r="AH194" s="228">
        <v>1</v>
      </c>
      <c r="AI194" s="228">
        <v>0.75</v>
      </c>
      <c r="AJ194" s="228">
        <v>0.25</v>
      </c>
      <c r="AK194" s="229">
        <v>2.3999999999999998E-3</v>
      </c>
      <c r="AL194" s="228">
        <v>3.6</v>
      </c>
      <c r="AM194" s="228">
        <v>3</v>
      </c>
      <c r="AN194" s="228">
        <v>0.6</v>
      </c>
      <c r="AO194" s="229">
        <v>8.6E-3</v>
      </c>
      <c r="AP194" s="228">
        <v>422.18</v>
      </c>
      <c r="AQ194" s="228">
        <v>422.84</v>
      </c>
      <c r="AR194" s="228">
        <v>0</v>
      </c>
      <c r="AS194" s="230">
        <v>1445</v>
      </c>
      <c r="AT194" s="230">
        <v>1224</v>
      </c>
      <c r="AU194" s="228">
        <v>221</v>
      </c>
      <c r="AV194" s="229">
        <v>0.18029999999999999</v>
      </c>
      <c r="AW194" s="228">
        <v>515</v>
      </c>
      <c r="AX194" s="228">
        <v>612</v>
      </c>
      <c r="AY194" s="228">
        <v>-96</v>
      </c>
      <c r="AZ194" s="229">
        <v>-0.15740000000000001</v>
      </c>
      <c r="BA194" s="228">
        <v>911</v>
      </c>
      <c r="BB194" s="228">
        <v>600</v>
      </c>
      <c r="BC194" s="228">
        <v>311</v>
      </c>
      <c r="BD194" s="229">
        <v>0.51900000000000002</v>
      </c>
      <c r="BE194" s="228">
        <v>18</v>
      </c>
      <c r="BF194" s="228">
        <v>13</v>
      </c>
      <c r="BG194" s="228">
        <v>6</v>
      </c>
      <c r="BH194" s="229">
        <v>0.4466</v>
      </c>
      <c r="BI194" s="230">
        <v>3267</v>
      </c>
      <c r="BJ194" s="230">
        <v>1738</v>
      </c>
      <c r="BK194" s="230">
        <v>1529</v>
      </c>
      <c r="BL194" s="229">
        <v>0.88</v>
      </c>
      <c r="BM194" s="228">
        <v>979</v>
      </c>
      <c r="BN194" s="228">
        <v>879</v>
      </c>
      <c r="BO194" s="228">
        <v>101</v>
      </c>
      <c r="BP194" s="229">
        <v>0.1145</v>
      </c>
      <c r="BQ194" s="230">
        <v>5691</v>
      </c>
      <c r="BR194" s="230">
        <v>3840</v>
      </c>
      <c r="BS194" s="230">
        <v>1850</v>
      </c>
      <c r="BT194" s="229">
        <v>0.48180000000000001</v>
      </c>
      <c r="BU194" s="230">
        <v>10289940</v>
      </c>
      <c r="BV194" s="230">
        <v>3824946</v>
      </c>
      <c r="BW194" s="230">
        <v>6464994</v>
      </c>
      <c r="BX194" s="229">
        <v>1.6901999999999999</v>
      </c>
      <c r="BY194" s="230">
        <v>2486</v>
      </c>
      <c r="BZ194" s="230">
        <v>2582</v>
      </c>
      <c r="CA194" s="228">
        <v>-95</v>
      </c>
      <c r="CB194" s="229">
        <v>-3.6799999999999999E-2</v>
      </c>
      <c r="CC194" s="228">
        <v>370</v>
      </c>
      <c r="CD194" s="228">
        <v>548</v>
      </c>
      <c r="CE194" s="228">
        <v>-178</v>
      </c>
      <c r="CF194" s="229">
        <v>-0.32479999999999998</v>
      </c>
      <c r="CG194" s="230">
        <v>2228</v>
      </c>
      <c r="CH194" s="230">
        <v>1780</v>
      </c>
      <c r="CI194" s="228">
        <v>448</v>
      </c>
      <c r="CJ194" s="229">
        <v>0.25169999999999998</v>
      </c>
      <c r="CK194" s="228">
        <v>258</v>
      </c>
      <c r="CL194" s="228">
        <v>253</v>
      </c>
      <c r="CM194" s="228">
        <v>5</v>
      </c>
      <c r="CN194" s="229">
        <v>1.9599999999999999E-2</v>
      </c>
      <c r="CO194" s="228">
        <v>808</v>
      </c>
      <c r="CP194" s="230">
        <v>1639</v>
      </c>
      <c r="CQ194" s="228">
        <v>-831</v>
      </c>
      <c r="CR194" s="229">
        <v>-0.5071</v>
      </c>
      <c r="CS194" s="228">
        <v>537</v>
      </c>
      <c r="CT194" s="228">
        <v>929</v>
      </c>
      <c r="CU194" s="228">
        <v>-392</v>
      </c>
      <c r="CV194" s="229">
        <v>-0.42199999999999999</v>
      </c>
      <c r="CW194" s="230">
        <v>3831</v>
      </c>
      <c r="CX194" s="230">
        <v>5149</v>
      </c>
      <c r="CY194" s="230">
        <v>-1318</v>
      </c>
      <c r="CZ194" s="229">
        <v>-0.25600000000000001</v>
      </c>
      <c r="DA194" s="228">
        <v>24.76</v>
      </c>
      <c r="DB194" s="228">
        <v>24.24</v>
      </c>
      <c r="DC194" s="228">
        <v>0.52</v>
      </c>
      <c r="DD194" s="228">
        <v>0.52</v>
      </c>
      <c r="DE194" s="228">
        <v>31.65</v>
      </c>
      <c r="DF194" s="228">
        <v>31.63</v>
      </c>
      <c r="DG194" s="228">
        <v>-6.89</v>
      </c>
      <c r="DH194" s="228">
        <v>0.02</v>
      </c>
      <c r="DI194" s="228">
        <v>24.88</v>
      </c>
      <c r="DJ194" s="228">
        <v>24.23</v>
      </c>
      <c r="DK194" s="228">
        <v>0.65</v>
      </c>
      <c r="DL194" s="228">
        <v>0.65</v>
      </c>
      <c r="DM194" s="228">
        <v>24.37</v>
      </c>
      <c r="DN194" s="228">
        <v>24.24</v>
      </c>
      <c r="DO194" s="228">
        <v>0.13</v>
      </c>
      <c r="DP194" s="228">
        <v>0.13</v>
      </c>
      <c r="DQ194" s="228">
        <v>0.66</v>
      </c>
      <c r="DR194" s="228">
        <v>0.56999999999999995</v>
      </c>
      <c r="DS194" s="228">
        <v>0.09</v>
      </c>
      <c r="DT194" s="229">
        <v>0.15790000000000001</v>
      </c>
      <c r="DU194" s="228">
        <v>420</v>
      </c>
      <c r="DV194" s="228">
        <v>420</v>
      </c>
      <c r="DW194" s="228">
        <v>0.3</v>
      </c>
      <c r="DX194" s="228">
        <v>0.51</v>
      </c>
      <c r="DY194" s="228">
        <v>-0.21</v>
      </c>
      <c r="DZ194" s="229">
        <v>-0.4118</v>
      </c>
      <c r="EA194" s="229">
        <v>0.87050000000000005</v>
      </c>
      <c r="EB194" s="230">
        <v>48192200</v>
      </c>
      <c r="EC194" s="229">
        <v>3.0000000000000001E-3</v>
      </c>
      <c r="ED194" s="229">
        <v>0.87050000000000005</v>
      </c>
      <c r="EE194" s="228">
        <v>0.66</v>
      </c>
      <c r="EF194" s="229">
        <v>1.6000000000000001E-3</v>
      </c>
      <c r="EG194" s="230">
        <v>4313440</v>
      </c>
      <c r="EH194" s="230">
        <v>1680587</v>
      </c>
      <c r="EI194" s="229">
        <v>1.5666</v>
      </c>
      <c r="EJ194" s="229">
        <v>0.41920000000000002</v>
      </c>
      <c r="EK194" s="231">
        <v>3400.83</v>
      </c>
      <c r="EL194" s="228">
        <v>980.36</v>
      </c>
      <c r="EM194" s="231">
        <v>1446.99</v>
      </c>
      <c r="EN194" s="228">
        <v>167.6</v>
      </c>
      <c r="EO194" s="231">
        <v>5828.17</v>
      </c>
      <c r="EP194" s="231">
        <v>3834.39</v>
      </c>
      <c r="EQ194" s="231">
        <v>1993.79</v>
      </c>
      <c r="ER194" s="229">
        <v>0.52</v>
      </c>
      <c r="ES194" s="228">
        <v>837.96</v>
      </c>
      <c r="ET194" s="228">
        <v>522.07000000000005</v>
      </c>
      <c r="EU194" s="231">
        <v>2488.06</v>
      </c>
      <c r="EV194" s="231">
        <v>169808198</v>
      </c>
      <c r="EW194" s="231">
        <v>3848.09</v>
      </c>
      <c r="EX194" s="231">
        <v>5168.42</v>
      </c>
      <c r="EY194" s="231">
        <v>-1320.33</v>
      </c>
      <c r="EZ194" s="229">
        <v>-0.2555</v>
      </c>
      <c r="FA194" s="229">
        <v>0.53469999999999995</v>
      </c>
      <c r="FB194" s="227" t="s">
        <v>691</v>
      </c>
      <c r="FC194">
        <f t="shared" si="3"/>
        <v>0</v>
      </c>
    </row>
    <row r="195" spans="1:159" ht="17.25" thickBot="1" x14ac:dyDescent="0.3">
      <c r="A195" s="226">
        <v>46168</v>
      </c>
      <c r="B195" s="227" t="s">
        <v>227</v>
      </c>
      <c r="C195" s="227" t="s">
        <v>294</v>
      </c>
      <c r="D195" s="228">
        <v>2750</v>
      </c>
      <c r="E195" s="228">
        <v>0</v>
      </c>
      <c r="F195" s="228">
        <v>208.1</v>
      </c>
      <c r="G195" s="228">
        <v>207.97</v>
      </c>
      <c r="H195" s="228">
        <v>0.13</v>
      </c>
      <c r="I195" s="229">
        <v>5.9999999999999995E-4</v>
      </c>
      <c r="J195" s="228">
        <v>210.47</v>
      </c>
      <c r="K195" s="228">
        <v>210.22</v>
      </c>
      <c r="L195" s="228">
        <v>0.25</v>
      </c>
      <c r="M195" s="229">
        <v>1.1999999999999999E-3</v>
      </c>
      <c r="N195" s="228">
        <v>210.32</v>
      </c>
      <c r="O195" s="228">
        <v>210.65</v>
      </c>
      <c r="P195" s="228">
        <v>-0.33</v>
      </c>
      <c r="Q195" s="229">
        <v>-1.6000000000000001E-3</v>
      </c>
      <c r="R195" s="228">
        <v>208.1</v>
      </c>
      <c r="S195" s="228">
        <v>207.97</v>
      </c>
      <c r="T195" s="228">
        <v>0.13</v>
      </c>
      <c r="U195" s="229">
        <v>5.9999999999999995E-4</v>
      </c>
      <c r="V195" s="228">
        <v>209.39</v>
      </c>
      <c r="W195" s="228">
        <v>209.02</v>
      </c>
      <c r="X195" s="228">
        <v>0.37</v>
      </c>
      <c r="Y195" s="229">
        <v>1.8E-3</v>
      </c>
      <c r="Z195" s="228">
        <v>-2.37</v>
      </c>
      <c r="AA195" s="228">
        <v>0.43</v>
      </c>
      <c r="AB195" s="228">
        <v>-2.8</v>
      </c>
      <c r="AC195" s="229">
        <v>-1.1299999999999999E-2</v>
      </c>
      <c r="AD195" s="228">
        <v>-0.15</v>
      </c>
      <c r="AE195" s="228">
        <v>0.43</v>
      </c>
      <c r="AF195" s="228">
        <v>-0.57999999999999996</v>
      </c>
      <c r="AG195" s="229">
        <v>-6.9999999999999999E-4</v>
      </c>
      <c r="AH195" s="228">
        <v>-2.37</v>
      </c>
      <c r="AI195" s="228">
        <v>-2.25</v>
      </c>
      <c r="AJ195" s="228">
        <v>-0.12</v>
      </c>
      <c r="AK195" s="229">
        <v>-1.1299999999999999E-2</v>
      </c>
      <c r="AL195" s="228">
        <v>-1.08</v>
      </c>
      <c r="AM195" s="228">
        <v>-1.2</v>
      </c>
      <c r="AN195" s="228">
        <v>0.12</v>
      </c>
      <c r="AO195" s="229">
        <v>-5.1000000000000004E-3</v>
      </c>
      <c r="AP195" s="228">
        <v>210.29</v>
      </c>
      <c r="AQ195" s="228">
        <v>207.83</v>
      </c>
      <c r="AR195" s="228">
        <v>0</v>
      </c>
      <c r="AS195" s="230">
        <v>1710</v>
      </c>
      <c r="AT195" s="230">
        <v>1735</v>
      </c>
      <c r="AU195" s="228">
        <v>-25</v>
      </c>
      <c r="AV195" s="229">
        <v>-1.4500000000000001E-2</v>
      </c>
      <c r="AW195" s="228">
        <v>735</v>
      </c>
      <c r="AX195" s="228">
        <v>882</v>
      </c>
      <c r="AY195" s="228">
        <v>-147</v>
      </c>
      <c r="AZ195" s="229">
        <v>-0.1666</v>
      </c>
      <c r="BA195" s="228">
        <v>958</v>
      </c>
      <c r="BB195" s="228">
        <v>841</v>
      </c>
      <c r="BC195" s="228">
        <v>117</v>
      </c>
      <c r="BD195" s="229">
        <v>0.1394</v>
      </c>
      <c r="BE195" s="228">
        <v>17</v>
      </c>
      <c r="BF195" s="228">
        <v>13</v>
      </c>
      <c r="BG195" s="228">
        <v>5</v>
      </c>
      <c r="BH195" s="229">
        <v>0.36649999999999999</v>
      </c>
      <c r="BI195" s="230">
        <v>2123</v>
      </c>
      <c r="BJ195" s="230">
        <v>3547</v>
      </c>
      <c r="BK195" s="230">
        <v>-1424</v>
      </c>
      <c r="BL195" s="229">
        <v>-0.40139999999999998</v>
      </c>
      <c r="BM195" s="230">
        <v>1449</v>
      </c>
      <c r="BN195" s="230">
        <v>2078</v>
      </c>
      <c r="BO195" s="228">
        <v>-629</v>
      </c>
      <c r="BP195" s="229">
        <v>-0.30259999999999998</v>
      </c>
      <c r="BQ195" s="230">
        <v>5282</v>
      </c>
      <c r="BR195" s="230">
        <v>7360</v>
      </c>
      <c r="BS195" s="230">
        <v>-2078</v>
      </c>
      <c r="BT195" s="229">
        <v>-0.2823</v>
      </c>
      <c r="BU195" s="230">
        <v>18306305</v>
      </c>
      <c r="BV195" s="230">
        <v>24611794</v>
      </c>
      <c r="BW195" s="230">
        <v>-6305489</v>
      </c>
      <c r="BX195" s="229">
        <v>-0.25619999999999998</v>
      </c>
      <c r="BY195" s="230">
        <v>3990</v>
      </c>
      <c r="BZ195" s="230">
        <v>4297</v>
      </c>
      <c r="CA195" s="228">
        <v>-308</v>
      </c>
      <c r="CB195" s="229">
        <v>-7.1599999999999997E-2</v>
      </c>
      <c r="CC195" s="228">
        <v>537</v>
      </c>
      <c r="CD195" s="228">
        <v>719</v>
      </c>
      <c r="CE195" s="228">
        <v>-182</v>
      </c>
      <c r="CF195" s="229">
        <v>-0.25369999999999998</v>
      </c>
      <c r="CG195" s="230">
        <v>3280</v>
      </c>
      <c r="CH195" s="230">
        <v>2874</v>
      </c>
      <c r="CI195" s="228">
        <v>406</v>
      </c>
      <c r="CJ195" s="229">
        <v>0.14119999999999999</v>
      </c>
      <c r="CK195" s="228">
        <v>710</v>
      </c>
      <c r="CL195" s="228">
        <v>704</v>
      </c>
      <c r="CM195" s="228">
        <v>6</v>
      </c>
      <c r="CN195" s="229">
        <v>8.2000000000000007E-3</v>
      </c>
      <c r="CO195" s="228">
        <v>947</v>
      </c>
      <c r="CP195" s="230">
        <v>2495</v>
      </c>
      <c r="CQ195" s="230">
        <v>-1548</v>
      </c>
      <c r="CR195" s="229">
        <v>-0.62029999999999996</v>
      </c>
      <c r="CS195" s="228">
        <v>566</v>
      </c>
      <c r="CT195" s="230">
        <v>1504</v>
      </c>
      <c r="CU195" s="228">
        <v>-938</v>
      </c>
      <c r="CV195" s="229">
        <v>-0.62370000000000003</v>
      </c>
      <c r="CW195" s="230">
        <v>5503</v>
      </c>
      <c r="CX195" s="230">
        <v>8297</v>
      </c>
      <c r="CY195" s="230">
        <v>-2794</v>
      </c>
      <c r="CZ195" s="229">
        <v>-0.3367</v>
      </c>
      <c r="DA195" s="228">
        <v>25.17</v>
      </c>
      <c r="DB195" s="228">
        <v>26.36</v>
      </c>
      <c r="DC195" s="228">
        <v>-1.19</v>
      </c>
      <c r="DD195" s="228">
        <v>-1.19</v>
      </c>
      <c r="DE195" s="228">
        <v>35.090000000000003</v>
      </c>
      <c r="DF195" s="228">
        <v>35.18</v>
      </c>
      <c r="DG195" s="228">
        <v>-9.92</v>
      </c>
      <c r="DH195" s="228">
        <v>-0.09</v>
      </c>
      <c r="DI195" s="228">
        <v>25.44</v>
      </c>
      <c r="DJ195" s="228">
        <v>26.48</v>
      </c>
      <c r="DK195" s="228">
        <v>-1.04</v>
      </c>
      <c r="DL195" s="228">
        <v>-1.04</v>
      </c>
      <c r="DM195" s="228">
        <v>24.74</v>
      </c>
      <c r="DN195" s="228">
        <v>26.11</v>
      </c>
      <c r="DO195" s="228">
        <v>-1.37</v>
      </c>
      <c r="DP195" s="228">
        <v>-1.37</v>
      </c>
      <c r="DQ195" s="228">
        <v>0.6</v>
      </c>
      <c r="DR195" s="228">
        <v>0.6</v>
      </c>
      <c r="DS195" s="228">
        <v>0</v>
      </c>
      <c r="DT195" s="229">
        <v>0</v>
      </c>
      <c r="DU195" s="228">
        <v>210</v>
      </c>
      <c r="DV195" s="228">
        <v>210</v>
      </c>
      <c r="DW195" s="228">
        <v>0.68</v>
      </c>
      <c r="DX195" s="228">
        <v>0.59</v>
      </c>
      <c r="DY195" s="228">
        <v>0.09</v>
      </c>
      <c r="DZ195" s="229">
        <v>0.1525</v>
      </c>
      <c r="EA195" s="229">
        <v>0.88139999999999996</v>
      </c>
      <c r="EB195" s="230">
        <v>171949250</v>
      </c>
      <c r="EC195" s="229">
        <v>-1.06E-2</v>
      </c>
      <c r="ED195" s="229">
        <v>0.88139999999999996</v>
      </c>
      <c r="EE195" s="228">
        <v>-2.46</v>
      </c>
      <c r="EF195" s="229">
        <v>-1.17E-2</v>
      </c>
      <c r="EG195" s="230">
        <v>7642496</v>
      </c>
      <c r="EH195" s="230">
        <v>12806927</v>
      </c>
      <c r="EI195" s="229">
        <v>-0.40329999999999999</v>
      </c>
      <c r="EJ195" s="229">
        <v>0.41749999999999998</v>
      </c>
      <c r="EK195" s="231">
        <v>2204.4699999999998</v>
      </c>
      <c r="EL195" s="231">
        <v>1456.34</v>
      </c>
      <c r="EM195" s="231">
        <v>1716.89</v>
      </c>
      <c r="EN195" s="228">
        <v>299.86</v>
      </c>
      <c r="EO195" s="231">
        <v>5377.7</v>
      </c>
      <c r="EP195" s="231">
        <v>7495.15</v>
      </c>
      <c r="EQ195" s="231">
        <v>-2117.4499999999998</v>
      </c>
      <c r="ER195" s="229">
        <v>-0.28249999999999997</v>
      </c>
      <c r="ES195" s="228">
        <v>990.99</v>
      </c>
      <c r="ET195" s="228">
        <v>556.22</v>
      </c>
      <c r="EU195" s="231">
        <v>3994.13</v>
      </c>
      <c r="EV195" s="231">
        <v>1049350971</v>
      </c>
      <c r="EW195" s="231">
        <v>5541.34</v>
      </c>
      <c r="EX195" s="231">
        <v>8402.82</v>
      </c>
      <c r="EY195" s="231">
        <v>-2861.48</v>
      </c>
      <c r="EZ195" s="229">
        <v>-0.34050000000000002</v>
      </c>
      <c r="FA195" s="229">
        <v>0.252</v>
      </c>
      <c r="FB195" s="227" t="s">
        <v>691</v>
      </c>
      <c r="FC195">
        <f t="shared" ref="FC195:FC258" si="4">BY262-CC262</f>
        <v>0</v>
      </c>
    </row>
    <row r="196" spans="1:159" ht="17.25" thickBot="1" x14ac:dyDescent="0.3">
      <c r="A196" s="226">
        <v>46168</v>
      </c>
      <c r="B196" s="227" t="s">
        <v>221</v>
      </c>
      <c r="C196" s="227" t="s">
        <v>295</v>
      </c>
      <c r="D196" s="228">
        <v>175</v>
      </c>
      <c r="E196" s="228">
        <v>0</v>
      </c>
      <c r="F196" s="231">
        <v>2287.5</v>
      </c>
      <c r="G196" s="231">
        <v>2277.6999999999998</v>
      </c>
      <c r="H196" s="228">
        <v>9.8000000000000007</v>
      </c>
      <c r="I196" s="229">
        <v>4.3E-3</v>
      </c>
      <c r="J196" s="231">
        <v>2276.1999999999998</v>
      </c>
      <c r="K196" s="231">
        <v>2308.1999999999998</v>
      </c>
      <c r="L196" s="228">
        <v>-32</v>
      </c>
      <c r="M196" s="229">
        <v>-1.3899999999999999E-2</v>
      </c>
      <c r="N196" s="231">
        <v>2275.6999999999998</v>
      </c>
      <c r="O196" s="231">
        <v>2316.4</v>
      </c>
      <c r="P196" s="228">
        <v>-40.700000000000003</v>
      </c>
      <c r="Q196" s="229">
        <v>-1.7600000000000001E-2</v>
      </c>
      <c r="R196" s="231">
        <v>2287.5</v>
      </c>
      <c r="S196" s="231">
        <v>2277.6999999999998</v>
      </c>
      <c r="T196" s="228">
        <v>9.8000000000000007</v>
      </c>
      <c r="U196" s="229">
        <v>4.3E-3</v>
      </c>
      <c r="V196" s="231">
        <v>2281.1</v>
      </c>
      <c r="W196" s="231">
        <v>2268.6</v>
      </c>
      <c r="X196" s="228">
        <v>12.5</v>
      </c>
      <c r="Y196" s="229">
        <v>5.4999999999999997E-3</v>
      </c>
      <c r="Z196" s="228">
        <v>11.3</v>
      </c>
      <c r="AA196" s="228">
        <v>8.1999999999999993</v>
      </c>
      <c r="AB196" s="228">
        <v>3.1</v>
      </c>
      <c r="AC196" s="229">
        <v>5.0000000000000001E-3</v>
      </c>
      <c r="AD196" s="228">
        <v>-0.5</v>
      </c>
      <c r="AE196" s="228">
        <v>8.1999999999999993</v>
      </c>
      <c r="AF196" s="228">
        <v>-8.6999999999999993</v>
      </c>
      <c r="AG196" s="229">
        <v>-2.0000000000000001E-4</v>
      </c>
      <c r="AH196" s="228">
        <v>11.3</v>
      </c>
      <c r="AI196" s="228">
        <v>-30.5</v>
      </c>
      <c r="AJ196" s="228">
        <v>41.8</v>
      </c>
      <c r="AK196" s="229">
        <v>5.0000000000000001E-3</v>
      </c>
      <c r="AL196" s="228">
        <v>4.9000000000000004</v>
      </c>
      <c r="AM196" s="228">
        <v>-39.6</v>
      </c>
      <c r="AN196" s="228">
        <v>44.5</v>
      </c>
      <c r="AO196" s="229">
        <v>2.2000000000000001E-3</v>
      </c>
      <c r="AP196" s="231">
        <v>2292.7800000000002</v>
      </c>
      <c r="AQ196" s="231">
        <v>2292.33</v>
      </c>
      <c r="AR196" s="228">
        <v>0</v>
      </c>
      <c r="AS196" s="230">
        <v>2356</v>
      </c>
      <c r="AT196" s="230">
        <v>5575</v>
      </c>
      <c r="AU196" s="230">
        <v>-3219</v>
      </c>
      <c r="AV196" s="229">
        <v>-0.57740000000000002</v>
      </c>
      <c r="AW196" s="228">
        <v>949</v>
      </c>
      <c r="AX196" s="230">
        <v>2527</v>
      </c>
      <c r="AY196" s="230">
        <v>-1579</v>
      </c>
      <c r="AZ196" s="229">
        <v>-0.62470000000000003</v>
      </c>
      <c r="BA196" s="230">
        <v>1303</v>
      </c>
      <c r="BB196" s="230">
        <v>2946</v>
      </c>
      <c r="BC196" s="230">
        <v>-1644</v>
      </c>
      <c r="BD196" s="229">
        <v>-0.55779999999999996</v>
      </c>
      <c r="BE196" s="228">
        <v>104</v>
      </c>
      <c r="BF196" s="228">
        <v>101</v>
      </c>
      <c r="BG196" s="228">
        <v>3</v>
      </c>
      <c r="BH196" s="229">
        <v>3.04E-2</v>
      </c>
      <c r="BI196" s="230">
        <v>3407</v>
      </c>
      <c r="BJ196" s="230">
        <v>5128</v>
      </c>
      <c r="BK196" s="230">
        <v>-1721</v>
      </c>
      <c r="BL196" s="229">
        <v>-0.3357</v>
      </c>
      <c r="BM196" s="230">
        <v>2207</v>
      </c>
      <c r="BN196" s="230">
        <v>2748</v>
      </c>
      <c r="BO196" s="228">
        <v>-541</v>
      </c>
      <c r="BP196" s="229">
        <v>-0.19700000000000001</v>
      </c>
      <c r="BQ196" s="230">
        <v>7969</v>
      </c>
      <c r="BR196" s="230">
        <v>13451</v>
      </c>
      <c r="BS196" s="230">
        <v>-5482</v>
      </c>
      <c r="BT196" s="229">
        <v>-0.40749999999999997</v>
      </c>
      <c r="BU196" s="230">
        <v>3691473</v>
      </c>
      <c r="BV196" s="230">
        <v>3361346</v>
      </c>
      <c r="BW196" s="230">
        <v>330127</v>
      </c>
      <c r="BX196" s="229">
        <v>9.8199999999999996E-2</v>
      </c>
      <c r="BY196" s="230">
        <v>9371</v>
      </c>
      <c r="BZ196" s="230">
        <v>10508</v>
      </c>
      <c r="CA196" s="230">
        <v>-1136</v>
      </c>
      <c r="CB196" s="229">
        <v>-0.1081</v>
      </c>
      <c r="CC196" s="228">
        <v>704</v>
      </c>
      <c r="CD196" s="230">
        <v>1236</v>
      </c>
      <c r="CE196" s="228">
        <v>-532</v>
      </c>
      <c r="CF196" s="229">
        <v>-0.43020000000000003</v>
      </c>
      <c r="CG196" s="230">
        <v>8960</v>
      </c>
      <c r="CH196" s="230">
        <v>8926</v>
      </c>
      <c r="CI196" s="228">
        <v>34</v>
      </c>
      <c r="CJ196" s="229">
        <v>3.8999999999999998E-3</v>
      </c>
      <c r="CK196" s="228">
        <v>411</v>
      </c>
      <c r="CL196" s="228">
        <v>346</v>
      </c>
      <c r="CM196" s="228">
        <v>65</v>
      </c>
      <c r="CN196" s="229">
        <v>0.18840000000000001</v>
      </c>
      <c r="CO196" s="230">
        <v>1684</v>
      </c>
      <c r="CP196" s="230">
        <v>4211</v>
      </c>
      <c r="CQ196" s="230">
        <v>-2527</v>
      </c>
      <c r="CR196" s="229">
        <v>-0.6</v>
      </c>
      <c r="CS196" s="230">
        <v>1602</v>
      </c>
      <c r="CT196" s="230">
        <v>2924</v>
      </c>
      <c r="CU196" s="230">
        <v>-1322</v>
      </c>
      <c r="CV196" s="229">
        <v>-0.45200000000000001</v>
      </c>
      <c r="CW196" s="230">
        <v>12658</v>
      </c>
      <c r="CX196" s="230">
        <v>17643</v>
      </c>
      <c r="CY196" s="230">
        <v>-4985</v>
      </c>
      <c r="CZ196" s="229">
        <v>-0.28249999999999997</v>
      </c>
      <c r="DA196" s="228">
        <v>25.36</v>
      </c>
      <c r="DB196" s="228">
        <v>26.25</v>
      </c>
      <c r="DC196" s="228">
        <v>-0.89</v>
      </c>
      <c r="DD196" s="228">
        <v>-0.89</v>
      </c>
      <c r="DE196" s="228">
        <v>27.9</v>
      </c>
      <c r="DF196" s="228">
        <v>27.9</v>
      </c>
      <c r="DG196" s="228">
        <v>-2.54</v>
      </c>
      <c r="DH196" s="228">
        <v>0</v>
      </c>
      <c r="DI196" s="228">
        <v>25.27</v>
      </c>
      <c r="DJ196" s="228">
        <v>26.5</v>
      </c>
      <c r="DK196" s="228">
        <v>-1.23</v>
      </c>
      <c r="DL196" s="228">
        <v>-1.23</v>
      </c>
      <c r="DM196" s="228">
        <v>25.52</v>
      </c>
      <c r="DN196" s="228">
        <v>25.83</v>
      </c>
      <c r="DO196" s="228">
        <v>-0.31</v>
      </c>
      <c r="DP196" s="228">
        <v>-0.31</v>
      </c>
      <c r="DQ196" s="228">
        <v>0.95</v>
      </c>
      <c r="DR196" s="228">
        <v>0.69</v>
      </c>
      <c r="DS196" s="228">
        <v>0.26</v>
      </c>
      <c r="DT196" s="229">
        <v>0.37680000000000002</v>
      </c>
      <c r="DU196" s="231">
        <v>2300</v>
      </c>
      <c r="DV196" s="231">
        <v>2300</v>
      </c>
      <c r="DW196" s="228">
        <v>0.65</v>
      </c>
      <c r="DX196" s="228">
        <v>0.54</v>
      </c>
      <c r="DY196" s="228">
        <v>0.11</v>
      </c>
      <c r="DZ196" s="229">
        <v>0.20369999999999999</v>
      </c>
      <c r="EA196" s="229">
        <v>0.93010000000000004</v>
      </c>
      <c r="EB196" s="230">
        <v>40532575</v>
      </c>
      <c r="EC196" s="229">
        <v>5.1999999999999998E-3</v>
      </c>
      <c r="ED196" s="229">
        <v>0.93010000000000004</v>
      </c>
      <c r="EE196" s="228">
        <v>-0.45</v>
      </c>
      <c r="EF196" s="229">
        <v>-2.0000000000000001E-4</v>
      </c>
      <c r="EG196" s="230">
        <v>1867036</v>
      </c>
      <c r="EH196" s="230">
        <v>2125993</v>
      </c>
      <c r="EI196" s="229">
        <v>-0.12180000000000001</v>
      </c>
      <c r="EJ196" s="229">
        <v>0.50580000000000003</v>
      </c>
      <c r="EK196" s="231">
        <v>3619.54</v>
      </c>
      <c r="EL196" s="231">
        <v>2335.35</v>
      </c>
      <c r="EM196" s="231">
        <v>2390.38</v>
      </c>
      <c r="EN196" s="231">
        <v>1128.8599999999999</v>
      </c>
      <c r="EO196" s="231">
        <v>8345.2800000000007</v>
      </c>
      <c r="EP196" s="231">
        <v>13924.64</v>
      </c>
      <c r="EQ196" s="231">
        <v>-5579.37</v>
      </c>
      <c r="ER196" s="229">
        <v>-0.4007</v>
      </c>
      <c r="ES196" s="231">
        <v>1760.12</v>
      </c>
      <c r="ET196" s="231">
        <v>1673.19</v>
      </c>
      <c r="EU196" s="231">
        <v>9370.26</v>
      </c>
      <c r="EV196" s="231">
        <v>153229333</v>
      </c>
      <c r="EW196" s="231">
        <v>12803.57</v>
      </c>
      <c r="EX196" s="231">
        <v>18021.79</v>
      </c>
      <c r="EY196" s="231">
        <v>-5218.22</v>
      </c>
      <c r="EZ196" s="229">
        <v>-0.28960000000000002</v>
      </c>
      <c r="FA196" s="229">
        <v>0.36109999999999998</v>
      </c>
      <c r="FB196" s="227" t="s">
        <v>691</v>
      </c>
      <c r="FC196">
        <f t="shared" si="4"/>
        <v>0</v>
      </c>
    </row>
    <row r="197" spans="1:159" ht="17.25" thickBot="1" x14ac:dyDescent="0.3">
      <c r="A197" s="226">
        <v>46168</v>
      </c>
      <c r="B197" s="227" t="s">
        <v>221</v>
      </c>
      <c r="C197" s="227" t="s">
        <v>296</v>
      </c>
      <c r="D197" s="228">
        <v>600</v>
      </c>
      <c r="E197" s="228">
        <v>0</v>
      </c>
      <c r="F197" s="231">
        <v>1452.3</v>
      </c>
      <c r="G197" s="231">
        <v>1427</v>
      </c>
      <c r="H197" s="228">
        <v>25.3</v>
      </c>
      <c r="I197" s="229">
        <v>1.77E-2</v>
      </c>
      <c r="J197" s="231">
        <v>1458.7</v>
      </c>
      <c r="K197" s="231">
        <v>1435.5</v>
      </c>
      <c r="L197" s="228">
        <v>23.2</v>
      </c>
      <c r="M197" s="229">
        <v>1.6199999999999999E-2</v>
      </c>
      <c r="N197" s="231">
        <v>1459.3</v>
      </c>
      <c r="O197" s="231">
        <v>1432</v>
      </c>
      <c r="P197" s="228">
        <v>27.3</v>
      </c>
      <c r="Q197" s="229">
        <v>1.9099999999999999E-2</v>
      </c>
      <c r="R197" s="231">
        <v>1452.3</v>
      </c>
      <c r="S197" s="231">
        <v>1427</v>
      </c>
      <c r="T197" s="228">
        <v>25.3</v>
      </c>
      <c r="U197" s="229">
        <v>1.77E-2</v>
      </c>
      <c r="V197" s="231">
        <v>1451.8</v>
      </c>
      <c r="W197" s="231">
        <v>1429.6</v>
      </c>
      <c r="X197" s="228">
        <v>22.2</v>
      </c>
      <c r="Y197" s="229">
        <v>1.55E-2</v>
      </c>
      <c r="Z197" s="228">
        <v>-6.4</v>
      </c>
      <c r="AA197" s="228">
        <v>-3.5</v>
      </c>
      <c r="AB197" s="228">
        <v>-2.9</v>
      </c>
      <c r="AC197" s="229">
        <v>-4.4000000000000003E-3</v>
      </c>
      <c r="AD197" s="228">
        <v>0.6</v>
      </c>
      <c r="AE197" s="228">
        <v>-3.5</v>
      </c>
      <c r="AF197" s="228">
        <v>4.0999999999999996</v>
      </c>
      <c r="AG197" s="229">
        <v>4.0000000000000002E-4</v>
      </c>
      <c r="AH197" s="228">
        <v>-6.4</v>
      </c>
      <c r="AI197" s="228">
        <v>-8.5</v>
      </c>
      <c r="AJ197" s="228">
        <v>2.1</v>
      </c>
      <c r="AK197" s="229">
        <v>-4.4000000000000003E-3</v>
      </c>
      <c r="AL197" s="228">
        <v>-6.9</v>
      </c>
      <c r="AM197" s="228">
        <v>-5.9</v>
      </c>
      <c r="AN197" s="228">
        <v>-1</v>
      </c>
      <c r="AO197" s="229">
        <v>-4.7000000000000002E-3</v>
      </c>
      <c r="AP197" s="231">
        <v>1446.42</v>
      </c>
      <c r="AQ197" s="231">
        <v>1441.64</v>
      </c>
      <c r="AR197" s="228">
        <v>0</v>
      </c>
      <c r="AS197" s="230">
        <v>1071</v>
      </c>
      <c r="AT197" s="230">
        <v>1678</v>
      </c>
      <c r="AU197" s="228">
        <v>-606</v>
      </c>
      <c r="AV197" s="229">
        <v>-0.36149999999999999</v>
      </c>
      <c r="AW197" s="228">
        <v>481</v>
      </c>
      <c r="AX197" s="228">
        <v>845</v>
      </c>
      <c r="AY197" s="228">
        <v>-364</v>
      </c>
      <c r="AZ197" s="229">
        <v>-0.43030000000000002</v>
      </c>
      <c r="BA197" s="228">
        <v>579</v>
      </c>
      <c r="BB197" s="228">
        <v>826</v>
      </c>
      <c r="BC197" s="228">
        <v>-247</v>
      </c>
      <c r="BD197" s="229">
        <v>-0.29920000000000002</v>
      </c>
      <c r="BE197" s="228">
        <v>11</v>
      </c>
      <c r="BF197" s="228">
        <v>6</v>
      </c>
      <c r="BG197" s="228">
        <v>4</v>
      </c>
      <c r="BH197" s="229">
        <v>0.6986</v>
      </c>
      <c r="BI197" s="228">
        <v>831</v>
      </c>
      <c r="BJ197" s="230">
        <v>1253</v>
      </c>
      <c r="BK197" s="228">
        <v>-422</v>
      </c>
      <c r="BL197" s="229">
        <v>-0.33700000000000002</v>
      </c>
      <c r="BM197" s="228">
        <v>370</v>
      </c>
      <c r="BN197" s="228">
        <v>525</v>
      </c>
      <c r="BO197" s="228">
        <v>-155</v>
      </c>
      <c r="BP197" s="229">
        <v>-0.29520000000000002</v>
      </c>
      <c r="BQ197" s="230">
        <v>2272</v>
      </c>
      <c r="BR197" s="230">
        <v>3455</v>
      </c>
      <c r="BS197" s="230">
        <v>-1184</v>
      </c>
      <c r="BT197" s="229">
        <v>-0.34250000000000003</v>
      </c>
      <c r="BU197" s="230">
        <v>2015415</v>
      </c>
      <c r="BV197" s="230">
        <v>924688</v>
      </c>
      <c r="BW197" s="230">
        <v>1090727</v>
      </c>
      <c r="BX197" s="229">
        <v>1.1796</v>
      </c>
      <c r="BY197" s="230">
        <v>2663</v>
      </c>
      <c r="BZ197" s="230">
        <v>2769</v>
      </c>
      <c r="CA197" s="228">
        <v>-106</v>
      </c>
      <c r="CB197" s="229">
        <v>-3.8300000000000001E-2</v>
      </c>
      <c r="CC197" s="228">
        <v>186</v>
      </c>
      <c r="CD197" s="228">
        <v>415</v>
      </c>
      <c r="CE197" s="228">
        <v>-229</v>
      </c>
      <c r="CF197" s="229">
        <v>-0.55159999999999998</v>
      </c>
      <c r="CG197" s="230">
        <v>2640</v>
      </c>
      <c r="CH197" s="230">
        <v>2338</v>
      </c>
      <c r="CI197" s="228">
        <v>302</v>
      </c>
      <c r="CJ197" s="229">
        <v>0.12909999999999999</v>
      </c>
      <c r="CK197" s="228">
        <v>23</v>
      </c>
      <c r="CL197" s="228">
        <v>16</v>
      </c>
      <c r="CM197" s="228">
        <v>7</v>
      </c>
      <c r="CN197" s="229">
        <v>0.42620000000000002</v>
      </c>
      <c r="CO197" s="228">
        <v>359</v>
      </c>
      <c r="CP197" s="230">
        <v>1447</v>
      </c>
      <c r="CQ197" s="230">
        <v>-1087</v>
      </c>
      <c r="CR197" s="229">
        <v>-0.75170000000000003</v>
      </c>
      <c r="CS197" s="228">
        <v>289</v>
      </c>
      <c r="CT197" s="228">
        <v>908</v>
      </c>
      <c r="CU197" s="228">
        <v>-619</v>
      </c>
      <c r="CV197" s="229">
        <v>-0.68200000000000005</v>
      </c>
      <c r="CW197" s="230">
        <v>3310</v>
      </c>
      <c r="CX197" s="230">
        <v>5123</v>
      </c>
      <c r="CY197" s="230">
        <v>-1813</v>
      </c>
      <c r="CZ197" s="229">
        <v>-0.3538</v>
      </c>
      <c r="DA197" s="228">
        <v>26.26</v>
      </c>
      <c r="DB197" s="228">
        <v>27.67</v>
      </c>
      <c r="DC197" s="228">
        <v>-1.41</v>
      </c>
      <c r="DD197" s="228">
        <v>-1.41</v>
      </c>
      <c r="DE197" s="228">
        <v>32.85</v>
      </c>
      <c r="DF197" s="228">
        <v>32.86</v>
      </c>
      <c r="DG197" s="228">
        <v>-6.59</v>
      </c>
      <c r="DH197" s="228">
        <v>-0.01</v>
      </c>
      <c r="DI197" s="228">
        <v>25.92</v>
      </c>
      <c r="DJ197" s="228">
        <v>27.41</v>
      </c>
      <c r="DK197" s="228">
        <v>-1.49</v>
      </c>
      <c r="DL197" s="228">
        <v>-1.49</v>
      </c>
      <c r="DM197" s="228">
        <v>27.18</v>
      </c>
      <c r="DN197" s="228">
        <v>28.18</v>
      </c>
      <c r="DO197" s="228">
        <v>-1</v>
      </c>
      <c r="DP197" s="228">
        <v>-1</v>
      </c>
      <c r="DQ197" s="228">
        <v>0.8</v>
      </c>
      <c r="DR197" s="228">
        <v>0.63</v>
      </c>
      <c r="DS197" s="228">
        <v>0.17</v>
      </c>
      <c r="DT197" s="229">
        <v>0.26979999999999998</v>
      </c>
      <c r="DU197" s="231">
        <v>1460</v>
      </c>
      <c r="DV197" s="231">
        <v>1380</v>
      </c>
      <c r="DW197" s="228">
        <v>0.44</v>
      </c>
      <c r="DX197" s="228">
        <v>0.42</v>
      </c>
      <c r="DY197" s="228">
        <v>0.02</v>
      </c>
      <c r="DZ197" s="229">
        <v>4.7600000000000003E-2</v>
      </c>
      <c r="EA197" s="229">
        <v>0.93469999999999998</v>
      </c>
      <c r="EB197" s="230">
        <v>16207800</v>
      </c>
      <c r="EC197" s="229">
        <v>-4.7999999999999996E-3</v>
      </c>
      <c r="ED197" s="229">
        <v>0.93469999999999998</v>
      </c>
      <c r="EE197" s="228">
        <v>-4.78</v>
      </c>
      <c r="EF197" s="229">
        <v>-3.3E-3</v>
      </c>
      <c r="EG197" s="230">
        <v>1242414</v>
      </c>
      <c r="EH197" s="230">
        <v>293494</v>
      </c>
      <c r="EI197" s="229">
        <v>3.2332000000000001</v>
      </c>
      <c r="EJ197" s="229">
        <v>0.61650000000000005</v>
      </c>
      <c r="EK197" s="228">
        <v>856.88</v>
      </c>
      <c r="EL197" s="228">
        <v>364.51</v>
      </c>
      <c r="EM197" s="231">
        <v>1064.92</v>
      </c>
      <c r="EN197" s="228">
        <v>188.05</v>
      </c>
      <c r="EO197" s="231">
        <v>2286.3200000000002</v>
      </c>
      <c r="EP197" s="231">
        <v>3439.06</v>
      </c>
      <c r="EQ197" s="231">
        <v>-1152.74</v>
      </c>
      <c r="ER197" s="229">
        <v>-0.3352</v>
      </c>
      <c r="ES197" s="228">
        <v>371.45</v>
      </c>
      <c r="ET197" s="228">
        <v>279.13</v>
      </c>
      <c r="EU197" s="231">
        <v>2662.58</v>
      </c>
      <c r="EV197" s="231">
        <v>95553300</v>
      </c>
      <c r="EW197" s="231">
        <v>3313.16</v>
      </c>
      <c r="EX197" s="231">
        <v>5071.51</v>
      </c>
      <c r="EY197" s="231">
        <v>-1758.35</v>
      </c>
      <c r="EZ197" s="229">
        <v>-0.34670000000000001</v>
      </c>
      <c r="FA197" s="229">
        <v>0.23860000000000001</v>
      </c>
      <c r="FB197" s="227" t="s">
        <v>691</v>
      </c>
      <c r="FC197">
        <f t="shared" si="4"/>
        <v>0</v>
      </c>
    </row>
    <row r="198" spans="1:159" ht="17.25" thickBot="1" x14ac:dyDescent="0.3">
      <c r="A198" s="226">
        <v>46168</v>
      </c>
      <c r="B198" s="227" t="s">
        <v>184</v>
      </c>
      <c r="C198" s="227" t="s">
        <v>594</v>
      </c>
      <c r="D198" s="228">
        <v>200</v>
      </c>
      <c r="E198" s="228">
        <v>0</v>
      </c>
      <c r="F198" s="231">
        <v>3053.8</v>
      </c>
      <c r="G198" s="231">
        <v>3068.9</v>
      </c>
      <c r="H198" s="228">
        <v>-15.1</v>
      </c>
      <c r="I198" s="229">
        <v>-4.8999999999999998E-3</v>
      </c>
      <c r="J198" s="231">
        <v>3039.1</v>
      </c>
      <c r="K198" s="231">
        <v>3047.6</v>
      </c>
      <c r="L198" s="228">
        <v>-8.5</v>
      </c>
      <c r="M198" s="229">
        <v>-2.8E-3</v>
      </c>
      <c r="N198" s="231">
        <v>3039.9</v>
      </c>
      <c r="O198" s="231">
        <v>3047</v>
      </c>
      <c r="P198" s="228">
        <v>-7.1</v>
      </c>
      <c r="Q198" s="229">
        <v>-2.3E-3</v>
      </c>
      <c r="R198" s="231">
        <v>3053.8</v>
      </c>
      <c r="S198" s="231">
        <v>3068.9</v>
      </c>
      <c r="T198" s="228">
        <v>-15.1</v>
      </c>
      <c r="U198" s="229">
        <v>-4.8999999999999998E-3</v>
      </c>
      <c r="V198" s="231">
        <v>3043</v>
      </c>
      <c r="W198" s="231">
        <v>3074.9</v>
      </c>
      <c r="X198" s="228">
        <v>-31.9</v>
      </c>
      <c r="Y198" s="229">
        <v>-1.04E-2</v>
      </c>
      <c r="Z198" s="228">
        <v>14.7</v>
      </c>
      <c r="AA198" s="228">
        <v>-0.6</v>
      </c>
      <c r="AB198" s="228">
        <v>15.3</v>
      </c>
      <c r="AC198" s="229">
        <v>4.7999999999999996E-3</v>
      </c>
      <c r="AD198" s="228">
        <v>0.8</v>
      </c>
      <c r="AE198" s="228">
        <v>-0.6</v>
      </c>
      <c r="AF198" s="228">
        <v>1.4</v>
      </c>
      <c r="AG198" s="229">
        <v>2.9999999999999997E-4</v>
      </c>
      <c r="AH198" s="228">
        <v>14.7</v>
      </c>
      <c r="AI198" s="228">
        <v>21.3</v>
      </c>
      <c r="AJ198" s="228">
        <v>-6.6</v>
      </c>
      <c r="AK198" s="229">
        <v>4.7999999999999996E-3</v>
      </c>
      <c r="AL198" s="228">
        <v>3.9</v>
      </c>
      <c r="AM198" s="228">
        <v>27.3</v>
      </c>
      <c r="AN198" s="228">
        <v>-23.4</v>
      </c>
      <c r="AO198" s="229">
        <v>1.2999999999999999E-3</v>
      </c>
      <c r="AP198" s="231">
        <v>3041.71</v>
      </c>
      <c r="AQ198" s="231">
        <v>3059.78</v>
      </c>
      <c r="AR198" s="228">
        <v>0</v>
      </c>
      <c r="AS198" s="228">
        <v>174</v>
      </c>
      <c r="AT198" s="228">
        <v>477</v>
      </c>
      <c r="AU198" s="228">
        <v>-303</v>
      </c>
      <c r="AV198" s="229">
        <v>-0.63500000000000001</v>
      </c>
      <c r="AW198" s="228">
        <v>86</v>
      </c>
      <c r="AX198" s="228">
        <v>223</v>
      </c>
      <c r="AY198" s="228">
        <v>-137</v>
      </c>
      <c r="AZ198" s="229">
        <v>-0.61329999999999996</v>
      </c>
      <c r="BA198" s="228">
        <v>87</v>
      </c>
      <c r="BB198" s="228">
        <v>252</v>
      </c>
      <c r="BC198" s="228">
        <v>-165</v>
      </c>
      <c r="BD198" s="229">
        <v>-0.65400000000000003</v>
      </c>
      <c r="BE198" s="228">
        <v>0</v>
      </c>
      <c r="BF198" s="228">
        <v>1</v>
      </c>
      <c r="BG198" s="228">
        <v>-1</v>
      </c>
      <c r="BH198" s="229">
        <v>-0.66669999999999996</v>
      </c>
      <c r="BI198" s="228">
        <v>231</v>
      </c>
      <c r="BJ198" s="228">
        <v>680</v>
      </c>
      <c r="BK198" s="228">
        <v>-449</v>
      </c>
      <c r="BL198" s="229">
        <v>-0.66069999999999995</v>
      </c>
      <c r="BM198" s="228">
        <v>77</v>
      </c>
      <c r="BN198" s="228">
        <v>220</v>
      </c>
      <c r="BO198" s="228">
        <v>-143</v>
      </c>
      <c r="BP198" s="229">
        <v>-0.65010000000000001</v>
      </c>
      <c r="BQ198" s="228">
        <v>482</v>
      </c>
      <c r="BR198" s="230">
        <v>1377</v>
      </c>
      <c r="BS198" s="228">
        <v>-895</v>
      </c>
      <c r="BT198" s="229">
        <v>-0.65010000000000001</v>
      </c>
      <c r="BU198" s="230">
        <v>171752</v>
      </c>
      <c r="BV198" s="230">
        <v>182737</v>
      </c>
      <c r="BW198" s="230">
        <v>-10985</v>
      </c>
      <c r="BX198" s="229">
        <v>-6.0100000000000001E-2</v>
      </c>
      <c r="BY198" s="228">
        <v>683</v>
      </c>
      <c r="BZ198" s="228">
        <v>700</v>
      </c>
      <c r="CA198" s="228">
        <v>-17</v>
      </c>
      <c r="CB198" s="229">
        <v>-2.4199999999999999E-2</v>
      </c>
      <c r="CC198" s="228">
        <v>14</v>
      </c>
      <c r="CD198" s="228">
        <v>28</v>
      </c>
      <c r="CE198" s="228">
        <v>-14</v>
      </c>
      <c r="CF198" s="229">
        <v>-0.50770000000000004</v>
      </c>
      <c r="CG198" s="228">
        <v>681</v>
      </c>
      <c r="CH198" s="228">
        <v>671</v>
      </c>
      <c r="CI198" s="228">
        <v>11</v>
      </c>
      <c r="CJ198" s="229">
        <v>1.5699999999999999E-2</v>
      </c>
      <c r="CK198" s="228">
        <v>2</v>
      </c>
      <c r="CL198" s="228">
        <v>2</v>
      </c>
      <c r="CM198" s="228">
        <v>0</v>
      </c>
      <c r="CN198" s="229">
        <v>0.2</v>
      </c>
      <c r="CO198" s="228">
        <v>40</v>
      </c>
      <c r="CP198" s="228">
        <v>220</v>
      </c>
      <c r="CQ198" s="228">
        <v>-180</v>
      </c>
      <c r="CR198" s="229">
        <v>-0.81969999999999998</v>
      </c>
      <c r="CS198" s="228">
        <v>31</v>
      </c>
      <c r="CT198" s="228">
        <v>135</v>
      </c>
      <c r="CU198" s="228">
        <v>-103</v>
      </c>
      <c r="CV198" s="229">
        <v>-0.76729999999999998</v>
      </c>
      <c r="CW198" s="228">
        <v>754</v>
      </c>
      <c r="CX198" s="230">
        <v>1055</v>
      </c>
      <c r="CY198" s="228">
        <v>-301</v>
      </c>
      <c r="CZ198" s="229">
        <v>-0.28510000000000002</v>
      </c>
      <c r="DA198" s="228">
        <v>32.53</v>
      </c>
      <c r="DB198" s="228">
        <v>33.29</v>
      </c>
      <c r="DC198" s="228">
        <v>-0.76</v>
      </c>
      <c r="DD198" s="228">
        <v>-0.76</v>
      </c>
      <c r="DE198" s="228">
        <v>43.94</v>
      </c>
      <c r="DF198" s="228">
        <v>44.05</v>
      </c>
      <c r="DG198" s="228">
        <v>-11.41</v>
      </c>
      <c r="DH198" s="228">
        <v>-0.11</v>
      </c>
      <c r="DI198" s="228">
        <v>32.159999999999997</v>
      </c>
      <c r="DJ198" s="228">
        <v>33.020000000000003</v>
      </c>
      <c r="DK198" s="228">
        <v>-0.86</v>
      </c>
      <c r="DL198" s="228">
        <v>-0.86</v>
      </c>
      <c r="DM198" s="228">
        <v>33.04</v>
      </c>
      <c r="DN198" s="228">
        <v>34.32</v>
      </c>
      <c r="DO198" s="228">
        <v>-1.28</v>
      </c>
      <c r="DP198" s="228">
        <v>-1.28</v>
      </c>
      <c r="DQ198" s="228">
        <v>0.79</v>
      </c>
      <c r="DR198" s="228">
        <v>0.61</v>
      </c>
      <c r="DS198" s="228">
        <v>0.18</v>
      </c>
      <c r="DT198" s="229">
        <v>0.29509999999999997</v>
      </c>
      <c r="DU198" s="231">
        <v>3140</v>
      </c>
      <c r="DV198" s="231">
        <v>2900</v>
      </c>
      <c r="DW198" s="228">
        <v>0.33</v>
      </c>
      <c r="DX198" s="228">
        <v>0.32</v>
      </c>
      <c r="DY198" s="228">
        <v>0.01</v>
      </c>
      <c r="DZ198" s="229">
        <v>3.1300000000000001E-2</v>
      </c>
      <c r="EA198" s="229">
        <v>0.98040000000000005</v>
      </c>
      <c r="EB198" s="230">
        <v>2201800</v>
      </c>
      <c r="EC198" s="229">
        <v>4.5999999999999999E-3</v>
      </c>
      <c r="ED198" s="229">
        <v>0.98040000000000005</v>
      </c>
      <c r="EE198" s="228">
        <v>18.07</v>
      </c>
      <c r="EF198" s="229">
        <v>5.8999999999999999E-3</v>
      </c>
      <c r="EG198" s="230">
        <v>48761</v>
      </c>
      <c r="EH198" s="230">
        <v>77226</v>
      </c>
      <c r="EI198" s="229">
        <v>-0.36859999999999998</v>
      </c>
      <c r="EJ198" s="229">
        <v>0.28389999999999999</v>
      </c>
      <c r="EK198" s="228">
        <v>236.59</v>
      </c>
      <c r="EL198" s="228">
        <v>75.97</v>
      </c>
      <c r="EM198" s="228">
        <v>173.78</v>
      </c>
      <c r="EN198" s="228">
        <v>68.61</v>
      </c>
      <c r="EO198" s="228">
        <v>486.34</v>
      </c>
      <c r="EP198" s="231">
        <v>1396.3</v>
      </c>
      <c r="EQ198" s="228">
        <v>-909.96</v>
      </c>
      <c r="ER198" s="229">
        <v>-0.65169999999999995</v>
      </c>
      <c r="ES198" s="228">
        <v>41.01</v>
      </c>
      <c r="ET198" s="228">
        <v>29.52</v>
      </c>
      <c r="EU198" s="228">
        <v>683.25</v>
      </c>
      <c r="EV198" s="231">
        <v>16239060</v>
      </c>
      <c r="EW198" s="228">
        <v>753.78</v>
      </c>
      <c r="EX198" s="231">
        <v>1053</v>
      </c>
      <c r="EY198" s="228">
        <v>-299.22000000000003</v>
      </c>
      <c r="EZ198" s="229">
        <v>-0.28420000000000001</v>
      </c>
      <c r="FA198" s="229">
        <v>0.15210000000000001</v>
      </c>
      <c r="FB198" s="227" t="s">
        <v>567</v>
      </c>
      <c r="FC198">
        <f t="shared" si="4"/>
        <v>0</v>
      </c>
    </row>
    <row r="199" spans="1:159" ht="17.25" thickBot="1" x14ac:dyDescent="0.3">
      <c r="A199" s="226">
        <v>46168</v>
      </c>
      <c r="B199" s="227" t="s">
        <v>168</v>
      </c>
      <c r="C199" s="227" t="s">
        <v>297</v>
      </c>
      <c r="D199" s="228">
        <v>175</v>
      </c>
      <c r="E199" s="228">
        <v>0</v>
      </c>
      <c r="F199" s="231">
        <v>4133.3999999999996</v>
      </c>
      <c r="G199" s="231">
        <v>4176</v>
      </c>
      <c r="H199" s="228">
        <v>-42.6</v>
      </c>
      <c r="I199" s="229">
        <v>-1.0200000000000001E-2</v>
      </c>
      <c r="J199" s="231">
        <v>4105.8999999999996</v>
      </c>
      <c r="K199" s="231">
        <v>4159.2</v>
      </c>
      <c r="L199" s="228">
        <v>-53.3</v>
      </c>
      <c r="M199" s="229">
        <v>-1.2800000000000001E-2</v>
      </c>
      <c r="N199" s="231">
        <v>4100.5</v>
      </c>
      <c r="O199" s="231">
        <v>4157.7</v>
      </c>
      <c r="P199" s="228">
        <v>-57.2</v>
      </c>
      <c r="Q199" s="229">
        <v>-1.38E-2</v>
      </c>
      <c r="R199" s="231">
        <v>4133.3999999999996</v>
      </c>
      <c r="S199" s="231">
        <v>4176</v>
      </c>
      <c r="T199" s="228">
        <v>-42.6</v>
      </c>
      <c r="U199" s="229">
        <v>-1.0200000000000001E-2</v>
      </c>
      <c r="V199" s="231">
        <v>4143.8</v>
      </c>
      <c r="W199" s="231">
        <v>4197.8</v>
      </c>
      <c r="X199" s="228">
        <v>-54</v>
      </c>
      <c r="Y199" s="229">
        <v>-1.29E-2</v>
      </c>
      <c r="Z199" s="228">
        <v>27.5</v>
      </c>
      <c r="AA199" s="228">
        <v>-1.5</v>
      </c>
      <c r="AB199" s="228">
        <v>29</v>
      </c>
      <c r="AC199" s="229">
        <v>6.7000000000000002E-3</v>
      </c>
      <c r="AD199" s="228">
        <v>-5.4</v>
      </c>
      <c r="AE199" s="228">
        <v>-1.5</v>
      </c>
      <c r="AF199" s="228">
        <v>-3.9</v>
      </c>
      <c r="AG199" s="229">
        <v>-1.2999999999999999E-3</v>
      </c>
      <c r="AH199" s="228">
        <v>27.5</v>
      </c>
      <c r="AI199" s="228">
        <v>16.8</v>
      </c>
      <c r="AJ199" s="228">
        <v>10.7</v>
      </c>
      <c r="AK199" s="229">
        <v>6.7000000000000002E-3</v>
      </c>
      <c r="AL199" s="228">
        <v>37.9</v>
      </c>
      <c r="AM199" s="228">
        <v>38.6</v>
      </c>
      <c r="AN199" s="228">
        <v>-0.7</v>
      </c>
      <c r="AO199" s="229">
        <v>9.1999999999999998E-3</v>
      </c>
      <c r="AP199" s="231">
        <v>4121.49</v>
      </c>
      <c r="AQ199" s="231">
        <v>4150.05</v>
      </c>
      <c r="AR199" s="228">
        <v>0</v>
      </c>
      <c r="AS199" s="230">
        <v>1162</v>
      </c>
      <c r="AT199" s="230">
        <v>1955</v>
      </c>
      <c r="AU199" s="228">
        <v>-793</v>
      </c>
      <c r="AV199" s="229">
        <v>-0.40550000000000003</v>
      </c>
      <c r="AW199" s="228">
        <v>521</v>
      </c>
      <c r="AX199" s="228">
        <v>987</v>
      </c>
      <c r="AY199" s="228">
        <v>-466</v>
      </c>
      <c r="AZ199" s="229">
        <v>-0.47220000000000001</v>
      </c>
      <c r="BA199" s="228">
        <v>620</v>
      </c>
      <c r="BB199" s="228">
        <v>911</v>
      </c>
      <c r="BC199" s="228">
        <v>-292</v>
      </c>
      <c r="BD199" s="229">
        <v>-0.3201</v>
      </c>
      <c r="BE199" s="228">
        <v>22</v>
      </c>
      <c r="BF199" s="228">
        <v>57</v>
      </c>
      <c r="BG199" s="228">
        <v>-35</v>
      </c>
      <c r="BH199" s="229">
        <v>-0.61860000000000004</v>
      </c>
      <c r="BI199" s="230">
        <v>2195</v>
      </c>
      <c r="BJ199" s="230">
        <v>3769</v>
      </c>
      <c r="BK199" s="230">
        <v>-1574</v>
      </c>
      <c r="BL199" s="229">
        <v>-0.41770000000000002</v>
      </c>
      <c r="BM199" s="230">
        <v>1206</v>
      </c>
      <c r="BN199" s="230">
        <v>1817</v>
      </c>
      <c r="BO199" s="228">
        <v>-611</v>
      </c>
      <c r="BP199" s="229">
        <v>-0.33629999999999999</v>
      </c>
      <c r="BQ199" s="230">
        <v>4563</v>
      </c>
      <c r="BR199" s="230">
        <v>7541</v>
      </c>
      <c r="BS199" s="230">
        <v>-2978</v>
      </c>
      <c r="BT199" s="229">
        <v>-0.39489999999999997</v>
      </c>
      <c r="BU199" s="230">
        <v>785558</v>
      </c>
      <c r="BV199" s="230">
        <v>642069</v>
      </c>
      <c r="BW199" s="230">
        <v>143489</v>
      </c>
      <c r="BX199" s="229">
        <v>0.2235</v>
      </c>
      <c r="BY199" s="230">
        <v>3305</v>
      </c>
      <c r="BZ199" s="230">
        <v>3569</v>
      </c>
      <c r="CA199" s="228">
        <v>-265</v>
      </c>
      <c r="CB199" s="229">
        <v>-7.4200000000000002E-2</v>
      </c>
      <c r="CC199" s="228">
        <v>302</v>
      </c>
      <c r="CD199" s="228">
        <v>601</v>
      </c>
      <c r="CE199" s="228">
        <v>-299</v>
      </c>
      <c r="CF199" s="229">
        <v>-0.49780000000000002</v>
      </c>
      <c r="CG199" s="230">
        <v>2910</v>
      </c>
      <c r="CH199" s="230">
        <v>2585</v>
      </c>
      <c r="CI199" s="228">
        <v>324</v>
      </c>
      <c r="CJ199" s="229">
        <v>0.12540000000000001</v>
      </c>
      <c r="CK199" s="228">
        <v>395</v>
      </c>
      <c r="CL199" s="228">
        <v>382</v>
      </c>
      <c r="CM199" s="228">
        <v>13</v>
      </c>
      <c r="CN199" s="229">
        <v>3.2899999999999999E-2</v>
      </c>
      <c r="CO199" s="228">
        <v>550</v>
      </c>
      <c r="CP199" s="230">
        <v>2168</v>
      </c>
      <c r="CQ199" s="230">
        <v>-1618</v>
      </c>
      <c r="CR199" s="229">
        <v>-0.74639999999999995</v>
      </c>
      <c r="CS199" s="228">
        <v>418</v>
      </c>
      <c r="CT199" s="230">
        <v>1244</v>
      </c>
      <c r="CU199" s="228">
        <v>-826</v>
      </c>
      <c r="CV199" s="229">
        <v>-0.66410000000000002</v>
      </c>
      <c r="CW199" s="230">
        <v>4272</v>
      </c>
      <c r="CX199" s="230">
        <v>6982</v>
      </c>
      <c r="CY199" s="230">
        <v>-2709</v>
      </c>
      <c r="CZ199" s="229">
        <v>-0.3881</v>
      </c>
      <c r="DA199" s="228">
        <v>20.76</v>
      </c>
      <c r="DB199" s="228">
        <v>21.26</v>
      </c>
      <c r="DC199" s="228">
        <v>-0.5</v>
      </c>
      <c r="DD199" s="228">
        <v>-0.5</v>
      </c>
      <c r="DE199" s="228">
        <v>29.33</v>
      </c>
      <c r="DF199" s="228">
        <v>29.35</v>
      </c>
      <c r="DG199" s="228">
        <v>-8.57</v>
      </c>
      <c r="DH199" s="228">
        <v>-0.02</v>
      </c>
      <c r="DI199" s="228">
        <v>21.14</v>
      </c>
      <c r="DJ199" s="228">
        <v>21.12</v>
      </c>
      <c r="DK199" s="228">
        <v>0.02</v>
      </c>
      <c r="DL199" s="228">
        <v>0.02</v>
      </c>
      <c r="DM199" s="228">
        <v>20.190000000000001</v>
      </c>
      <c r="DN199" s="228">
        <v>21.53</v>
      </c>
      <c r="DO199" s="228">
        <v>-1.34</v>
      </c>
      <c r="DP199" s="228">
        <v>-1.34</v>
      </c>
      <c r="DQ199" s="228">
        <v>0.76</v>
      </c>
      <c r="DR199" s="228">
        <v>0.56999999999999995</v>
      </c>
      <c r="DS199" s="228">
        <v>0.19</v>
      </c>
      <c r="DT199" s="229">
        <v>0.33329999999999999</v>
      </c>
      <c r="DU199" s="231">
        <v>4500</v>
      </c>
      <c r="DV199" s="231">
        <v>3900</v>
      </c>
      <c r="DW199" s="228">
        <v>0.55000000000000004</v>
      </c>
      <c r="DX199" s="228">
        <v>0.48</v>
      </c>
      <c r="DY199" s="228">
        <v>7.0000000000000007E-2</v>
      </c>
      <c r="DZ199" s="229">
        <v>0.14580000000000001</v>
      </c>
      <c r="EA199" s="229">
        <v>0.91620000000000001</v>
      </c>
      <c r="EB199" s="230">
        <v>7180250</v>
      </c>
      <c r="EC199" s="229">
        <v>8.0000000000000002E-3</v>
      </c>
      <c r="ED199" s="229">
        <v>0.91620000000000001</v>
      </c>
      <c r="EE199" s="228">
        <v>28.56</v>
      </c>
      <c r="EF199" s="229">
        <v>6.8999999999999999E-3</v>
      </c>
      <c r="EG199" s="230">
        <v>479336</v>
      </c>
      <c r="EH199" s="230">
        <v>292535</v>
      </c>
      <c r="EI199" s="229">
        <v>0.63859999999999995</v>
      </c>
      <c r="EJ199" s="229">
        <v>0.61019999999999996</v>
      </c>
      <c r="EK199" s="231">
        <v>2282.79</v>
      </c>
      <c r="EL199" s="231">
        <v>1204.17</v>
      </c>
      <c r="EM199" s="231">
        <v>1163.6099999999999</v>
      </c>
      <c r="EN199" s="228">
        <v>188.5</v>
      </c>
      <c r="EO199" s="231">
        <v>4650.58</v>
      </c>
      <c r="EP199" s="231">
        <v>7683.2</v>
      </c>
      <c r="EQ199" s="231">
        <v>-3032.63</v>
      </c>
      <c r="ER199" s="229">
        <v>-0.3947</v>
      </c>
      <c r="ES199" s="228">
        <v>577.6</v>
      </c>
      <c r="ET199" s="228">
        <v>410.79</v>
      </c>
      <c r="EU199" s="231">
        <v>3305.6</v>
      </c>
      <c r="EV199" s="231">
        <v>41744334</v>
      </c>
      <c r="EW199" s="231">
        <v>4293.99</v>
      </c>
      <c r="EX199" s="231">
        <v>7174.44</v>
      </c>
      <c r="EY199" s="231">
        <v>-2880.45</v>
      </c>
      <c r="EZ199" s="229">
        <v>-0.40150000000000002</v>
      </c>
      <c r="FA199" s="229">
        <v>0.24759999999999999</v>
      </c>
      <c r="FB199" s="227" t="s">
        <v>567</v>
      </c>
      <c r="FC199">
        <f t="shared" si="4"/>
        <v>0</v>
      </c>
    </row>
    <row r="200" spans="1:159" ht="17.25" thickBot="1" x14ac:dyDescent="0.3">
      <c r="A200" s="226">
        <v>46168</v>
      </c>
      <c r="B200" s="227" t="s">
        <v>162</v>
      </c>
      <c r="C200" s="227" t="s">
        <v>685</v>
      </c>
      <c r="D200" s="228">
        <v>800</v>
      </c>
      <c r="E200" s="228">
        <v>0</v>
      </c>
      <c r="F200" s="228">
        <v>385.35</v>
      </c>
      <c r="G200" s="228">
        <v>373.45</v>
      </c>
      <c r="H200" s="228">
        <v>11.9</v>
      </c>
      <c r="I200" s="229">
        <v>3.1899999999999998E-2</v>
      </c>
      <c r="J200" s="228">
        <v>385.6</v>
      </c>
      <c r="K200" s="228">
        <v>373.25</v>
      </c>
      <c r="L200" s="228">
        <v>12.35</v>
      </c>
      <c r="M200" s="229">
        <v>3.3099999999999997E-2</v>
      </c>
      <c r="N200" s="228">
        <v>384.55</v>
      </c>
      <c r="O200" s="228">
        <v>372.8</v>
      </c>
      <c r="P200" s="228">
        <v>11.75</v>
      </c>
      <c r="Q200" s="229">
        <v>3.15E-2</v>
      </c>
      <c r="R200" s="228">
        <v>385.35</v>
      </c>
      <c r="S200" s="228">
        <v>373.45</v>
      </c>
      <c r="T200" s="228">
        <v>11.9</v>
      </c>
      <c r="U200" s="229">
        <v>3.1899999999999998E-2</v>
      </c>
      <c r="V200" s="228">
        <v>386.05</v>
      </c>
      <c r="W200" s="228">
        <v>373.75</v>
      </c>
      <c r="X200" s="228">
        <v>12.3</v>
      </c>
      <c r="Y200" s="229">
        <v>3.2899999999999999E-2</v>
      </c>
      <c r="Z200" s="228">
        <v>-0.25</v>
      </c>
      <c r="AA200" s="228">
        <v>-0.45</v>
      </c>
      <c r="AB200" s="228">
        <v>0.2</v>
      </c>
      <c r="AC200" s="229">
        <v>-5.9999999999999995E-4</v>
      </c>
      <c r="AD200" s="228">
        <v>-1.05</v>
      </c>
      <c r="AE200" s="228">
        <v>-0.45</v>
      </c>
      <c r="AF200" s="228">
        <v>-0.6</v>
      </c>
      <c r="AG200" s="229">
        <v>-2.7000000000000001E-3</v>
      </c>
      <c r="AH200" s="228">
        <v>-0.25</v>
      </c>
      <c r="AI200" s="228">
        <v>0.2</v>
      </c>
      <c r="AJ200" s="228">
        <v>-0.45</v>
      </c>
      <c r="AK200" s="229">
        <v>-5.9999999999999995E-4</v>
      </c>
      <c r="AL200" s="228">
        <v>0.45</v>
      </c>
      <c r="AM200" s="228">
        <v>0.5</v>
      </c>
      <c r="AN200" s="228">
        <v>-0.05</v>
      </c>
      <c r="AO200" s="229">
        <v>1.1999999999999999E-3</v>
      </c>
      <c r="AP200" s="228">
        <v>380.79</v>
      </c>
      <c r="AQ200" s="228">
        <v>382.13</v>
      </c>
      <c r="AR200" s="228">
        <v>0</v>
      </c>
      <c r="AS200" s="230">
        <v>1282</v>
      </c>
      <c r="AT200" s="230">
        <v>1721</v>
      </c>
      <c r="AU200" s="228">
        <v>-439</v>
      </c>
      <c r="AV200" s="229">
        <v>-0.25509999999999999</v>
      </c>
      <c r="AW200" s="228">
        <v>479</v>
      </c>
      <c r="AX200" s="228">
        <v>785</v>
      </c>
      <c r="AY200" s="228">
        <v>-306</v>
      </c>
      <c r="AZ200" s="229">
        <v>-0.39040000000000002</v>
      </c>
      <c r="BA200" s="228">
        <v>762</v>
      </c>
      <c r="BB200" s="228">
        <v>869</v>
      </c>
      <c r="BC200" s="228">
        <v>-106</v>
      </c>
      <c r="BD200" s="229">
        <v>-0.12230000000000001</v>
      </c>
      <c r="BE200" s="228">
        <v>41</v>
      </c>
      <c r="BF200" s="228">
        <v>67</v>
      </c>
      <c r="BG200" s="228">
        <v>-26</v>
      </c>
      <c r="BH200" s="229">
        <v>-0.39229999999999998</v>
      </c>
      <c r="BI200" s="230">
        <v>3661</v>
      </c>
      <c r="BJ200" s="230">
        <v>4218</v>
      </c>
      <c r="BK200" s="228">
        <v>-556</v>
      </c>
      <c r="BL200" s="229">
        <v>-0.13189999999999999</v>
      </c>
      <c r="BM200" s="230">
        <v>1185</v>
      </c>
      <c r="BN200" s="230">
        <v>1720</v>
      </c>
      <c r="BO200" s="228">
        <v>-536</v>
      </c>
      <c r="BP200" s="229">
        <v>-0.3115</v>
      </c>
      <c r="BQ200" s="230">
        <v>6128</v>
      </c>
      <c r="BR200" s="230">
        <v>7659</v>
      </c>
      <c r="BS200" s="230">
        <v>-1531</v>
      </c>
      <c r="BT200" s="229">
        <v>-0.19989999999999999</v>
      </c>
      <c r="BU200" s="230">
        <v>21346890</v>
      </c>
      <c r="BV200" s="230">
        <v>10356089</v>
      </c>
      <c r="BW200" s="230">
        <v>10990801</v>
      </c>
      <c r="BX200" s="229">
        <v>1.0612999999999999</v>
      </c>
      <c r="BY200" s="230">
        <v>3063</v>
      </c>
      <c r="BZ200" s="230">
        <v>3479</v>
      </c>
      <c r="CA200" s="228">
        <v>-416</v>
      </c>
      <c r="CB200" s="229">
        <v>-0.1196</v>
      </c>
      <c r="CC200" s="228">
        <v>696</v>
      </c>
      <c r="CD200" s="228">
        <v>652</v>
      </c>
      <c r="CE200" s="228">
        <v>44</v>
      </c>
      <c r="CF200" s="229">
        <v>6.6699999999999995E-2</v>
      </c>
      <c r="CG200" s="230">
        <v>2493</v>
      </c>
      <c r="CH200" s="230">
        <v>2300</v>
      </c>
      <c r="CI200" s="228">
        <v>193</v>
      </c>
      <c r="CJ200" s="229">
        <v>8.3900000000000002E-2</v>
      </c>
      <c r="CK200" s="228">
        <v>570</v>
      </c>
      <c r="CL200" s="228">
        <v>527</v>
      </c>
      <c r="CM200" s="228">
        <v>43</v>
      </c>
      <c r="CN200" s="229">
        <v>8.2400000000000001E-2</v>
      </c>
      <c r="CO200" s="228">
        <v>546</v>
      </c>
      <c r="CP200" s="230">
        <v>1811</v>
      </c>
      <c r="CQ200" s="230">
        <v>-1265</v>
      </c>
      <c r="CR200" s="229">
        <v>-0.69850000000000001</v>
      </c>
      <c r="CS200" s="228">
        <v>427</v>
      </c>
      <c r="CT200" s="230">
        <v>1177</v>
      </c>
      <c r="CU200" s="228">
        <v>-750</v>
      </c>
      <c r="CV200" s="229">
        <v>-0.63719999999999999</v>
      </c>
      <c r="CW200" s="230">
        <v>4036</v>
      </c>
      <c r="CX200" s="230">
        <v>6467</v>
      </c>
      <c r="CY200" s="230">
        <v>-2431</v>
      </c>
      <c r="CZ200" s="229">
        <v>-0.37590000000000001</v>
      </c>
      <c r="DA200" s="228">
        <v>29.18</v>
      </c>
      <c r="DB200" s="228">
        <v>30.12</v>
      </c>
      <c r="DC200" s="228">
        <v>-0.94</v>
      </c>
      <c r="DD200" s="228">
        <v>-0.94</v>
      </c>
      <c r="DE200" s="228">
        <v>38.729999999999997</v>
      </c>
      <c r="DF200" s="228">
        <v>38.590000000000003</v>
      </c>
      <c r="DG200" s="228">
        <v>-9.5500000000000007</v>
      </c>
      <c r="DH200" s="228">
        <v>0.14000000000000001</v>
      </c>
      <c r="DI200" s="228">
        <v>28.6</v>
      </c>
      <c r="DJ200" s="228">
        <v>29.96</v>
      </c>
      <c r="DK200" s="228">
        <v>-1.36</v>
      </c>
      <c r="DL200" s="228">
        <v>-1.36</v>
      </c>
      <c r="DM200" s="228">
        <v>30.64</v>
      </c>
      <c r="DN200" s="228">
        <v>30.61</v>
      </c>
      <c r="DO200" s="228">
        <v>0.03</v>
      </c>
      <c r="DP200" s="228">
        <v>0.03</v>
      </c>
      <c r="DQ200" s="228">
        <v>0.78</v>
      </c>
      <c r="DR200" s="228">
        <v>0.65</v>
      </c>
      <c r="DS200" s="228">
        <v>0.13</v>
      </c>
      <c r="DT200" s="229">
        <v>0.2</v>
      </c>
      <c r="DU200" s="228">
        <v>370</v>
      </c>
      <c r="DV200" s="228">
        <v>360</v>
      </c>
      <c r="DW200" s="228">
        <v>0.32</v>
      </c>
      <c r="DX200" s="228">
        <v>0.41</v>
      </c>
      <c r="DY200" s="228">
        <v>-0.09</v>
      </c>
      <c r="DZ200" s="229">
        <v>-0.2195</v>
      </c>
      <c r="EA200" s="229">
        <v>0.81489999999999996</v>
      </c>
      <c r="EB200" s="230">
        <v>73345600</v>
      </c>
      <c r="EC200" s="229">
        <v>2.0999999999999999E-3</v>
      </c>
      <c r="ED200" s="229">
        <v>0.81489999999999996</v>
      </c>
      <c r="EE200" s="228">
        <v>1.34</v>
      </c>
      <c r="EF200" s="229">
        <v>3.5000000000000001E-3</v>
      </c>
      <c r="EG200" s="230">
        <v>9230948</v>
      </c>
      <c r="EH200" s="230">
        <v>4596650</v>
      </c>
      <c r="EI200" s="229">
        <v>1.0082</v>
      </c>
      <c r="EJ200" s="229">
        <v>0.43240000000000001</v>
      </c>
      <c r="EK200" s="231">
        <v>3740.88</v>
      </c>
      <c r="EL200" s="231">
        <v>1155.8900000000001</v>
      </c>
      <c r="EM200" s="231">
        <v>1310.1300000000001</v>
      </c>
      <c r="EN200" s="228">
        <v>474.68</v>
      </c>
      <c r="EO200" s="231">
        <v>6206.9</v>
      </c>
      <c r="EP200" s="231">
        <v>7520.18</v>
      </c>
      <c r="EQ200" s="231">
        <v>-1313.28</v>
      </c>
      <c r="ER200" s="229">
        <v>-0.17460000000000001</v>
      </c>
      <c r="ES200" s="228">
        <v>543.29</v>
      </c>
      <c r="ET200" s="228">
        <v>403.85</v>
      </c>
      <c r="EU200" s="231">
        <v>3063.8</v>
      </c>
      <c r="EV200" s="231">
        <v>317244234</v>
      </c>
      <c r="EW200" s="231">
        <v>4010.94</v>
      </c>
      <c r="EX200" s="231">
        <v>6183.2</v>
      </c>
      <c r="EY200" s="231">
        <v>-2172.2600000000002</v>
      </c>
      <c r="EZ200" s="229">
        <v>-0.3513</v>
      </c>
      <c r="FA200" s="229">
        <v>0.3301</v>
      </c>
      <c r="FB200" s="227" t="s">
        <v>691</v>
      </c>
      <c r="FC200">
        <f t="shared" si="4"/>
        <v>0</v>
      </c>
    </row>
    <row r="201" spans="1:159" ht="17.25" thickBot="1" x14ac:dyDescent="0.3">
      <c r="A201" s="226">
        <v>46168</v>
      </c>
      <c r="B201" s="227" t="s">
        <v>170</v>
      </c>
      <c r="C201" s="227" t="s">
        <v>298</v>
      </c>
      <c r="D201" s="228">
        <v>125</v>
      </c>
      <c r="E201" s="228">
        <v>0</v>
      </c>
      <c r="F201" s="231">
        <v>4459.7</v>
      </c>
      <c r="G201" s="231">
        <v>4548.3999999999996</v>
      </c>
      <c r="H201" s="228">
        <v>-88.7</v>
      </c>
      <c r="I201" s="229">
        <v>-1.95E-2</v>
      </c>
      <c r="J201" s="231">
        <v>4452.1000000000004</v>
      </c>
      <c r="K201" s="231">
        <v>4572.6000000000004</v>
      </c>
      <c r="L201" s="228">
        <v>-120.5</v>
      </c>
      <c r="M201" s="229">
        <v>-2.64E-2</v>
      </c>
      <c r="N201" s="231">
        <v>4458.6000000000004</v>
      </c>
      <c r="O201" s="231">
        <v>4554.8</v>
      </c>
      <c r="P201" s="228">
        <v>-96.2</v>
      </c>
      <c r="Q201" s="229">
        <v>-2.1100000000000001E-2</v>
      </c>
      <c r="R201" s="231">
        <v>4459.7</v>
      </c>
      <c r="S201" s="231">
        <v>4548.3999999999996</v>
      </c>
      <c r="T201" s="228">
        <v>-88.7</v>
      </c>
      <c r="U201" s="229">
        <v>-1.95E-2</v>
      </c>
      <c r="V201" s="231">
        <v>4466.5</v>
      </c>
      <c r="W201" s="231">
        <v>4555.6000000000004</v>
      </c>
      <c r="X201" s="228">
        <v>-89.1</v>
      </c>
      <c r="Y201" s="229">
        <v>-1.9599999999999999E-2</v>
      </c>
      <c r="Z201" s="228">
        <v>7.6</v>
      </c>
      <c r="AA201" s="228">
        <v>-17.8</v>
      </c>
      <c r="AB201" s="228">
        <v>25.4</v>
      </c>
      <c r="AC201" s="229">
        <v>1.6999999999999999E-3</v>
      </c>
      <c r="AD201" s="228">
        <v>6.5</v>
      </c>
      <c r="AE201" s="228">
        <v>-17.8</v>
      </c>
      <c r="AF201" s="228">
        <v>24.3</v>
      </c>
      <c r="AG201" s="229">
        <v>1.5E-3</v>
      </c>
      <c r="AH201" s="228">
        <v>7.6</v>
      </c>
      <c r="AI201" s="228">
        <v>-24.2</v>
      </c>
      <c r="AJ201" s="228">
        <v>31.8</v>
      </c>
      <c r="AK201" s="229">
        <v>1.6999999999999999E-3</v>
      </c>
      <c r="AL201" s="228">
        <v>14.4</v>
      </c>
      <c r="AM201" s="228">
        <v>-17</v>
      </c>
      <c r="AN201" s="228">
        <v>31.4</v>
      </c>
      <c r="AO201" s="229">
        <v>3.2000000000000002E-3</v>
      </c>
      <c r="AP201" s="231">
        <v>4469.8500000000004</v>
      </c>
      <c r="AQ201" s="231">
        <v>4461.05</v>
      </c>
      <c r="AR201" s="228">
        <v>0</v>
      </c>
      <c r="AS201" s="228">
        <v>428</v>
      </c>
      <c r="AT201" s="230">
        <v>1170</v>
      </c>
      <c r="AU201" s="228">
        <v>-741</v>
      </c>
      <c r="AV201" s="229">
        <v>-0.63400000000000001</v>
      </c>
      <c r="AW201" s="228">
        <v>152</v>
      </c>
      <c r="AX201" s="228">
        <v>507</v>
      </c>
      <c r="AY201" s="228">
        <v>-354</v>
      </c>
      <c r="AZ201" s="229">
        <v>-0.69979999999999998</v>
      </c>
      <c r="BA201" s="228">
        <v>275</v>
      </c>
      <c r="BB201" s="228">
        <v>660</v>
      </c>
      <c r="BC201" s="228">
        <v>-385</v>
      </c>
      <c r="BD201" s="229">
        <v>-0.58320000000000005</v>
      </c>
      <c r="BE201" s="228">
        <v>1</v>
      </c>
      <c r="BF201" s="228">
        <v>3</v>
      </c>
      <c r="BG201" s="228">
        <v>-2</v>
      </c>
      <c r="BH201" s="229">
        <v>-0.6774</v>
      </c>
      <c r="BI201" s="228">
        <v>926</v>
      </c>
      <c r="BJ201" s="230">
        <v>7397</v>
      </c>
      <c r="BK201" s="230">
        <v>-6471</v>
      </c>
      <c r="BL201" s="229">
        <v>-0.87480000000000002</v>
      </c>
      <c r="BM201" s="228">
        <v>817</v>
      </c>
      <c r="BN201" s="230">
        <v>3124</v>
      </c>
      <c r="BO201" s="230">
        <v>-2306</v>
      </c>
      <c r="BP201" s="229">
        <v>-0.73829999999999996</v>
      </c>
      <c r="BQ201" s="230">
        <v>2172</v>
      </c>
      <c r="BR201" s="230">
        <v>11690</v>
      </c>
      <c r="BS201" s="230">
        <v>-9519</v>
      </c>
      <c r="BT201" s="229">
        <v>-0.81420000000000003</v>
      </c>
      <c r="BU201" s="230">
        <v>523057</v>
      </c>
      <c r="BV201" s="230">
        <v>1052235</v>
      </c>
      <c r="BW201" s="230">
        <v>-529178</v>
      </c>
      <c r="BX201" s="229">
        <v>-0.50290000000000001</v>
      </c>
      <c r="BY201" s="230">
        <v>1442</v>
      </c>
      <c r="BZ201" s="230">
        <v>1481</v>
      </c>
      <c r="CA201" s="228">
        <v>-39</v>
      </c>
      <c r="CB201" s="229">
        <v>-2.6100000000000002E-2</v>
      </c>
      <c r="CC201" s="228">
        <v>27</v>
      </c>
      <c r="CD201" s="228">
        <v>111</v>
      </c>
      <c r="CE201" s="228">
        <v>-84</v>
      </c>
      <c r="CF201" s="229">
        <v>-0.75990000000000002</v>
      </c>
      <c r="CG201" s="230">
        <v>1439</v>
      </c>
      <c r="CH201" s="230">
        <v>1368</v>
      </c>
      <c r="CI201" s="228">
        <v>72</v>
      </c>
      <c r="CJ201" s="229">
        <v>5.2400000000000002E-2</v>
      </c>
      <c r="CK201" s="228">
        <v>3</v>
      </c>
      <c r="CL201" s="228">
        <v>3</v>
      </c>
      <c r="CM201" s="228">
        <v>1</v>
      </c>
      <c r="CN201" s="229">
        <v>0.22220000000000001</v>
      </c>
      <c r="CO201" s="228">
        <v>232</v>
      </c>
      <c r="CP201" s="228">
        <v>410</v>
      </c>
      <c r="CQ201" s="228">
        <v>-178</v>
      </c>
      <c r="CR201" s="229">
        <v>-0.43390000000000001</v>
      </c>
      <c r="CS201" s="228">
        <v>123</v>
      </c>
      <c r="CT201" s="228">
        <v>313</v>
      </c>
      <c r="CU201" s="228">
        <v>-190</v>
      </c>
      <c r="CV201" s="229">
        <v>-0.60829999999999995</v>
      </c>
      <c r="CW201" s="230">
        <v>1797</v>
      </c>
      <c r="CX201" s="230">
        <v>2204</v>
      </c>
      <c r="CY201" s="228">
        <v>-407</v>
      </c>
      <c r="CZ201" s="229">
        <v>-0.1847</v>
      </c>
      <c r="DA201" s="228">
        <v>24.59</v>
      </c>
      <c r="DB201" s="228">
        <v>26.83</v>
      </c>
      <c r="DC201" s="228">
        <v>-2.2400000000000002</v>
      </c>
      <c r="DD201" s="228">
        <v>-2.2400000000000002</v>
      </c>
      <c r="DE201" s="228">
        <v>26.09</v>
      </c>
      <c r="DF201" s="228">
        <v>25.91</v>
      </c>
      <c r="DG201" s="228">
        <v>-1.5</v>
      </c>
      <c r="DH201" s="228">
        <v>0.18</v>
      </c>
      <c r="DI201" s="228">
        <v>25.11</v>
      </c>
      <c r="DJ201" s="228">
        <v>27.04</v>
      </c>
      <c r="DK201" s="228">
        <v>-1.93</v>
      </c>
      <c r="DL201" s="228">
        <v>-1.93</v>
      </c>
      <c r="DM201" s="228">
        <v>23.68</v>
      </c>
      <c r="DN201" s="228">
        <v>26.13</v>
      </c>
      <c r="DO201" s="228">
        <v>-2.4500000000000002</v>
      </c>
      <c r="DP201" s="228">
        <v>-2.4500000000000002</v>
      </c>
      <c r="DQ201" s="228">
        <v>0.53</v>
      </c>
      <c r="DR201" s="228">
        <v>0.76</v>
      </c>
      <c r="DS201" s="228">
        <v>-0.23</v>
      </c>
      <c r="DT201" s="229">
        <v>-0.30259999999999998</v>
      </c>
      <c r="DU201" s="231">
        <v>4700</v>
      </c>
      <c r="DV201" s="231">
        <v>4500</v>
      </c>
      <c r="DW201" s="228">
        <v>0.88</v>
      </c>
      <c r="DX201" s="228">
        <v>0.42</v>
      </c>
      <c r="DY201" s="228">
        <v>0.46</v>
      </c>
      <c r="DZ201" s="229">
        <v>1.0952</v>
      </c>
      <c r="EA201" s="229">
        <v>0.9819</v>
      </c>
      <c r="EB201" s="230">
        <v>3072000</v>
      </c>
      <c r="EC201" s="229">
        <v>2.0000000000000001E-4</v>
      </c>
      <c r="ED201" s="229">
        <v>0.9819</v>
      </c>
      <c r="EE201" s="228">
        <v>-8.8000000000000007</v>
      </c>
      <c r="EF201" s="229">
        <v>-2E-3</v>
      </c>
      <c r="EG201" s="230">
        <v>241008</v>
      </c>
      <c r="EH201" s="230">
        <v>282375</v>
      </c>
      <c r="EI201" s="229">
        <v>-0.14649999999999999</v>
      </c>
      <c r="EJ201" s="229">
        <v>0.46079999999999999</v>
      </c>
      <c r="EK201" s="228">
        <v>972.67</v>
      </c>
      <c r="EL201" s="228">
        <v>815.07</v>
      </c>
      <c r="EM201" s="228">
        <v>428.56</v>
      </c>
      <c r="EN201" s="228">
        <v>155.37</v>
      </c>
      <c r="EO201" s="231">
        <v>2216.31</v>
      </c>
      <c r="EP201" s="231">
        <v>12236.34</v>
      </c>
      <c r="EQ201" s="231">
        <v>-10020.040000000001</v>
      </c>
      <c r="ER201" s="229">
        <v>-0.81889999999999996</v>
      </c>
      <c r="ES201" s="228">
        <v>244.34</v>
      </c>
      <c r="ET201" s="228">
        <v>119.87</v>
      </c>
      <c r="EU201" s="231">
        <v>1442.22</v>
      </c>
      <c r="EV201" s="231">
        <v>10726004</v>
      </c>
      <c r="EW201" s="231">
        <v>1806.43</v>
      </c>
      <c r="EX201" s="231">
        <v>2246.37</v>
      </c>
      <c r="EY201" s="228">
        <v>-439.94</v>
      </c>
      <c r="EZ201" s="229">
        <v>-0.1958</v>
      </c>
      <c r="FA201" s="229">
        <v>0.37569999999999998</v>
      </c>
      <c r="FB201" s="227" t="s">
        <v>567</v>
      </c>
      <c r="FC201">
        <f t="shared" si="4"/>
        <v>0</v>
      </c>
    </row>
    <row r="202" spans="1:159" ht="17.25" thickBot="1" x14ac:dyDescent="0.3">
      <c r="A202" s="226">
        <v>46168</v>
      </c>
      <c r="B202" s="227" t="s">
        <v>197</v>
      </c>
      <c r="C202" s="227" t="s">
        <v>482</v>
      </c>
      <c r="D202" s="228">
        <v>100</v>
      </c>
      <c r="E202" s="228">
        <v>0</v>
      </c>
      <c r="F202" s="231">
        <v>4228.3999999999996</v>
      </c>
      <c r="G202" s="231">
        <v>4266.5</v>
      </c>
      <c r="H202" s="228">
        <v>-38.1</v>
      </c>
      <c r="I202" s="229">
        <v>-8.8999999999999999E-3</v>
      </c>
      <c r="J202" s="231">
        <v>4239.6000000000004</v>
      </c>
      <c r="K202" s="231">
        <v>4300</v>
      </c>
      <c r="L202" s="228">
        <v>-60.4</v>
      </c>
      <c r="M202" s="229">
        <v>-1.4E-2</v>
      </c>
      <c r="N202" s="231">
        <v>4237.8999999999996</v>
      </c>
      <c r="O202" s="231">
        <v>4303.8</v>
      </c>
      <c r="P202" s="228">
        <v>-65.900000000000006</v>
      </c>
      <c r="Q202" s="229">
        <v>-1.5299999999999999E-2</v>
      </c>
      <c r="R202" s="231">
        <v>4228.3999999999996</v>
      </c>
      <c r="S202" s="231">
        <v>4266.5</v>
      </c>
      <c r="T202" s="228">
        <v>-38.1</v>
      </c>
      <c r="U202" s="229">
        <v>-8.8999999999999999E-3</v>
      </c>
      <c r="V202" s="231">
        <v>4224.7</v>
      </c>
      <c r="W202" s="231">
        <v>4259.6000000000004</v>
      </c>
      <c r="X202" s="228">
        <v>-34.9</v>
      </c>
      <c r="Y202" s="229">
        <v>-8.2000000000000007E-3</v>
      </c>
      <c r="Z202" s="228">
        <v>-11.2</v>
      </c>
      <c r="AA202" s="228">
        <v>3.8</v>
      </c>
      <c r="AB202" s="228">
        <v>-15</v>
      </c>
      <c r="AC202" s="229">
        <v>-2.5999999999999999E-3</v>
      </c>
      <c r="AD202" s="228">
        <v>-1.7</v>
      </c>
      <c r="AE202" s="228">
        <v>3.8</v>
      </c>
      <c r="AF202" s="228">
        <v>-5.5</v>
      </c>
      <c r="AG202" s="229">
        <v>-4.0000000000000002E-4</v>
      </c>
      <c r="AH202" s="228">
        <v>-11.2</v>
      </c>
      <c r="AI202" s="228">
        <v>-33.5</v>
      </c>
      <c r="AJ202" s="228">
        <v>22.3</v>
      </c>
      <c r="AK202" s="229">
        <v>-2.5999999999999999E-3</v>
      </c>
      <c r="AL202" s="228">
        <v>-14.9</v>
      </c>
      <c r="AM202" s="228">
        <v>-40.4</v>
      </c>
      <c r="AN202" s="228">
        <v>25.5</v>
      </c>
      <c r="AO202" s="229">
        <v>-3.5000000000000001E-3</v>
      </c>
      <c r="AP202" s="231">
        <v>4273.6499999999996</v>
      </c>
      <c r="AQ202" s="231">
        <v>4239.6400000000003</v>
      </c>
      <c r="AR202" s="228">
        <v>0</v>
      </c>
      <c r="AS202" s="228">
        <v>718</v>
      </c>
      <c r="AT202" s="230">
        <v>1301</v>
      </c>
      <c r="AU202" s="228">
        <v>-582</v>
      </c>
      <c r="AV202" s="229">
        <v>-0.44769999999999999</v>
      </c>
      <c r="AW202" s="228">
        <v>300</v>
      </c>
      <c r="AX202" s="228">
        <v>639</v>
      </c>
      <c r="AY202" s="228">
        <v>-340</v>
      </c>
      <c r="AZ202" s="229">
        <v>-0.53129999999999999</v>
      </c>
      <c r="BA202" s="228">
        <v>398</v>
      </c>
      <c r="BB202" s="228">
        <v>644</v>
      </c>
      <c r="BC202" s="228">
        <v>-246</v>
      </c>
      <c r="BD202" s="229">
        <v>-0.38250000000000001</v>
      </c>
      <c r="BE202" s="228">
        <v>21</v>
      </c>
      <c r="BF202" s="228">
        <v>17</v>
      </c>
      <c r="BG202" s="228">
        <v>4</v>
      </c>
      <c r="BH202" s="229">
        <v>0.2157</v>
      </c>
      <c r="BI202" s="230">
        <v>1473</v>
      </c>
      <c r="BJ202" s="230">
        <v>2909</v>
      </c>
      <c r="BK202" s="230">
        <v>-1436</v>
      </c>
      <c r="BL202" s="229">
        <v>-0.49359999999999998</v>
      </c>
      <c r="BM202" s="228">
        <v>761</v>
      </c>
      <c r="BN202" s="230">
        <v>1153</v>
      </c>
      <c r="BO202" s="228">
        <v>-392</v>
      </c>
      <c r="BP202" s="229">
        <v>-0.33989999999999998</v>
      </c>
      <c r="BQ202" s="230">
        <v>2953</v>
      </c>
      <c r="BR202" s="230">
        <v>5362</v>
      </c>
      <c r="BS202" s="230">
        <v>-2410</v>
      </c>
      <c r="BT202" s="229">
        <v>-0.44940000000000002</v>
      </c>
      <c r="BU202" s="230">
        <v>580074</v>
      </c>
      <c r="BV202" s="230">
        <v>618704</v>
      </c>
      <c r="BW202" s="230">
        <v>-38630</v>
      </c>
      <c r="BX202" s="229">
        <v>-6.2399999999999997E-2</v>
      </c>
      <c r="BY202" s="230">
        <v>2639</v>
      </c>
      <c r="BZ202" s="230">
        <v>2969</v>
      </c>
      <c r="CA202" s="228">
        <v>-330</v>
      </c>
      <c r="CB202" s="229">
        <v>-0.1111</v>
      </c>
      <c r="CC202" s="228">
        <v>192</v>
      </c>
      <c r="CD202" s="228">
        <v>369</v>
      </c>
      <c r="CE202" s="228">
        <v>-177</v>
      </c>
      <c r="CF202" s="229">
        <v>-0.48039999999999999</v>
      </c>
      <c r="CG202" s="230">
        <v>2576</v>
      </c>
      <c r="CH202" s="230">
        <v>2553</v>
      </c>
      <c r="CI202" s="228">
        <v>23</v>
      </c>
      <c r="CJ202" s="229">
        <v>8.8999999999999999E-3</v>
      </c>
      <c r="CK202" s="228">
        <v>63</v>
      </c>
      <c r="CL202" s="228">
        <v>46</v>
      </c>
      <c r="CM202" s="228">
        <v>17</v>
      </c>
      <c r="CN202" s="229">
        <v>0.3594</v>
      </c>
      <c r="CO202" s="228">
        <v>422</v>
      </c>
      <c r="CP202" s="230">
        <v>1260</v>
      </c>
      <c r="CQ202" s="228">
        <v>-838</v>
      </c>
      <c r="CR202" s="229">
        <v>-0.66479999999999995</v>
      </c>
      <c r="CS202" s="228">
        <v>268</v>
      </c>
      <c r="CT202" s="228">
        <v>654</v>
      </c>
      <c r="CU202" s="228">
        <v>-386</v>
      </c>
      <c r="CV202" s="229">
        <v>-0.59050000000000002</v>
      </c>
      <c r="CW202" s="230">
        <v>3329</v>
      </c>
      <c r="CX202" s="230">
        <v>4883</v>
      </c>
      <c r="CY202" s="230">
        <v>-1554</v>
      </c>
      <c r="CZ202" s="229">
        <v>-0.31830000000000003</v>
      </c>
      <c r="DA202" s="228">
        <v>29.06</v>
      </c>
      <c r="DB202" s="228">
        <v>29.77</v>
      </c>
      <c r="DC202" s="228">
        <v>-0.71</v>
      </c>
      <c r="DD202" s="228">
        <v>-0.71</v>
      </c>
      <c r="DE202" s="228">
        <v>43.39</v>
      </c>
      <c r="DF202" s="228">
        <v>43.48</v>
      </c>
      <c r="DG202" s="228">
        <v>-14.33</v>
      </c>
      <c r="DH202" s="228">
        <v>-0.09</v>
      </c>
      <c r="DI202" s="228">
        <v>29.24</v>
      </c>
      <c r="DJ202" s="228">
        <v>29.73</v>
      </c>
      <c r="DK202" s="228">
        <v>-0.49</v>
      </c>
      <c r="DL202" s="228">
        <v>-0.49</v>
      </c>
      <c r="DM202" s="228">
        <v>28.71</v>
      </c>
      <c r="DN202" s="228">
        <v>29.92</v>
      </c>
      <c r="DO202" s="228">
        <v>-1.21</v>
      </c>
      <c r="DP202" s="228">
        <v>-1.21</v>
      </c>
      <c r="DQ202" s="228">
        <v>0.63</v>
      </c>
      <c r="DR202" s="228">
        <v>0.52</v>
      </c>
      <c r="DS202" s="228">
        <v>0.11</v>
      </c>
      <c r="DT202" s="229">
        <v>0.21149999999999999</v>
      </c>
      <c r="DU202" s="231">
        <v>4500</v>
      </c>
      <c r="DV202" s="231">
        <v>4200</v>
      </c>
      <c r="DW202" s="228">
        <v>0.52</v>
      </c>
      <c r="DX202" s="228">
        <v>0.4</v>
      </c>
      <c r="DY202" s="228">
        <v>0.12</v>
      </c>
      <c r="DZ202" s="229">
        <v>0.3</v>
      </c>
      <c r="EA202" s="229">
        <v>0.93220000000000003</v>
      </c>
      <c r="EB202" s="230">
        <v>6147250</v>
      </c>
      <c r="EC202" s="229">
        <v>-2.2000000000000001E-3</v>
      </c>
      <c r="ED202" s="229">
        <v>0.93220000000000003</v>
      </c>
      <c r="EE202" s="228">
        <v>-34.01</v>
      </c>
      <c r="EF202" s="229">
        <v>-8.0000000000000002E-3</v>
      </c>
      <c r="EG202" s="230">
        <v>196800</v>
      </c>
      <c r="EH202" s="230">
        <v>248509</v>
      </c>
      <c r="EI202" s="229">
        <v>-0.20810000000000001</v>
      </c>
      <c r="EJ202" s="229">
        <v>0.33929999999999999</v>
      </c>
      <c r="EK202" s="231">
        <v>1553.12</v>
      </c>
      <c r="EL202" s="228">
        <v>760.4</v>
      </c>
      <c r="EM202" s="228">
        <v>733.09</v>
      </c>
      <c r="EN202" s="228">
        <v>338.12</v>
      </c>
      <c r="EO202" s="231">
        <v>3046.6</v>
      </c>
      <c r="EP202" s="231">
        <v>5564.25</v>
      </c>
      <c r="EQ202" s="231">
        <v>-2517.64</v>
      </c>
      <c r="ER202" s="229">
        <v>-0.45250000000000001</v>
      </c>
      <c r="ES202" s="228">
        <v>437.98</v>
      </c>
      <c r="ET202" s="228">
        <v>263.74</v>
      </c>
      <c r="EU202" s="231">
        <v>2638.57</v>
      </c>
      <c r="EV202" s="231">
        <v>33590487</v>
      </c>
      <c r="EW202" s="231">
        <v>3340.29</v>
      </c>
      <c r="EX202" s="231">
        <v>4942.93</v>
      </c>
      <c r="EY202" s="231">
        <v>-1602.64</v>
      </c>
      <c r="EZ202" s="229">
        <v>-0.32419999999999999</v>
      </c>
      <c r="FA202" s="229">
        <v>0.2344</v>
      </c>
      <c r="FB202" s="227" t="s">
        <v>567</v>
      </c>
      <c r="FC202">
        <f t="shared" si="4"/>
        <v>0</v>
      </c>
    </row>
    <row r="203" spans="1:159" ht="17.25" thickBot="1" x14ac:dyDescent="0.3">
      <c r="A203" s="226">
        <v>46168</v>
      </c>
      <c r="B203" s="227" t="s">
        <v>162</v>
      </c>
      <c r="C203" s="227" t="s">
        <v>300</v>
      </c>
      <c r="D203" s="228">
        <v>175</v>
      </c>
      <c r="E203" s="228">
        <v>0</v>
      </c>
      <c r="F203" s="231">
        <v>3470.1</v>
      </c>
      <c r="G203" s="231">
        <v>3498</v>
      </c>
      <c r="H203" s="228">
        <v>-27.9</v>
      </c>
      <c r="I203" s="229">
        <v>-8.0000000000000002E-3</v>
      </c>
      <c r="J203" s="231">
        <v>3454.9</v>
      </c>
      <c r="K203" s="231">
        <v>3469.5</v>
      </c>
      <c r="L203" s="228">
        <v>-14.6</v>
      </c>
      <c r="M203" s="229">
        <v>-4.1999999999999997E-3</v>
      </c>
      <c r="N203" s="231">
        <v>3446.8</v>
      </c>
      <c r="O203" s="231">
        <v>3477.5</v>
      </c>
      <c r="P203" s="228">
        <v>-30.7</v>
      </c>
      <c r="Q203" s="229">
        <v>-8.8000000000000005E-3</v>
      </c>
      <c r="R203" s="231">
        <v>3470.1</v>
      </c>
      <c r="S203" s="231">
        <v>3498</v>
      </c>
      <c r="T203" s="228">
        <v>-27.9</v>
      </c>
      <c r="U203" s="229">
        <v>-8.0000000000000002E-3</v>
      </c>
      <c r="V203" s="231">
        <v>3489.2</v>
      </c>
      <c r="W203" s="231">
        <v>3519.4</v>
      </c>
      <c r="X203" s="228">
        <v>-30.2</v>
      </c>
      <c r="Y203" s="229">
        <v>-8.6E-3</v>
      </c>
      <c r="Z203" s="228">
        <v>15.2</v>
      </c>
      <c r="AA203" s="228">
        <v>8</v>
      </c>
      <c r="AB203" s="228">
        <v>7.2</v>
      </c>
      <c r="AC203" s="229">
        <v>4.4000000000000003E-3</v>
      </c>
      <c r="AD203" s="228">
        <v>-8.1</v>
      </c>
      <c r="AE203" s="228">
        <v>8</v>
      </c>
      <c r="AF203" s="228">
        <v>-16.100000000000001</v>
      </c>
      <c r="AG203" s="229">
        <v>-2.3E-3</v>
      </c>
      <c r="AH203" s="228">
        <v>15.2</v>
      </c>
      <c r="AI203" s="228">
        <v>28.5</v>
      </c>
      <c r="AJ203" s="228">
        <v>-13.3</v>
      </c>
      <c r="AK203" s="229">
        <v>4.4000000000000003E-3</v>
      </c>
      <c r="AL203" s="228">
        <v>34.299999999999997</v>
      </c>
      <c r="AM203" s="228">
        <v>49.9</v>
      </c>
      <c r="AN203" s="228">
        <v>-15.6</v>
      </c>
      <c r="AO203" s="229">
        <v>9.9000000000000008E-3</v>
      </c>
      <c r="AP203" s="231">
        <v>3450.07</v>
      </c>
      <c r="AQ203" s="231">
        <v>3470.83</v>
      </c>
      <c r="AR203" s="228">
        <v>0</v>
      </c>
      <c r="AS203" s="228">
        <v>749</v>
      </c>
      <c r="AT203" s="230">
        <v>2649</v>
      </c>
      <c r="AU203" s="230">
        <v>-1901</v>
      </c>
      <c r="AV203" s="229">
        <v>-0.71740000000000004</v>
      </c>
      <c r="AW203" s="228">
        <v>305</v>
      </c>
      <c r="AX203" s="230">
        <v>1230</v>
      </c>
      <c r="AY203" s="228">
        <v>-925</v>
      </c>
      <c r="AZ203" s="229">
        <v>-0.75190000000000001</v>
      </c>
      <c r="BA203" s="228">
        <v>435</v>
      </c>
      <c r="BB203" s="230">
        <v>1412</v>
      </c>
      <c r="BC203" s="228">
        <v>-977</v>
      </c>
      <c r="BD203" s="229">
        <v>-0.69199999999999995</v>
      </c>
      <c r="BE203" s="228">
        <v>9</v>
      </c>
      <c r="BF203" s="228">
        <v>7</v>
      </c>
      <c r="BG203" s="228">
        <v>1</v>
      </c>
      <c r="BH203" s="229">
        <v>0.1966</v>
      </c>
      <c r="BI203" s="228">
        <v>761</v>
      </c>
      <c r="BJ203" s="230">
        <v>1818</v>
      </c>
      <c r="BK203" s="230">
        <v>-1057</v>
      </c>
      <c r="BL203" s="229">
        <v>-0.58130000000000004</v>
      </c>
      <c r="BM203" s="228">
        <v>745</v>
      </c>
      <c r="BN203" s="228">
        <v>776</v>
      </c>
      <c r="BO203" s="228">
        <v>-31</v>
      </c>
      <c r="BP203" s="229">
        <v>-3.9800000000000002E-2</v>
      </c>
      <c r="BQ203" s="230">
        <v>2255</v>
      </c>
      <c r="BR203" s="230">
        <v>5243</v>
      </c>
      <c r="BS203" s="230">
        <v>-2988</v>
      </c>
      <c r="BT203" s="229">
        <v>-0.56989999999999996</v>
      </c>
      <c r="BU203" s="230">
        <v>748897</v>
      </c>
      <c r="BV203" s="230">
        <v>1106127</v>
      </c>
      <c r="BW203" s="230">
        <v>-357230</v>
      </c>
      <c r="BX203" s="229">
        <v>-0.32300000000000001</v>
      </c>
      <c r="BY203" s="230">
        <v>3308</v>
      </c>
      <c r="BZ203" s="230">
        <v>3487</v>
      </c>
      <c r="CA203" s="228">
        <v>-179</v>
      </c>
      <c r="CB203" s="229">
        <v>-5.1299999999999998E-2</v>
      </c>
      <c r="CC203" s="228">
        <v>195</v>
      </c>
      <c r="CD203" s="228">
        <v>431</v>
      </c>
      <c r="CE203" s="228">
        <v>-236</v>
      </c>
      <c r="CF203" s="229">
        <v>-0.54810000000000003</v>
      </c>
      <c r="CG203" s="230">
        <v>3157</v>
      </c>
      <c r="CH203" s="230">
        <v>2910</v>
      </c>
      <c r="CI203" s="228">
        <v>248</v>
      </c>
      <c r="CJ203" s="229">
        <v>8.5099999999999995E-2</v>
      </c>
      <c r="CK203" s="228">
        <v>150</v>
      </c>
      <c r="CL203" s="228">
        <v>146</v>
      </c>
      <c r="CM203" s="228">
        <v>5</v>
      </c>
      <c r="CN203" s="229">
        <v>3.1699999999999999E-2</v>
      </c>
      <c r="CO203" s="228">
        <v>214</v>
      </c>
      <c r="CP203" s="228">
        <v>841</v>
      </c>
      <c r="CQ203" s="228">
        <v>-627</v>
      </c>
      <c r="CR203" s="229">
        <v>-0.74539999999999995</v>
      </c>
      <c r="CS203" s="228">
        <v>223</v>
      </c>
      <c r="CT203" s="228">
        <v>609</v>
      </c>
      <c r="CU203" s="228">
        <v>-386</v>
      </c>
      <c r="CV203" s="229">
        <v>-0.63390000000000002</v>
      </c>
      <c r="CW203" s="230">
        <v>3745</v>
      </c>
      <c r="CX203" s="230">
        <v>4936</v>
      </c>
      <c r="CY203" s="230">
        <v>-1191</v>
      </c>
      <c r="CZ203" s="229">
        <v>-0.2414</v>
      </c>
      <c r="DA203" s="228">
        <v>26.45</v>
      </c>
      <c r="DB203" s="228">
        <v>27.36</v>
      </c>
      <c r="DC203" s="228">
        <v>-0.91</v>
      </c>
      <c r="DD203" s="228">
        <v>-0.91</v>
      </c>
      <c r="DE203" s="228">
        <v>34</v>
      </c>
      <c r="DF203" s="228">
        <v>34.08</v>
      </c>
      <c r="DG203" s="228">
        <v>-7.55</v>
      </c>
      <c r="DH203" s="228">
        <v>-0.08</v>
      </c>
      <c r="DI203" s="228">
        <v>26.46</v>
      </c>
      <c r="DJ203" s="228">
        <v>27.21</v>
      </c>
      <c r="DK203" s="228">
        <v>-0.75</v>
      </c>
      <c r="DL203" s="228">
        <v>-0.75</v>
      </c>
      <c r="DM203" s="228">
        <v>26.43</v>
      </c>
      <c r="DN203" s="228">
        <v>27.71</v>
      </c>
      <c r="DO203" s="228">
        <v>-1.28</v>
      </c>
      <c r="DP203" s="228">
        <v>-1.28</v>
      </c>
      <c r="DQ203" s="228">
        <v>1.04</v>
      </c>
      <c r="DR203" s="228">
        <v>0.72</v>
      </c>
      <c r="DS203" s="228">
        <v>0.32</v>
      </c>
      <c r="DT203" s="229">
        <v>0.44440000000000002</v>
      </c>
      <c r="DU203" s="231">
        <v>3600</v>
      </c>
      <c r="DV203" s="231">
        <v>3500</v>
      </c>
      <c r="DW203" s="228">
        <v>0.98</v>
      </c>
      <c r="DX203" s="228">
        <v>0.43</v>
      </c>
      <c r="DY203" s="228">
        <v>0.55000000000000004</v>
      </c>
      <c r="DZ203" s="229">
        <v>1.2790999999999999</v>
      </c>
      <c r="EA203" s="229">
        <v>0.94440000000000002</v>
      </c>
      <c r="EB203" s="230">
        <v>8804775</v>
      </c>
      <c r="EC203" s="229">
        <v>6.7999999999999996E-3</v>
      </c>
      <c r="ED203" s="229">
        <v>0.94440000000000002</v>
      </c>
      <c r="EE203" s="228">
        <v>20.76</v>
      </c>
      <c r="EF203" s="229">
        <v>6.0000000000000001E-3</v>
      </c>
      <c r="EG203" s="230">
        <v>448108</v>
      </c>
      <c r="EH203" s="230">
        <v>658531</v>
      </c>
      <c r="EI203" s="229">
        <v>-0.31950000000000001</v>
      </c>
      <c r="EJ203" s="229">
        <v>0.59840000000000004</v>
      </c>
      <c r="EK203" s="228">
        <v>789.01</v>
      </c>
      <c r="EL203" s="228">
        <v>736.21</v>
      </c>
      <c r="EM203" s="228">
        <v>747.08</v>
      </c>
      <c r="EN203" s="228">
        <v>249.71</v>
      </c>
      <c r="EO203" s="231">
        <v>2272.29</v>
      </c>
      <c r="EP203" s="231">
        <v>5284.58</v>
      </c>
      <c r="EQ203" s="231">
        <v>-3012.29</v>
      </c>
      <c r="ER203" s="229">
        <v>-0.56999999999999995</v>
      </c>
      <c r="ES203" s="228">
        <v>219.84</v>
      </c>
      <c r="ET203" s="228">
        <v>220.42</v>
      </c>
      <c r="EU203" s="231">
        <v>3308.49</v>
      </c>
      <c r="EV203" s="231">
        <v>32253708</v>
      </c>
      <c r="EW203" s="231">
        <v>3748.75</v>
      </c>
      <c r="EX203" s="231">
        <v>4984.2299999999996</v>
      </c>
      <c r="EY203" s="231">
        <v>-1235.48</v>
      </c>
      <c r="EZ203" s="229">
        <v>-0.24790000000000001</v>
      </c>
      <c r="FA203" s="229">
        <v>0.33460000000000001</v>
      </c>
      <c r="FB203" s="227" t="s">
        <v>567</v>
      </c>
      <c r="FC203">
        <f t="shared" si="4"/>
        <v>0</v>
      </c>
    </row>
    <row r="204" spans="1:159" ht="17.25" thickBot="1" x14ac:dyDescent="0.3">
      <c r="A204" s="226">
        <v>46168</v>
      </c>
      <c r="B204" s="227" t="s">
        <v>157</v>
      </c>
      <c r="C204" s="227" t="s">
        <v>302</v>
      </c>
      <c r="D204" s="228">
        <v>50</v>
      </c>
      <c r="E204" s="228">
        <v>0</v>
      </c>
      <c r="F204" s="231">
        <v>11700</v>
      </c>
      <c r="G204" s="231">
        <v>11815</v>
      </c>
      <c r="H204" s="228">
        <v>-115</v>
      </c>
      <c r="I204" s="229">
        <v>-9.7000000000000003E-3</v>
      </c>
      <c r="J204" s="231">
        <v>11623</v>
      </c>
      <c r="K204" s="231">
        <v>11726</v>
      </c>
      <c r="L204" s="228">
        <v>-103</v>
      </c>
      <c r="M204" s="229">
        <v>-8.8000000000000005E-3</v>
      </c>
      <c r="N204" s="231">
        <v>11624</v>
      </c>
      <c r="O204" s="231">
        <v>11747</v>
      </c>
      <c r="P204" s="228">
        <v>-123</v>
      </c>
      <c r="Q204" s="229">
        <v>-1.0500000000000001E-2</v>
      </c>
      <c r="R204" s="231">
        <v>11700</v>
      </c>
      <c r="S204" s="231">
        <v>11815</v>
      </c>
      <c r="T204" s="228">
        <v>-115</v>
      </c>
      <c r="U204" s="229">
        <v>-9.7000000000000003E-3</v>
      </c>
      <c r="V204" s="231">
        <v>11778</v>
      </c>
      <c r="W204" s="231">
        <v>11855</v>
      </c>
      <c r="X204" s="228">
        <v>-77</v>
      </c>
      <c r="Y204" s="229">
        <v>-6.4999999999999997E-3</v>
      </c>
      <c r="Z204" s="228">
        <v>77</v>
      </c>
      <c r="AA204" s="228">
        <v>21</v>
      </c>
      <c r="AB204" s="228">
        <v>56</v>
      </c>
      <c r="AC204" s="229">
        <v>6.6E-3</v>
      </c>
      <c r="AD204" s="228">
        <v>1</v>
      </c>
      <c r="AE204" s="228">
        <v>21</v>
      </c>
      <c r="AF204" s="228">
        <v>-20</v>
      </c>
      <c r="AG204" s="229">
        <v>1E-4</v>
      </c>
      <c r="AH204" s="228">
        <v>77</v>
      </c>
      <c r="AI204" s="228">
        <v>89</v>
      </c>
      <c r="AJ204" s="228">
        <v>-12</v>
      </c>
      <c r="AK204" s="229">
        <v>6.6E-3</v>
      </c>
      <c r="AL204" s="228">
        <v>155</v>
      </c>
      <c r="AM204" s="228">
        <v>129</v>
      </c>
      <c r="AN204" s="228">
        <v>26</v>
      </c>
      <c r="AO204" s="229">
        <v>1.3299999999999999E-2</v>
      </c>
      <c r="AP204" s="231">
        <v>11667.42</v>
      </c>
      <c r="AQ204" s="231">
        <v>11740.52</v>
      </c>
      <c r="AR204" s="228">
        <v>0</v>
      </c>
      <c r="AS204" s="228">
        <v>702</v>
      </c>
      <c r="AT204" s="230">
        <v>1380</v>
      </c>
      <c r="AU204" s="228">
        <v>-678</v>
      </c>
      <c r="AV204" s="229">
        <v>-0.4914</v>
      </c>
      <c r="AW204" s="228">
        <v>262</v>
      </c>
      <c r="AX204" s="228">
        <v>625</v>
      </c>
      <c r="AY204" s="228">
        <v>-363</v>
      </c>
      <c r="AZ204" s="229">
        <v>-0.58140000000000003</v>
      </c>
      <c r="BA204" s="228">
        <v>437</v>
      </c>
      <c r="BB204" s="228">
        <v>750</v>
      </c>
      <c r="BC204" s="228">
        <v>-313</v>
      </c>
      <c r="BD204" s="229">
        <v>-0.41749999999999998</v>
      </c>
      <c r="BE204" s="228">
        <v>4</v>
      </c>
      <c r="BF204" s="228">
        <v>5</v>
      </c>
      <c r="BG204" s="228">
        <v>-2</v>
      </c>
      <c r="BH204" s="229">
        <v>-0.33329999999999999</v>
      </c>
      <c r="BI204" s="228">
        <v>790</v>
      </c>
      <c r="BJ204" s="230">
        <v>1408</v>
      </c>
      <c r="BK204" s="228">
        <v>-618</v>
      </c>
      <c r="BL204" s="229">
        <v>-0.43890000000000001</v>
      </c>
      <c r="BM204" s="228">
        <v>347</v>
      </c>
      <c r="BN204" s="228">
        <v>567</v>
      </c>
      <c r="BO204" s="228">
        <v>-220</v>
      </c>
      <c r="BP204" s="229">
        <v>-0.3876</v>
      </c>
      <c r="BQ204" s="230">
        <v>1839</v>
      </c>
      <c r="BR204" s="230">
        <v>3355</v>
      </c>
      <c r="BS204" s="230">
        <v>-1516</v>
      </c>
      <c r="BT204" s="229">
        <v>-0.45179999999999998</v>
      </c>
      <c r="BU204" s="230">
        <v>224249</v>
      </c>
      <c r="BV204" s="230">
        <v>239876</v>
      </c>
      <c r="BW204" s="230">
        <v>-15627</v>
      </c>
      <c r="BX204" s="229">
        <v>-6.5100000000000005E-2</v>
      </c>
      <c r="BY204" s="230">
        <v>2892</v>
      </c>
      <c r="BZ204" s="230">
        <v>3235</v>
      </c>
      <c r="CA204" s="228">
        <v>-343</v>
      </c>
      <c r="CB204" s="229">
        <v>-0.106</v>
      </c>
      <c r="CC204" s="228">
        <v>338</v>
      </c>
      <c r="CD204" s="228">
        <v>527</v>
      </c>
      <c r="CE204" s="228">
        <v>-189</v>
      </c>
      <c r="CF204" s="229">
        <v>-0.35909999999999997</v>
      </c>
      <c r="CG204" s="230">
        <v>2878</v>
      </c>
      <c r="CH204" s="230">
        <v>2696</v>
      </c>
      <c r="CI204" s="228">
        <v>182</v>
      </c>
      <c r="CJ204" s="229">
        <v>6.7500000000000004E-2</v>
      </c>
      <c r="CK204" s="228">
        <v>14</v>
      </c>
      <c r="CL204" s="228">
        <v>12</v>
      </c>
      <c r="CM204" s="228">
        <v>2</v>
      </c>
      <c r="CN204" s="229">
        <v>0.16589999999999999</v>
      </c>
      <c r="CO204" s="228">
        <v>194</v>
      </c>
      <c r="CP204" s="230">
        <v>1234</v>
      </c>
      <c r="CQ204" s="230">
        <v>-1040</v>
      </c>
      <c r="CR204" s="229">
        <v>-0.84299999999999997</v>
      </c>
      <c r="CS204" s="228">
        <v>147</v>
      </c>
      <c r="CT204" s="228">
        <v>588</v>
      </c>
      <c r="CU204" s="228">
        <v>-441</v>
      </c>
      <c r="CV204" s="229">
        <v>-0.74939999999999996</v>
      </c>
      <c r="CW204" s="230">
        <v>3233</v>
      </c>
      <c r="CX204" s="230">
        <v>5057</v>
      </c>
      <c r="CY204" s="230">
        <v>-1824</v>
      </c>
      <c r="CZ204" s="229">
        <v>-0.36059999999999998</v>
      </c>
      <c r="DA204" s="228">
        <v>22.09</v>
      </c>
      <c r="DB204" s="228">
        <v>22.55</v>
      </c>
      <c r="DC204" s="228">
        <v>-0.46</v>
      </c>
      <c r="DD204" s="228">
        <v>-0.46</v>
      </c>
      <c r="DE204" s="228">
        <v>29.48</v>
      </c>
      <c r="DF204" s="228">
        <v>29.53</v>
      </c>
      <c r="DG204" s="228">
        <v>-7.39</v>
      </c>
      <c r="DH204" s="228">
        <v>-0.05</v>
      </c>
      <c r="DI204" s="228">
        <v>22.2</v>
      </c>
      <c r="DJ204" s="228">
        <v>22.24</v>
      </c>
      <c r="DK204" s="228">
        <v>-0.04</v>
      </c>
      <c r="DL204" s="228">
        <v>-0.04</v>
      </c>
      <c r="DM204" s="228">
        <v>21.87</v>
      </c>
      <c r="DN204" s="228">
        <v>23.18</v>
      </c>
      <c r="DO204" s="228">
        <v>-1.31</v>
      </c>
      <c r="DP204" s="228">
        <v>-1.31</v>
      </c>
      <c r="DQ204" s="228">
        <v>0.76</v>
      </c>
      <c r="DR204" s="228">
        <v>0.48</v>
      </c>
      <c r="DS204" s="228">
        <v>0.28000000000000003</v>
      </c>
      <c r="DT204" s="229">
        <v>0.58330000000000004</v>
      </c>
      <c r="DU204" s="231">
        <v>12200</v>
      </c>
      <c r="DV204" s="231">
        <v>10600</v>
      </c>
      <c r="DW204" s="228">
        <v>0.44</v>
      </c>
      <c r="DX204" s="228">
        <v>0.4</v>
      </c>
      <c r="DY204" s="228">
        <v>0.04</v>
      </c>
      <c r="DZ204" s="229">
        <v>0.1</v>
      </c>
      <c r="EA204" s="229">
        <v>0.89549999999999996</v>
      </c>
      <c r="EB204" s="230">
        <v>2314700</v>
      </c>
      <c r="EC204" s="229">
        <v>6.4999999999999997E-3</v>
      </c>
      <c r="ED204" s="229">
        <v>0.89549999999999996</v>
      </c>
      <c r="EE204" s="228">
        <v>73.099999999999994</v>
      </c>
      <c r="EF204" s="229">
        <v>6.3E-3</v>
      </c>
      <c r="EG204" s="230">
        <v>123778</v>
      </c>
      <c r="EH204" s="230">
        <v>128236</v>
      </c>
      <c r="EI204" s="229">
        <v>-3.4799999999999998E-2</v>
      </c>
      <c r="EJ204" s="229">
        <v>0.55200000000000005</v>
      </c>
      <c r="EK204" s="228">
        <v>815.46</v>
      </c>
      <c r="EL204" s="228">
        <v>343.21</v>
      </c>
      <c r="EM204" s="228">
        <v>702.51</v>
      </c>
      <c r="EN204" s="228">
        <v>184.52</v>
      </c>
      <c r="EO204" s="231">
        <v>1861.19</v>
      </c>
      <c r="EP204" s="231">
        <v>3401.11</v>
      </c>
      <c r="EQ204" s="231">
        <v>-1539.93</v>
      </c>
      <c r="ER204" s="229">
        <v>-0.45279999999999998</v>
      </c>
      <c r="ES204" s="228">
        <v>200.96</v>
      </c>
      <c r="ET204" s="228">
        <v>144.82</v>
      </c>
      <c r="EU204" s="231">
        <v>2892.16</v>
      </c>
      <c r="EV204" s="231">
        <v>12994504</v>
      </c>
      <c r="EW204" s="231">
        <v>3237.93</v>
      </c>
      <c r="EX204" s="231">
        <v>5128.8100000000004</v>
      </c>
      <c r="EY204" s="231">
        <v>-1890.88</v>
      </c>
      <c r="EZ204" s="229">
        <v>-0.36870000000000003</v>
      </c>
      <c r="FA204" s="229">
        <v>0.2127</v>
      </c>
      <c r="FB204" s="227" t="s">
        <v>567</v>
      </c>
      <c r="FC204">
        <f t="shared" si="4"/>
        <v>0</v>
      </c>
    </row>
    <row r="205" spans="1:159" ht="17.25" thickBot="1" x14ac:dyDescent="0.3">
      <c r="A205" s="226">
        <v>46168</v>
      </c>
      <c r="B205" s="227" t="s">
        <v>172</v>
      </c>
      <c r="C205" s="227" t="s">
        <v>592</v>
      </c>
      <c r="D205" s="228">
        <v>4425</v>
      </c>
      <c r="E205" s="228">
        <v>0</v>
      </c>
      <c r="F205" s="228">
        <v>168.99</v>
      </c>
      <c r="G205" s="228">
        <v>169.14</v>
      </c>
      <c r="H205" s="228">
        <v>-0.15</v>
      </c>
      <c r="I205" s="229">
        <v>-8.9999999999999998E-4</v>
      </c>
      <c r="J205" s="228">
        <v>167.56</v>
      </c>
      <c r="K205" s="228">
        <v>168.87</v>
      </c>
      <c r="L205" s="228">
        <v>-1.31</v>
      </c>
      <c r="M205" s="229">
        <v>-7.7999999999999996E-3</v>
      </c>
      <c r="N205" s="228">
        <v>167.95</v>
      </c>
      <c r="O205" s="228">
        <v>168.84</v>
      </c>
      <c r="P205" s="228">
        <v>-0.89</v>
      </c>
      <c r="Q205" s="229">
        <v>-5.3E-3</v>
      </c>
      <c r="R205" s="228">
        <v>168.99</v>
      </c>
      <c r="S205" s="228">
        <v>169.14</v>
      </c>
      <c r="T205" s="228">
        <v>-0.15</v>
      </c>
      <c r="U205" s="229">
        <v>-8.9999999999999998E-4</v>
      </c>
      <c r="V205" s="228">
        <v>169.92</v>
      </c>
      <c r="W205" s="228">
        <v>169.97</v>
      </c>
      <c r="X205" s="228">
        <v>-0.05</v>
      </c>
      <c r="Y205" s="229">
        <v>-2.9999999999999997E-4</v>
      </c>
      <c r="Z205" s="228">
        <v>1.43</v>
      </c>
      <c r="AA205" s="228">
        <v>-0.03</v>
      </c>
      <c r="AB205" s="228">
        <v>1.46</v>
      </c>
      <c r="AC205" s="229">
        <v>8.5000000000000006E-3</v>
      </c>
      <c r="AD205" s="228">
        <v>0.39</v>
      </c>
      <c r="AE205" s="228">
        <v>-0.03</v>
      </c>
      <c r="AF205" s="228">
        <v>0.42</v>
      </c>
      <c r="AG205" s="229">
        <v>2.3E-3</v>
      </c>
      <c r="AH205" s="228">
        <v>1.43</v>
      </c>
      <c r="AI205" s="228">
        <v>0.27</v>
      </c>
      <c r="AJ205" s="228">
        <v>1.1599999999999999</v>
      </c>
      <c r="AK205" s="229">
        <v>8.5000000000000006E-3</v>
      </c>
      <c r="AL205" s="228">
        <v>2.36</v>
      </c>
      <c r="AM205" s="228">
        <v>1.1000000000000001</v>
      </c>
      <c r="AN205" s="228">
        <v>1.26</v>
      </c>
      <c r="AO205" s="229">
        <v>1.41E-2</v>
      </c>
      <c r="AP205" s="228">
        <v>168.55</v>
      </c>
      <c r="AQ205" s="228">
        <v>169.5</v>
      </c>
      <c r="AR205" s="228">
        <v>0</v>
      </c>
      <c r="AS205" s="228">
        <v>882</v>
      </c>
      <c r="AT205" s="230">
        <v>1746</v>
      </c>
      <c r="AU205" s="228">
        <v>-864</v>
      </c>
      <c r="AV205" s="229">
        <v>-0.49490000000000001</v>
      </c>
      <c r="AW205" s="228">
        <v>313</v>
      </c>
      <c r="AX205" s="228">
        <v>807</v>
      </c>
      <c r="AY205" s="228">
        <v>-494</v>
      </c>
      <c r="AZ205" s="229">
        <v>-0.61240000000000006</v>
      </c>
      <c r="BA205" s="228">
        <v>557</v>
      </c>
      <c r="BB205" s="228">
        <v>926</v>
      </c>
      <c r="BC205" s="228">
        <v>-369</v>
      </c>
      <c r="BD205" s="229">
        <v>-0.39829999999999999</v>
      </c>
      <c r="BE205" s="228">
        <v>12</v>
      </c>
      <c r="BF205" s="228">
        <v>12</v>
      </c>
      <c r="BG205" s="228">
        <v>-1</v>
      </c>
      <c r="BH205" s="229">
        <v>-7.1900000000000006E-2</v>
      </c>
      <c r="BI205" s="228">
        <v>901</v>
      </c>
      <c r="BJ205" s="230">
        <v>1496</v>
      </c>
      <c r="BK205" s="228">
        <v>-595</v>
      </c>
      <c r="BL205" s="229">
        <v>-0.39750000000000002</v>
      </c>
      <c r="BM205" s="228">
        <v>312</v>
      </c>
      <c r="BN205" s="228">
        <v>505</v>
      </c>
      <c r="BO205" s="228">
        <v>-193</v>
      </c>
      <c r="BP205" s="229">
        <v>-0.3826</v>
      </c>
      <c r="BQ205" s="230">
        <v>2095</v>
      </c>
      <c r="BR205" s="230">
        <v>3747</v>
      </c>
      <c r="BS205" s="230">
        <v>-1652</v>
      </c>
      <c r="BT205" s="229">
        <v>-0.44090000000000001</v>
      </c>
      <c r="BU205" s="230">
        <v>17244705</v>
      </c>
      <c r="BV205" s="230">
        <v>19991879</v>
      </c>
      <c r="BW205" s="230">
        <v>-2747174</v>
      </c>
      <c r="BX205" s="229">
        <v>-0.13739999999999999</v>
      </c>
      <c r="BY205" s="230">
        <v>2079</v>
      </c>
      <c r="BZ205" s="230">
        <v>2170</v>
      </c>
      <c r="CA205" s="228">
        <v>-91</v>
      </c>
      <c r="CB205" s="229">
        <v>-4.19E-2</v>
      </c>
      <c r="CC205" s="228">
        <v>151</v>
      </c>
      <c r="CD205" s="228">
        <v>376</v>
      </c>
      <c r="CE205" s="228">
        <v>-225</v>
      </c>
      <c r="CF205" s="229">
        <v>-0.59789999999999999</v>
      </c>
      <c r="CG205" s="230">
        <v>2047</v>
      </c>
      <c r="CH205" s="230">
        <v>1767</v>
      </c>
      <c r="CI205" s="228">
        <v>280</v>
      </c>
      <c r="CJ205" s="229">
        <v>0.1583</v>
      </c>
      <c r="CK205" s="228">
        <v>33</v>
      </c>
      <c r="CL205" s="228">
        <v>28</v>
      </c>
      <c r="CM205" s="228">
        <v>5</v>
      </c>
      <c r="CN205" s="229">
        <v>0.19020000000000001</v>
      </c>
      <c r="CO205" s="228">
        <v>315</v>
      </c>
      <c r="CP205" s="228">
        <v>868</v>
      </c>
      <c r="CQ205" s="228">
        <v>-554</v>
      </c>
      <c r="CR205" s="229">
        <v>-0.63739999999999997</v>
      </c>
      <c r="CS205" s="228">
        <v>249</v>
      </c>
      <c r="CT205" s="228">
        <v>508</v>
      </c>
      <c r="CU205" s="228">
        <v>-260</v>
      </c>
      <c r="CV205" s="229">
        <v>-0.51039999999999996</v>
      </c>
      <c r="CW205" s="230">
        <v>2643</v>
      </c>
      <c r="CX205" s="230">
        <v>3547</v>
      </c>
      <c r="CY205" s="228">
        <v>-904</v>
      </c>
      <c r="CZ205" s="229">
        <v>-0.25490000000000002</v>
      </c>
      <c r="DA205" s="228">
        <v>31.09</v>
      </c>
      <c r="DB205" s="228">
        <v>32.26</v>
      </c>
      <c r="DC205" s="228">
        <v>-1.17</v>
      </c>
      <c r="DD205" s="228">
        <v>-1.17</v>
      </c>
      <c r="DE205" s="228">
        <v>43.72</v>
      </c>
      <c r="DF205" s="228">
        <v>43.82</v>
      </c>
      <c r="DG205" s="228">
        <v>-12.63</v>
      </c>
      <c r="DH205" s="228">
        <v>-0.1</v>
      </c>
      <c r="DI205" s="228">
        <v>31.18</v>
      </c>
      <c r="DJ205" s="228">
        <v>32.31</v>
      </c>
      <c r="DK205" s="228">
        <v>-1.1299999999999999</v>
      </c>
      <c r="DL205" s="228">
        <v>-1.1299999999999999</v>
      </c>
      <c r="DM205" s="228">
        <v>30.88</v>
      </c>
      <c r="DN205" s="228">
        <v>32.130000000000003</v>
      </c>
      <c r="DO205" s="228">
        <v>-1.25</v>
      </c>
      <c r="DP205" s="228">
        <v>-1.25</v>
      </c>
      <c r="DQ205" s="228">
        <v>0.79</v>
      </c>
      <c r="DR205" s="228">
        <v>0.59</v>
      </c>
      <c r="DS205" s="228">
        <v>0.2</v>
      </c>
      <c r="DT205" s="229">
        <v>0.33900000000000002</v>
      </c>
      <c r="DU205" s="228">
        <v>190</v>
      </c>
      <c r="DV205" s="228">
        <v>160</v>
      </c>
      <c r="DW205" s="228">
        <v>0.35</v>
      </c>
      <c r="DX205" s="228">
        <v>0.34</v>
      </c>
      <c r="DY205" s="228">
        <v>0.01</v>
      </c>
      <c r="DZ205" s="229">
        <v>2.9399999999999999E-2</v>
      </c>
      <c r="EA205" s="229">
        <v>0.93220000000000003</v>
      </c>
      <c r="EB205" s="230">
        <v>106177875</v>
      </c>
      <c r="EC205" s="229">
        <v>6.1999999999999998E-3</v>
      </c>
      <c r="ED205" s="229">
        <v>0.93220000000000003</v>
      </c>
      <c r="EE205" s="228">
        <v>0.95</v>
      </c>
      <c r="EF205" s="229">
        <v>5.5999999999999999E-3</v>
      </c>
      <c r="EG205" s="230">
        <v>6299138</v>
      </c>
      <c r="EH205" s="230">
        <v>10139670</v>
      </c>
      <c r="EI205" s="229">
        <v>-0.37880000000000003</v>
      </c>
      <c r="EJ205" s="229">
        <v>0.36530000000000001</v>
      </c>
      <c r="EK205" s="228">
        <v>945.55</v>
      </c>
      <c r="EL205" s="228">
        <v>315.36</v>
      </c>
      <c r="EM205" s="228">
        <v>882.88</v>
      </c>
      <c r="EN205" s="228">
        <v>141.37</v>
      </c>
      <c r="EO205" s="231">
        <v>2143.7800000000002</v>
      </c>
      <c r="EP205" s="231">
        <v>3760.68</v>
      </c>
      <c r="EQ205" s="231">
        <v>-1616.9</v>
      </c>
      <c r="ER205" s="229">
        <v>-0.4299</v>
      </c>
      <c r="ES205" s="228">
        <v>319.44</v>
      </c>
      <c r="ET205" s="228">
        <v>242.56</v>
      </c>
      <c r="EU205" s="231">
        <v>2079.46</v>
      </c>
      <c r="EV205" s="231">
        <v>289041713</v>
      </c>
      <c r="EW205" s="231">
        <v>2641.46</v>
      </c>
      <c r="EX205" s="231">
        <v>3598</v>
      </c>
      <c r="EY205" s="228">
        <v>-956.54</v>
      </c>
      <c r="EZ205" s="229">
        <v>-0.26590000000000003</v>
      </c>
      <c r="FA205" s="229">
        <v>0.54110000000000003</v>
      </c>
      <c r="FB205" s="227" t="s">
        <v>567</v>
      </c>
      <c r="FC205">
        <f t="shared" si="4"/>
        <v>0</v>
      </c>
    </row>
    <row r="206" spans="1:159" ht="17.25" thickBot="1" x14ac:dyDescent="0.3">
      <c r="A206" s="226">
        <v>46168</v>
      </c>
      <c r="B206" s="227" t="s">
        <v>168</v>
      </c>
      <c r="C206" s="227" t="s">
        <v>568</v>
      </c>
      <c r="D206" s="228">
        <v>400</v>
      </c>
      <c r="E206" s="228">
        <v>0</v>
      </c>
      <c r="F206" s="231">
        <v>1301.5</v>
      </c>
      <c r="G206" s="231">
        <v>1295.0999999999999</v>
      </c>
      <c r="H206" s="228">
        <v>6.4</v>
      </c>
      <c r="I206" s="229">
        <v>4.8999999999999998E-3</v>
      </c>
      <c r="J206" s="231">
        <v>1293.4000000000001</v>
      </c>
      <c r="K206" s="231">
        <v>1284.0999999999999</v>
      </c>
      <c r="L206" s="228">
        <v>9.3000000000000007</v>
      </c>
      <c r="M206" s="229">
        <v>7.1999999999999998E-3</v>
      </c>
      <c r="N206" s="231">
        <v>1293</v>
      </c>
      <c r="O206" s="231">
        <v>1287.7</v>
      </c>
      <c r="P206" s="228">
        <v>5.3</v>
      </c>
      <c r="Q206" s="229">
        <v>4.1000000000000003E-3</v>
      </c>
      <c r="R206" s="231">
        <v>1301.5</v>
      </c>
      <c r="S206" s="231">
        <v>1295.0999999999999</v>
      </c>
      <c r="T206" s="228">
        <v>6.4</v>
      </c>
      <c r="U206" s="229">
        <v>4.8999999999999998E-3</v>
      </c>
      <c r="V206" s="231">
        <v>1297.8</v>
      </c>
      <c r="W206" s="231">
        <v>1291.5999999999999</v>
      </c>
      <c r="X206" s="228">
        <v>6.2</v>
      </c>
      <c r="Y206" s="229">
        <v>4.7999999999999996E-3</v>
      </c>
      <c r="Z206" s="228">
        <v>8.1</v>
      </c>
      <c r="AA206" s="228">
        <v>3.6</v>
      </c>
      <c r="AB206" s="228">
        <v>4.5</v>
      </c>
      <c r="AC206" s="229">
        <v>6.3E-3</v>
      </c>
      <c r="AD206" s="228">
        <v>-0.4</v>
      </c>
      <c r="AE206" s="228">
        <v>3.6</v>
      </c>
      <c r="AF206" s="228">
        <v>-4</v>
      </c>
      <c r="AG206" s="229">
        <v>-2.9999999999999997E-4</v>
      </c>
      <c r="AH206" s="228">
        <v>8.1</v>
      </c>
      <c r="AI206" s="228">
        <v>11</v>
      </c>
      <c r="AJ206" s="228">
        <v>-2.9</v>
      </c>
      <c r="AK206" s="229">
        <v>6.3E-3</v>
      </c>
      <c r="AL206" s="228">
        <v>4.4000000000000004</v>
      </c>
      <c r="AM206" s="228">
        <v>7.5</v>
      </c>
      <c r="AN206" s="228">
        <v>-3.1</v>
      </c>
      <c r="AO206" s="229">
        <v>3.3999999999999998E-3</v>
      </c>
      <c r="AP206" s="231">
        <v>1290.74</v>
      </c>
      <c r="AQ206" s="231">
        <v>1297.93</v>
      </c>
      <c r="AR206" s="228">
        <v>0</v>
      </c>
      <c r="AS206" s="228">
        <v>505</v>
      </c>
      <c r="AT206" s="228">
        <v>809</v>
      </c>
      <c r="AU206" s="228">
        <v>-305</v>
      </c>
      <c r="AV206" s="229">
        <v>-0.37619999999999998</v>
      </c>
      <c r="AW206" s="228">
        <v>228</v>
      </c>
      <c r="AX206" s="228">
        <v>380</v>
      </c>
      <c r="AY206" s="228">
        <v>-152</v>
      </c>
      <c r="AZ206" s="229">
        <v>-0.39960000000000001</v>
      </c>
      <c r="BA206" s="228">
        <v>261</v>
      </c>
      <c r="BB206" s="228">
        <v>423</v>
      </c>
      <c r="BC206" s="228">
        <v>-162</v>
      </c>
      <c r="BD206" s="229">
        <v>-0.38250000000000001</v>
      </c>
      <c r="BE206" s="228">
        <v>16</v>
      </c>
      <c r="BF206" s="228">
        <v>7</v>
      </c>
      <c r="BG206" s="228">
        <v>9</v>
      </c>
      <c r="BH206" s="229">
        <v>1.3919999999999999</v>
      </c>
      <c r="BI206" s="228">
        <v>332</v>
      </c>
      <c r="BJ206" s="228">
        <v>376</v>
      </c>
      <c r="BK206" s="228">
        <v>-44</v>
      </c>
      <c r="BL206" s="229">
        <v>-0.11600000000000001</v>
      </c>
      <c r="BM206" s="228">
        <v>281</v>
      </c>
      <c r="BN206" s="228">
        <v>287</v>
      </c>
      <c r="BO206" s="228">
        <v>-5</v>
      </c>
      <c r="BP206" s="229">
        <v>-1.9099999999999999E-2</v>
      </c>
      <c r="BQ206" s="230">
        <v>1118</v>
      </c>
      <c r="BR206" s="230">
        <v>1472</v>
      </c>
      <c r="BS206" s="228">
        <v>-354</v>
      </c>
      <c r="BT206" s="229">
        <v>-0.2402</v>
      </c>
      <c r="BU206" s="230">
        <v>1474459</v>
      </c>
      <c r="BV206" s="230">
        <v>862424</v>
      </c>
      <c r="BW206" s="230">
        <v>612035</v>
      </c>
      <c r="BX206" s="229">
        <v>0.7097</v>
      </c>
      <c r="BY206" s="230">
        <v>1365</v>
      </c>
      <c r="BZ206" s="230">
        <v>1713</v>
      </c>
      <c r="CA206" s="228">
        <v>-348</v>
      </c>
      <c r="CB206" s="229">
        <v>-0.20330000000000001</v>
      </c>
      <c r="CC206" s="228">
        <v>346</v>
      </c>
      <c r="CD206" s="228">
        <v>503</v>
      </c>
      <c r="CE206" s="228">
        <v>-157</v>
      </c>
      <c r="CF206" s="229">
        <v>-0.31259999999999999</v>
      </c>
      <c r="CG206" s="230">
        <v>1263</v>
      </c>
      <c r="CH206" s="230">
        <v>1120</v>
      </c>
      <c r="CI206" s="228">
        <v>143</v>
      </c>
      <c r="CJ206" s="229">
        <v>0.12790000000000001</v>
      </c>
      <c r="CK206" s="228">
        <v>102</v>
      </c>
      <c r="CL206" s="228">
        <v>91</v>
      </c>
      <c r="CM206" s="228">
        <v>11</v>
      </c>
      <c r="CN206" s="229">
        <v>0.1235</v>
      </c>
      <c r="CO206" s="228">
        <v>205</v>
      </c>
      <c r="CP206" s="228">
        <v>508</v>
      </c>
      <c r="CQ206" s="228">
        <v>-304</v>
      </c>
      <c r="CR206" s="229">
        <v>-0.59760000000000002</v>
      </c>
      <c r="CS206" s="228">
        <v>182</v>
      </c>
      <c r="CT206" s="228">
        <v>412</v>
      </c>
      <c r="CU206" s="228">
        <v>-230</v>
      </c>
      <c r="CV206" s="229">
        <v>-0.55759999999999998</v>
      </c>
      <c r="CW206" s="230">
        <v>1752</v>
      </c>
      <c r="CX206" s="230">
        <v>2633</v>
      </c>
      <c r="CY206" s="228">
        <v>-882</v>
      </c>
      <c r="CZ206" s="229">
        <v>-0.33479999999999999</v>
      </c>
      <c r="DA206" s="228">
        <v>21.29</v>
      </c>
      <c r="DB206" s="228">
        <v>23.05</v>
      </c>
      <c r="DC206" s="228">
        <v>-1.76</v>
      </c>
      <c r="DD206" s="228">
        <v>-1.76</v>
      </c>
      <c r="DE206" s="228">
        <v>30</v>
      </c>
      <c r="DF206" s="228">
        <v>30.06</v>
      </c>
      <c r="DG206" s="228">
        <v>-8.7100000000000009</v>
      </c>
      <c r="DH206" s="228">
        <v>-0.06</v>
      </c>
      <c r="DI206" s="228">
        <v>21.81</v>
      </c>
      <c r="DJ206" s="228">
        <v>22.91</v>
      </c>
      <c r="DK206" s="228">
        <v>-1.1000000000000001</v>
      </c>
      <c r="DL206" s="228">
        <v>-1.1000000000000001</v>
      </c>
      <c r="DM206" s="228">
        <v>20.6</v>
      </c>
      <c r="DN206" s="228">
        <v>23.32</v>
      </c>
      <c r="DO206" s="228">
        <v>-2.72</v>
      </c>
      <c r="DP206" s="228">
        <v>-2.72</v>
      </c>
      <c r="DQ206" s="228">
        <v>0.89</v>
      </c>
      <c r="DR206" s="228">
        <v>0.81</v>
      </c>
      <c r="DS206" s="228">
        <v>0.08</v>
      </c>
      <c r="DT206" s="229">
        <v>9.8799999999999999E-2</v>
      </c>
      <c r="DU206" s="231">
        <v>1300</v>
      </c>
      <c r="DV206" s="231">
        <v>1400</v>
      </c>
      <c r="DW206" s="228">
        <v>0.85</v>
      </c>
      <c r="DX206" s="228">
        <v>0.76</v>
      </c>
      <c r="DY206" s="228">
        <v>0.09</v>
      </c>
      <c r="DZ206" s="229">
        <v>0.11840000000000001</v>
      </c>
      <c r="EA206" s="229">
        <v>0.79800000000000004</v>
      </c>
      <c r="EB206" s="230">
        <v>9302400</v>
      </c>
      <c r="EC206" s="229">
        <v>6.6E-3</v>
      </c>
      <c r="ED206" s="229">
        <v>0.79800000000000004</v>
      </c>
      <c r="EE206" s="228">
        <v>7.19</v>
      </c>
      <c r="EF206" s="229">
        <v>5.5999999999999999E-3</v>
      </c>
      <c r="EG206" s="230">
        <v>1048829</v>
      </c>
      <c r="EH206" s="230">
        <v>585848</v>
      </c>
      <c r="EI206" s="229">
        <v>0.7903</v>
      </c>
      <c r="EJ206" s="229">
        <v>0.71130000000000004</v>
      </c>
      <c r="EK206" s="228">
        <v>343.77</v>
      </c>
      <c r="EL206" s="228">
        <v>288.5</v>
      </c>
      <c r="EM206" s="228">
        <v>502.27</v>
      </c>
      <c r="EN206" s="228">
        <v>110.12</v>
      </c>
      <c r="EO206" s="231">
        <v>1134.54</v>
      </c>
      <c r="EP206" s="231">
        <v>1477.91</v>
      </c>
      <c r="EQ206" s="228">
        <v>-343.37</v>
      </c>
      <c r="ER206" s="229">
        <v>-0.23230000000000001</v>
      </c>
      <c r="ES206" s="228">
        <v>213.22</v>
      </c>
      <c r="ET206" s="228">
        <v>188.42</v>
      </c>
      <c r="EU206" s="231">
        <v>1364.83</v>
      </c>
      <c r="EV206" s="231">
        <v>38847259</v>
      </c>
      <c r="EW206" s="231">
        <v>1766.47</v>
      </c>
      <c r="EX206" s="231">
        <v>2657.78</v>
      </c>
      <c r="EY206" s="228">
        <v>-891.31</v>
      </c>
      <c r="EZ206" s="229">
        <v>-0.33539999999999998</v>
      </c>
      <c r="FA206" s="229">
        <v>0.34649999999999997</v>
      </c>
      <c r="FB206" s="227" t="s">
        <v>691</v>
      </c>
      <c r="FC206">
        <f t="shared" si="4"/>
        <v>0</v>
      </c>
    </row>
    <row r="207" spans="1:159" ht="17.25" thickBot="1" x14ac:dyDescent="0.3">
      <c r="A207" s="226">
        <v>46168</v>
      </c>
      <c r="B207" s="227" t="s">
        <v>162</v>
      </c>
      <c r="C207" s="227" t="s">
        <v>671</v>
      </c>
      <c r="D207" s="228">
        <v>550</v>
      </c>
      <c r="E207" s="228">
        <v>0</v>
      </c>
      <c r="F207" s="231">
        <v>1121</v>
      </c>
      <c r="G207" s="231">
        <v>1122</v>
      </c>
      <c r="H207" s="228">
        <v>-1</v>
      </c>
      <c r="I207" s="229">
        <v>-8.9999999999999998E-4</v>
      </c>
      <c r="J207" s="231">
        <v>1114.9000000000001</v>
      </c>
      <c r="K207" s="231">
        <v>1118.5</v>
      </c>
      <c r="L207" s="228">
        <v>-3.6</v>
      </c>
      <c r="M207" s="229">
        <v>-3.2000000000000002E-3</v>
      </c>
      <c r="N207" s="231">
        <v>1118.2</v>
      </c>
      <c r="O207" s="231">
        <v>1117.0999999999999</v>
      </c>
      <c r="P207" s="228">
        <v>1.1000000000000001</v>
      </c>
      <c r="Q207" s="229">
        <v>1E-3</v>
      </c>
      <c r="R207" s="231">
        <v>1121</v>
      </c>
      <c r="S207" s="231">
        <v>1122</v>
      </c>
      <c r="T207" s="228">
        <v>-1</v>
      </c>
      <c r="U207" s="229">
        <v>-8.9999999999999998E-4</v>
      </c>
      <c r="V207" s="231">
        <v>1121</v>
      </c>
      <c r="W207" s="231">
        <v>1125.2</v>
      </c>
      <c r="X207" s="228">
        <v>-4.2</v>
      </c>
      <c r="Y207" s="229">
        <v>-3.7000000000000002E-3</v>
      </c>
      <c r="Z207" s="228">
        <v>6.1</v>
      </c>
      <c r="AA207" s="228">
        <v>-1.4</v>
      </c>
      <c r="AB207" s="228">
        <v>7.5</v>
      </c>
      <c r="AC207" s="229">
        <v>5.4999999999999997E-3</v>
      </c>
      <c r="AD207" s="228">
        <v>3.3</v>
      </c>
      <c r="AE207" s="228">
        <v>-1.4</v>
      </c>
      <c r="AF207" s="228">
        <v>4.7</v>
      </c>
      <c r="AG207" s="229">
        <v>3.0000000000000001E-3</v>
      </c>
      <c r="AH207" s="228">
        <v>6.1</v>
      </c>
      <c r="AI207" s="228">
        <v>3.5</v>
      </c>
      <c r="AJ207" s="228">
        <v>2.6</v>
      </c>
      <c r="AK207" s="229">
        <v>5.4999999999999997E-3</v>
      </c>
      <c r="AL207" s="228">
        <v>6.1</v>
      </c>
      <c r="AM207" s="228">
        <v>6.7</v>
      </c>
      <c r="AN207" s="228">
        <v>-0.6</v>
      </c>
      <c r="AO207" s="229">
        <v>5.4999999999999997E-3</v>
      </c>
      <c r="AP207" s="231">
        <v>1116.1500000000001</v>
      </c>
      <c r="AQ207" s="231">
        <v>1122.0899999999999</v>
      </c>
      <c r="AR207" s="228">
        <v>0</v>
      </c>
      <c r="AS207" s="228">
        <v>198</v>
      </c>
      <c r="AT207" s="228">
        <v>315</v>
      </c>
      <c r="AU207" s="228">
        <v>-118</v>
      </c>
      <c r="AV207" s="229">
        <v>-0.37259999999999999</v>
      </c>
      <c r="AW207" s="228">
        <v>83</v>
      </c>
      <c r="AX207" s="228">
        <v>140</v>
      </c>
      <c r="AY207" s="228">
        <v>-57</v>
      </c>
      <c r="AZ207" s="229">
        <v>-0.40970000000000001</v>
      </c>
      <c r="BA207" s="228">
        <v>115</v>
      </c>
      <c r="BB207" s="228">
        <v>175</v>
      </c>
      <c r="BC207" s="228">
        <v>-60</v>
      </c>
      <c r="BD207" s="229">
        <v>-0.34139999999999998</v>
      </c>
      <c r="BE207" s="228">
        <v>0</v>
      </c>
      <c r="BF207" s="228">
        <v>1</v>
      </c>
      <c r="BG207" s="228">
        <v>0</v>
      </c>
      <c r="BH207" s="229">
        <v>-0.72729999999999995</v>
      </c>
      <c r="BI207" s="228">
        <v>228</v>
      </c>
      <c r="BJ207" s="228">
        <v>402</v>
      </c>
      <c r="BK207" s="228">
        <v>-173</v>
      </c>
      <c r="BL207" s="229">
        <v>-0.43109999999999998</v>
      </c>
      <c r="BM207" s="228">
        <v>52</v>
      </c>
      <c r="BN207" s="228">
        <v>128</v>
      </c>
      <c r="BO207" s="228">
        <v>-76</v>
      </c>
      <c r="BP207" s="229">
        <v>-0.5927</v>
      </c>
      <c r="BQ207" s="228">
        <v>479</v>
      </c>
      <c r="BR207" s="228">
        <v>845</v>
      </c>
      <c r="BS207" s="228">
        <v>-367</v>
      </c>
      <c r="BT207" s="229">
        <v>-0.43380000000000002</v>
      </c>
      <c r="BU207" s="230">
        <v>436418</v>
      </c>
      <c r="BV207" s="230">
        <v>1353389</v>
      </c>
      <c r="BW207" s="230">
        <v>-916971</v>
      </c>
      <c r="BX207" s="229">
        <v>-0.67749999999999999</v>
      </c>
      <c r="BY207" s="228">
        <v>491</v>
      </c>
      <c r="BZ207" s="228">
        <v>501</v>
      </c>
      <c r="CA207" s="228">
        <v>-10</v>
      </c>
      <c r="CB207" s="229">
        <v>-1.9199999999999998E-2</v>
      </c>
      <c r="CC207" s="228">
        <v>21</v>
      </c>
      <c r="CD207" s="228">
        <v>46</v>
      </c>
      <c r="CE207" s="228">
        <v>-25</v>
      </c>
      <c r="CF207" s="229">
        <v>-0.54259999999999997</v>
      </c>
      <c r="CG207" s="228">
        <v>490</v>
      </c>
      <c r="CH207" s="228">
        <v>453</v>
      </c>
      <c r="CI207" s="228">
        <v>37</v>
      </c>
      <c r="CJ207" s="229">
        <v>8.0699999999999994E-2</v>
      </c>
      <c r="CK207" s="228">
        <v>2</v>
      </c>
      <c r="CL207" s="228">
        <v>2</v>
      </c>
      <c r="CM207" s="228">
        <v>0</v>
      </c>
      <c r="CN207" s="229">
        <v>0.12</v>
      </c>
      <c r="CO207" s="228">
        <v>31</v>
      </c>
      <c r="CP207" s="228">
        <v>266</v>
      </c>
      <c r="CQ207" s="228">
        <v>-235</v>
      </c>
      <c r="CR207" s="229">
        <v>-0.88190000000000002</v>
      </c>
      <c r="CS207" s="228">
        <v>27</v>
      </c>
      <c r="CT207" s="228">
        <v>175</v>
      </c>
      <c r="CU207" s="228">
        <v>-148</v>
      </c>
      <c r="CV207" s="229">
        <v>-0.84640000000000004</v>
      </c>
      <c r="CW207" s="228">
        <v>550</v>
      </c>
      <c r="CX207" s="228">
        <v>942</v>
      </c>
      <c r="CY207" s="228">
        <v>-392</v>
      </c>
      <c r="CZ207" s="229">
        <v>-0.41639999999999999</v>
      </c>
      <c r="DA207" s="228">
        <v>32.020000000000003</v>
      </c>
      <c r="DB207" s="228">
        <v>33.24</v>
      </c>
      <c r="DC207" s="228">
        <v>-1.22</v>
      </c>
      <c r="DD207" s="228">
        <v>-1.22</v>
      </c>
      <c r="DE207" s="228">
        <v>42.32</v>
      </c>
      <c r="DF207" s="228">
        <v>42.43</v>
      </c>
      <c r="DG207" s="228">
        <v>-10.3</v>
      </c>
      <c r="DH207" s="228">
        <v>-0.11</v>
      </c>
      <c r="DI207" s="228">
        <v>32.21</v>
      </c>
      <c r="DJ207" s="228">
        <v>33.28</v>
      </c>
      <c r="DK207" s="228">
        <v>-1.07</v>
      </c>
      <c r="DL207" s="228">
        <v>-1.07</v>
      </c>
      <c r="DM207" s="228">
        <v>31.69</v>
      </c>
      <c r="DN207" s="228">
        <v>33.119999999999997</v>
      </c>
      <c r="DO207" s="228">
        <v>-1.43</v>
      </c>
      <c r="DP207" s="228">
        <v>-1.43</v>
      </c>
      <c r="DQ207" s="228">
        <v>0.85</v>
      </c>
      <c r="DR207" s="228">
        <v>0.66</v>
      </c>
      <c r="DS207" s="228">
        <v>0.19</v>
      </c>
      <c r="DT207" s="229">
        <v>0.28789999999999999</v>
      </c>
      <c r="DU207" s="231">
        <v>1200</v>
      </c>
      <c r="DV207" s="231">
        <v>1040</v>
      </c>
      <c r="DW207" s="228">
        <v>0.23</v>
      </c>
      <c r="DX207" s="228">
        <v>0.32</v>
      </c>
      <c r="DY207" s="228">
        <v>-0.09</v>
      </c>
      <c r="DZ207" s="229">
        <v>-0.28129999999999999</v>
      </c>
      <c r="EA207" s="229">
        <v>0.95860000000000001</v>
      </c>
      <c r="EB207" s="230">
        <v>4055700</v>
      </c>
      <c r="EC207" s="229">
        <v>2.5000000000000001E-3</v>
      </c>
      <c r="ED207" s="229">
        <v>0.95860000000000001</v>
      </c>
      <c r="EE207" s="228">
        <v>5.94</v>
      </c>
      <c r="EF207" s="229">
        <v>5.3E-3</v>
      </c>
      <c r="EG207" s="230">
        <v>164611</v>
      </c>
      <c r="EH207" s="230">
        <v>916067</v>
      </c>
      <c r="EI207" s="229">
        <v>-0.82030000000000003</v>
      </c>
      <c r="EJ207" s="229">
        <v>0.37719999999999998</v>
      </c>
      <c r="EK207" s="228">
        <v>239</v>
      </c>
      <c r="EL207" s="228">
        <v>52.5</v>
      </c>
      <c r="EM207" s="228">
        <v>197.67</v>
      </c>
      <c r="EN207" s="228">
        <v>59.07</v>
      </c>
      <c r="EO207" s="228">
        <v>489.17</v>
      </c>
      <c r="EP207" s="228">
        <v>853.6</v>
      </c>
      <c r="EQ207" s="228">
        <v>-364.43</v>
      </c>
      <c r="ER207" s="229">
        <v>-0.4269</v>
      </c>
      <c r="ES207" s="228">
        <v>32.19</v>
      </c>
      <c r="ET207" s="228">
        <v>25.43</v>
      </c>
      <c r="EU207" s="228">
        <v>491.39</v>
      </c>
      <c r="EV207" s="231">
        <v>27343613</v>
      </c>
      <c r="EW207" s="228">
        <v>549.01</v>
      </c>
      <c r="EX207" s="228">
        <v>944.26</v>
      </c>
      <c r="EY207" s="228">
        <v>-395.25</v>
      </c>
      <c r="EZ207" s="229">
        <v>-0.41860000000000003</v>
      </c>
      <c r="FA207" s="229">
        <v>0.17929999999999999</v>
      </c>
      <c r="FB207" s="227" t="s">
        <v>567</v>
      </c>
      <c r="FC207">
        <f t="shared" si="4"/>
        <v>0</v>
      </c>
    </row>
    <row r="208" spans="1:159" ht="17.25" thickBot="1" x14ac:dyDescent="0.3">
      <c r="A208" s="226">
        <v>46168</v>
      </c>
      <c r="B208" s="227" t="s">
        <v>498</v>
      </c>
      <c r="C208" s="227" t="s">
        <v>303</v>
      </c>
      <c r="D208" s="228">
        <v>1355</v>
      </c>
      <c r="E208" s="228">
        <v>0</v>
      </c>
      <c r="F208" s="228">
        <v>659.45</v>
      </c>
      <c r="G208" s="228">
        <v>655.25</v>
      </c>
      <c r="H208" s="228">
        <v>4.2</v>
      </c>
      <c r="I208" s="229">
        <v>6.4000000000000003E-3</v>
      </c>
      <c r="J208" s="228">
        <v>655</v>
      </c>
      <c r="K208" s="228">
        <v>652.29999999999995</v>
      </c>
      <c r="L208" s="228">
        <v>2.7</v>
      </c>
      <c r="M208" s="229">
        <v>4.1000000000000003E-3</v>
      </c>
      <c r="N208" s="228">
        <v>655.45</v>
      </c>
      <c r="O208" s="228">
        <v>652.6</v>
      </c>
      <c r="P208" s="228">
        <v>2.85</v>
      </c>
      <c r="Q208" s="229">
        <v>4.4000000000000003E-3</v>
      </c>
      <c r="R208" s="228">
        <v>659.45</v>
      </c>
      <c r="S208" s="228">
        <v>655.25</v>
      </c>
      <c r="T208" s="228">
        <v>4.2</v>
      </c>
      <c r="U208" s="229">
        <v>6.4000000000000003E-3</v>
      </c>
      <c r="V208" s="228">
        <v>661.8</v>
      </c>
      <c r="W208" s="228">
        <v>659.5</v>
      </c>
      <c r="X208" s="228">
        <v>2.2999999999999998</v>
      </c>
      <c r="Y208" s="229">
        <v>3.5000000000000001E-3</v>
      </c>
      <c r="Z208" s="228">
        <v>4.45</v>
      </c>
      <c r="AA208" s="228">
        <v>0.3</v>
      </c>
      <c r="AB208" s="228">
        <v>4.1500000000000004</v>
      </c>
      <c r="AC208" s="229">
        <v>6.7999999999999996E-3</v>
      </c>
      <c r="AD208" s="228">
        <v>0.45</v>
      </c>
      <c r="AE208" s="228">
        <v>0.3</v>
      </c>
      <c r="AF208" s="228">
        <v>0.15</v>
      </c>
      <c r="AG208" s="229">
        <v>6.9999999999999999E-4</v>
      </c>
      <c r="AH208" s="228">
        <v>4.45</v>
      </c>
      <c r="AI208" s="228">
        <v>2.95</v>
      </c>
      <c r="AJ208" s="228">
        <v>1.5</v>
      </c>
      <c r="AK208" s="229">
        <v>6.7999999999999996E-3</v>
      </c>
      <c r="AL208" s="228">
        <v>6.8</v>
      </c>
      <c r="AM208" s="228">
        <v>7.2</v>
      </c>
      <c r="AN208" s="228">
        <v>-0.4</v>
      </c>
      <c r="AO208" s="229">
        <v>1.04E-2</v>
      </c>
      <c r="AP208" s="228">
        <v>656.24</v>
      </c>
      <c r="AQ208" s="228">
        <v>660.27</v>
      </c>
      <c r="AR208" s="228">
        <v>0</v>
      </c>
      <c r="AS208" s="228">
        <v>982</v>
      </c>
      <c r="AT208" s="230">
        <v>1067</v>
      </c>
      <c r="AU208" s="228">
        <v>-85</v>
      </c>
      <c r="AV208" s="229">
        <v>-7.9600000000000004E-2</v>
      </c>
      <c r="AW208" s="228">
        <v>479</v>
      </c>
      <c r="AX208" s="228">
        <v>560</v>
      </c>
      <c r="AY208" s="228">
        <v>-80</v>
      </c>
      <c r="AZ208" s="229">
        <v>-0.14349999999999999</v>
      </c>
      <c r="BA208" s="228">
        <v>497</v>
      </c>
      <c r="BB208" s="228">
        <v>502</v>
      </c>
      <c r="BC208" s="228">
        <v>-5</v>
      </c>
      <c r="BD208" s="229">
        <v>-9.7999999999999997E-3</v>
      </c>
      <c r="BE208" s="228">
        <v>6</v>
      </c>
      <c r="BF208" s="228">
        <v>5</v>
      </c>
      <c r="BG208" s="228">
        <v>0</v>
      </c>
      <c r="BH208" s="229">
        <v>6.7799999999999999E-2</v>
      </c>
      <c r="BI208" s="228">
        <v>668</v>
      </c>
      <c r="BJ208" s="228">
        <v>830</v>
      </c>
      <c r="BK208" s="228">
        <v>-162</v>
      </c>
      <c r="BL208" s="229">
        <v>-0.1948</v>
      </c>
      <c r="BM208" s="228">
        <v>334</v>
      </c>
      <c r="BN208" s="228">
        <v>381</v>
      </c>
      <c r="BO208" s="228">
        <v>-46</v>
      </c>
      <c r="BP208" s="229">
        <v>-0.122</v>
      </c>
      <c r="BQ208" s="230">
        <v>1984</v>
      </c>
      <c r="BR208" s="230">
        <v>2277</v>
      </c>
      <c r="BS208" s="228">
        <v>-293</v>
      </c>
      <c r="BT208" s="229">
        <v>-0.12859999999999999</v>
      </c>
      <c r="BU208" s="230">
        <v>1796690</v>
      </c>
      <c r="BV208" s="230">
        <v>1541956</v>
      </c>
      <c r="BW208" s="230">
        <v>254734</v>
      </c>
      <c r="BX208" s="229">
        <v>0.16520000000000001</v>
      </c>
      <c r="BY208" s="230">
        <v>1709</v>
      </c>
      <c r="BZ208" s="230">
        <v>2004</v>
      </c>
      <c r="CA208" s="228">
        <v>-295</v>
      </c>
      <c r="CB208" s="229">
        <v>-0.14699999999999999</v>
      </c>
      <c r="CC208" s="228">
        <v>252</v>
      </c>
      <c r="CD208" s="228">
        <v>624</v>
      </c>
      <c r="CE208" s="228">
        <v>-372</v>
      </c>
      <c r="CF208" s="229">
        <v>-0.59599999999999997</v>
      </c>
      <c r="CG208" s="230">
        <v>1692</v>
      </c>
      <c r="CH208" s="230">
        <v>1366</v>
      </c>
      <c r="CI208" s="228">
        <v>327</v>
      </c>
      <c r="CJ208" s="229">
        <v>0.23910000000000001</v>
      </c>
      <c r="CK208" s="228">
        <v>17</v>
      </c>
      <c r="CL208" s="228">
        <v>14</v>
      </c>
      <c r="CM208" s="228">
        <v>3</v>
      </c>
      <c r="CN208" s="229">
        <v>0.23719999999999999</v>
      </c>
      <c r="CO208" s="228">
        <v>214</v>
      </c>
      <c r="CP208" s="228">
        <v>621</v>
      </c>
      <c r="CQ208" s="228">
        <v>-407</v>
      </c>
      <c r="CR208" s="229">
        <v>-0.6552</v>
      </c>
      <c r="CS208" s="228">
        <v>188</v>
      </c>
      <c r="CT208" s="228">
        <v>420</v>
      </c>
      <c r="CU208" s="228">
        <v>-232</v>
      </c>
      <c r="CV208" s="229">
        <v>-0.55189999999999995</v>
      </c>
      <c r="CW208" s="230">
        <v>2112</v>
      </c>
      <c r="CX208" s="230">
        <v>3045</v>
      </c>
      <c r="CY208" s="228">
        <v>-933</v>
      </c>
      <c r="CZ208" s="229">
        <v>-0.30649999999999999</v>
      </c>
      <c r="DA208" s="228">
        <v>24.76</v>
      </c>
      <c r="DB208" s="228">
        <v>27.16</v>
      </c>
      <c r="DC208" s="228">
        <v>-2.4</v>
      </c>
      <c r="DD208" s="228">
        <v>-2.4</v>
      </c>
      <c r="DE208" s="228">
        <v>41.35</v>
      </c>
      <c r="DF208" s="228">
        <v>41.45</v>
      </c>
      <c r="DG208" s="228">
        <v>-16.59</v>
      </c>
      <c r="DH208" s="228">
        <v>-0.1</v>
      </c>
      <c r="DI208" s="228">
        <v>24.29</v>
      </c>
      <c r="DJ208" s="228">
        <v>27.6</v>
      </c>
      <c r="DK208" s="228">
        <v>-3.31</v>
      </c>
      <c r="DL208" s="228">
        <v>-3.31</v>
      </c>
      <c r="DM208" s="228">
        <v>25.6</v>
      </c>
      <c r="DN208" s="228">
        <v>26.18</v>
      </c>
      <c r="DO208" s="228">
        <v>-0.57999999999999996</v>
      </c>
      <c r="DP208" s="228">
        <v>-0.57999999999999996</v>
      </c>
      <c r="DQ208" s="228">
        <v>0.88</v>
      </c>
      <c r="DR208" s="228">
        <v>0.68</v>
      </c>
      <c r="DS208" s="228">
        <v>0.2</v>
      </c>
      <c r="DT208" s="229">
        <v>0.29409999999999997</v>
      </c>
      <c r="DU208" s="228">
        <v>650</v>
      </c>
      <c r="DV208" s="228">
        <v>650</v>
      </c>
      <c r="DW208" s="228">
        <v>0.5</v>
      </c>
      <c r="DX208" s="228">
        <v>0.46</v>
      </c>
      <c r="DY208" s="228">
        <v>0.04</v>
      </c>
      <c r="DZ208" s="229">
        <v>8.6999999999999994E-2</v>
      </c>
      <c r="EA208" s="229">
        <v>0.87139999999999995</v>
      </c>
      <c r="EB208" s="230">
        <v>20919845</v>
      </c>
      <c r="EC208" s="229">
        <v>6.1000000000000004E-3</v>
      </c>
      <c r="ED208" s="229">
        <v>0.87139999999999995</v>
      </c>
      <c r="EE208" s="228">
        <v>4.03</v>
      </c>
      <c r="EF208" s="229">
        <v>6.1000000000000004E-3</v>
      </c>
      <c r="EG208" s="230">
        <v>1069133</v>
      </c>
      <c r="EH208" s="230">
        <v>918774</v>
      </c>
      <c r="EI208" s="229">
        <v>0.16370000000000001</v>
      </c>
      <c r="EJ208" s="229">
        <v>0.59509999999999996</v>
      </c>
      <c r="EK208" s="228">
        <v>684.59</v>
      </c>
      <c r="EL208" s="228">
        <v>335.64</v>
      </c>
      <c r="EM208" s="228">
        <v>980.34</v>
      </c>
      <c r="EN208" s="228">
        <v>86.11</v>
      </c>
      <c r="EO208" s="231">
        <v>2000.56</v>
      </c>
      <c r="EP208" s="231">
        <v>2268.69</v>
      </c>
      <c r="EQ208" s="228">
        <v>-268.12</v>
      </c>
      <c r="ER208" s="229">
        <v>-0.1182</v>
      </c>
      <c r="ES208" s="228">
        <v>216.71</v>
      </c>
      <c r="ET208" s="228">
        <v>185.23</v>
      </c>
      <c r="EU208" s="231">
        <v>1709.43</v>
      </c>
      <c r="EV208" s="231">
        <v>84189026</v>
      </c>
      <c r="EW208" s="231">
        <v>2111.37</v>
      </c>
      <c r="EX208" s="231">
        <v>3033.14</v>
      </c>
      <c r="EY208" s="228">
        <v>-921.77</v>
      </c>
      <c r="EZ208" s="229">
        <v>-0.3039</v>
      </c>
      <c r="FA208" s="229">
        <v>0.38040000000000002</v>
      </c>
      <c r="FB208" s="227" t="s">
        <v>691</v>
      </c>
      <c r="FC208">
        <f t="shared" si="4"/>
        <v>0</v>
      </c>
    </row>
    <row r="209" spans="1:159" ht="17.25" thickBot="1" x14ac:dyDescent="0.3">
      <c r="A209" s="226">
        <v>46168</v>
      </c>
      <c r="B209" s="227" t="s">
        <v>168</v>
      </c>
      <c r="C209" s="227" t="s">
        <v>585</v>
      </c>
      <c r="D209" s="228">
        <v>1125</v>
      </c>
      <c r="E209" s="228">
        <v>0</v>
      </c>
      <c r="F209" s="228">
        <v>535.35</v>
      </c>
      <c r="G209" s="228">
        <v>533.65</v>
      </c>
      <c r="H209" s="228">
        <v>1.7</v>
      </c>
      <c r="I209" s="229">
        <v>3.2000000000000002E-3</v>
      </c>
      <c r="J209" s="228">
        <v>531.29999999999995</v>
      </c>
      <c r="K209" s="228">
        <v>530.70000000000005</v>
      </c>
      <c r="L209" s="228">
        <v>0.6</v>
      </c>
      <c r="M209" s="229">
        <v>1.1000000000000001E-3</v>
      </c>
      <c r="N209" s="228">
        <v>532.04999999999995</v>
      </c>
      <c r="O209" s="228">
        <v>530.54999999999995</v>
      </c>
      <c r="P209" s="228">
        <v>1.5</v>
      </c>
      <c r="Q209" s="229">
        <v>2.8E-3</v>
      </c>
      <c r="R209" s="228">
        <v>535.35</v>
      </c>
      <c r="S209" s="228">
        <v>533.65</v>
      </c>
      <c r="T209" s="228">
        <v>1.7</v>
      </c>
      <c r="U209" s="229">
        <v>3.2000000000000002E-3</v>
      </c>
      <c r="V209" s="228">
        <v>538.70000000000005</v>
      </c>
      <c r="W209" s="228">
        <v>537</v>
      </c>
      <c r="X209" s="228">
        <v>1.7</v>
      </c>
      <c r="Y209" s="229">
        <v>3.2000000000000002E-3</v>
      </c>
      <c r="Z209" s="228">
        <v>4.05</v>
      </c>
      <c r="AA209" s="228">
        <v>-0.15</v>
      </c>
      <c r="AB209" s="228">
        <v>4.2</v>
      </c>
      <c r="AC209" s="229">
        <v>7.6E-3</v>
      </c>
      <c r="AD209" s="228">
        <v>0.75</v>
      </c>
      <c r="AE209" s="228">
        <v>-0.15</v>
      </c>
      <c r="AF209" s="228">
        <v>0.9</v>
      </c>
      <c r="AG209" s="229">
        <v>1.4E-3</v>
      </c>
      <c r="AH209" s="228">
        <v>4.05</v>
      </c>
      <c r="AI209" s="228">
        <v>2.95</v>
      </c>
      <c r="AJ209" s="228">
        <v>1.1000000000000001</v>
      </c>
      <c r="AK209" s="229">
        <v>7.6E-3</v>
      </c>
      <c r="AL209" s="228">
        <v>7.4</v>
      </c>
      <c r="AM209" s="228">
        <v>6.3</v>
      </c>
      <c r="AN209" s="228">
        <v>1.1000000000000001</v>
      </c>
      <c r="AO209" s="229">
        <v>1.3899999999999999E-2</v>
      </c>
      <c r="AP209" s="228">
        <v>530.1</v>
      </c>
      <c r="AQ209" s="228">
        <v>533.66</v>
      </c>
      <c r="AR209" s="228">
        <v>0</v>
      </c>
      <c r="AS209" s="228">
        <v>842</v>
      </c>
      <c r="AT209" s="230">
        <v>1204</v>
      </c>
      <c r="AU209" s="228">
        <v>-362</v>
      </c>
      <c r="AV209" s="229">
        <v>-0.30059999999999998</v>
      </c>
      <c r="AW209" s="228">
        <v>340</v>
      </c>
      <c r="AX209" s="228">
        <v>564</v>
      </c>
      <c r="AY209" s="228">
        <v>-224</v>
      </c>
      <c r="AZ209" s="229">
        <v>-0.39700000000000002</v>
      </c>
      <c r="BA209" s="228">
        <v>495</v>
      </c>
      <c r="BB209" s="228">
        <v>629</v>
      </c>
      <c r="BC209" s="228">
        <v>-134</v>
      </c>
      <c r="BD209" s="229">
        <v>-0.2135</v>
      </c>
      <c r="BE209" s="228">
        <v>7</v>
      </c>
      <c r="BF209" s="228">
        <v>11</v>
      </c>
      <c r="BG209" s="228">
        <v>-4</v>
      </c>
      <c r="BH209" s="229">
        <v>-0.34289999999999998</v>
      </c>
      <c r="BI209" s="228">
        <v>541</v>
      </c>
      <c r="BJ209" s="230">
        <v>1564</v>
      </c>
      <c r="BK209" s="230">
        <v>-1023</v>
      </c>
      <c r="BL209" s="229">
        <v>-0.6542</v>
      </c>
      <c r="BM209" s="228">
        <v>329</v>
      </c>
      <c r="BN209" s="228">
        <v>977</v>
      </c>
      <c r="BO209" s="228">
        <v>-647</v>
      </c>
      <c r="BP209" s="229">
        <v>-0.66279999999999994</v>
      </c>
      <c r="BQ209" s="230">
        <v>1712</v>
      </c>
      <c r="BR209" s="230">
        <v>3744</v>
      </c>
      <c r="BS209" s="230">
        <v>-2032</v>
      </c>
      <c r="BT209" s="229">
        <v>-0.54269999999999996</v>
      </c>
      <c r="BU209" s="230">
        <v>5093173</v>
      </c>
      <c r="BV209" s="230">
        <v>9495505</v>
      </c>
      <c r="BW209" s="230">
        <v>-4402332</v>
      </c>
      <c r="BX209" s="229">
        <v>-0.46360000000000001</v>
      </c>
      <c r="BY209" s="230">
        <v>2610</v>
      </c>
      <c r="BZ209" s="230">
        <v>2840</v>
      </c>
      <c r="CA209" s="228">
        <v>-230</v>
      </c>
      <c r="CB209" s="229">
        <v>-8.1000000000000003E-2</v>
      </c>
      <c r="CC209" s="228">
        <v>185</v>
      </c>
      <c r="CD209" s="228">
        <v>468</v>
      </c>
      <c r="CE209" s="228">
        <v>-283</v>
      </c>
      <c r="CF209" s="229">
        <v>-0.60399999999999998</v>
      </c>
      <c r="CG209" s="230">
        <v>2475</v>
      </c>
      <c r="CH209" s="230">
        <v>2240</v>
      </c>
      <c r="CI209" s="228">
        <v>235</v>
      </c>
      <c r="CJ209" s="229">
        <v>0.105</v>
      </c>
      <c r="CK209" s="228">
        <v>135</v>
      </c>
      <c r="CL209" s="228">
        <v>133</v>
      </c>
      <c r="CM209" s="228">
        <v>3</v>
      </c>
      <c r="CN209" s="229">
        <v>2.1100000000000001E-2</v>
      </c>
      <c r="CO209" s="228">
        <v>318</v>
      </c>
      <c r="CP209" s="228">
        <v>738</v>
      </c>
      <c r="CQ209" s="228">
        <v>-420</v>
      </c>
      <c r="CR209" s="229">
        <v>-0.56899999999999995</v>
      </c>
      <c r="CS209" s="228">
        <v>154</v>
      </c>
      <c r="CT209" s="228">
        <v>432</v>
      </c>
      <c r="CU209" s="228">
        <v>-278</v>
      </c>
      <c r="CV209" s="229">
        <v>-0.64270000000000005</v>
      </c>
      <c r="CW209" s="230">
        <v>3083</v>
      </c>
      <c r="CX209" s="230">
        <v>4011</v>
      </c>
      <c r="CY209" s="228">
        <v>-928</v>
      </c>
      <c r="CZ209" s="229">
        <v>-0.23130000000000001</v>
      </c>
      <c r="DA209" s="228">
        <v>26.77</v>
      </c>
      <c r="DB209" s="228">
        <v>27.71</v>
      </c>
      <c r="DC209" s="228">
        <v>-0.94</v>
      </c>
      <c r="DD209" s="228">
        <v>-0.94</v>
      </c>
      <c r="DE209" s="228">
        <v>38.340000000000003</v>
      </c>
      <c r="DF209" s="228">
        <v>38.43</v>
      </c>
      <c r="DG209" s="228">
        <v>-11.57</v>
      </c>
      <c r="DH209" s="228">
        <v>-0.09</v>
      </c>
      <c r="DI209" s="228">
        <v>26.28</v>
      </c>
      <c r="DJ209" s="228">
        <v>27.53</v>
      </c>
      <c r="DK209" s="228">
        <v>-1.25</v>
      </c>
      <c r="DL209" s="228">
        <v>-1.25</v>
      </c>
      <c r="DM209" s="228">
        <v>27.89</v>
      </c>
      <c r="DN209" s="228">
        <v>28.17</v>
      </c>
      <c r="DO209" s="228">
        <v>-0.28000000000000003</v>
      </c>
      <c r="DP209" s="228">
        <v>-0.28000000000000003</v>
      </c>
      <c r="DQ209" s="228">
        <v>0.49</v>
      </c>
      <c r="DR209" s="228">
        <v>0.59</v>
      </c>
      <c r="DS209" s="228">
        <v>-0.1</v>
      </c>
      <c r="DT209" s="229">
        <v>-0.16950000000000001</v>
      </c>
      <c r="DU209" s="228">
        <v>585</v>
      </c>
      <c r="DV209" s="228">
        <v>500</v>
      </c>
      <c r="DW209" s="228">
        <v>0.61</v>
      </c>
      <c r="DX209" s="228">
        <v>0.62</v>
      </c>
      <c r="DY209" s="228">
        <v>-0.01</v>
      </c>
      <c r="DZ209" s="229">
        <v>-1.61E-2</v>
      </c>
      <c r="EA209" s="229">
        <v>0.93369999999999997</v>
      </c>
      <c r="EB209" s="230">
        <v>44317050</v>
      </c>
      <c r="EC209" s="229">
        <v>6.1999999999999998E-3</v>
      </c>
      <c r="ED209" s="229">
        <v>0.93369999999999997</v>
      </c>
      <c r="EE209" s="228">
        <v>3.56</v>
      </c>
      <c r="EF209" s="229">
        <v>6.7000000000000002E-3</v>
      </c>
      <c r="EG209" s="230">
        <v>2303376</v>
      </c>
      <c r="EH209" s="230">
        <v>5885132</v>
      </c>
      <c r="EI209" s="229">
        <v>-0.60860000000000003</v>
      </c>
      <c r="EJ209" s="229">
        <v>0.45219999999999999</v>
      </c>
      <c r="EK209" s="228">
        <v>556.17999999999995</v>
      </c>
      <c r="EL209" s="228">
        <v>321.07</v>
      </c>
      <c r="EM209" s="228">
        <v>838.08</v>
      </c>
      <c r="EN209" s="228">
        <v>223.06</v>
      </c>
      <c r="EO209" s="231">
        <v>1715.32</v>
      </c>
      <c r="EP209" s="231">
        <v>3769.24</v>
      </c>
      <c r="EQ209" s="231">
        <v>-2053.92</v>
      </c>
      <c r="ER209" s="229">
        <v>-0.54490000000000005</v>
      </c>
      <c r="ES209" s="228">
        <v>322.18</v>
      </c>
      <c r="ET209" s="228">
        <v>148.12</v>
      </c>
      <c r="EU209" s="231">
        <v>2611.2800000000002</v>
      </c>
      <c r="EV209" s="231">
        <v>205765243</v>
      </c>
      <c r="EW209" s="231">
        <v>3081.58</v>
      </c>
      <c r="EX209" s="231">
        <v>3982.72</v>
      </c>
      <c r="EY209" s="228">
        <v>-901.14</v>
      </c>
      <c r="EZ209" s="229">
        <v>-0.2263</v>
      </c>
      <c r="FA209" s="229">
        <v>0.27989999999999998</v>
      </c>
      <c r="FB209" s="227" t="s">
        <v>691</v>
      </c>
      <c r="FC209">
        <f t="shared" si="4"/>
        <v>0</v>
      </c>
    </row>
    <row r="210" spans="1:159" ht="17.25" thickBot="1" x14ac:dyDescent="0.3">
      <c r="A210" s="226">
        <v>46168</v>
      </c>
      <c r="B210" s="227" t="s">
        <v>227</v>
      </c>
      <c r="C210" s="227" t="s">
        <v>304</v>
      </c>
      <c r="D210" s="228">
        <v>1150</v>
      </c>
      <c r="E210" s="228">
        <v>0</v>
      </c>
      <c r="F210" s="228">
        <v>347.1</v>
      </c>
      <c r="G210" s="228">
        <v>332.55</v>
      </c>
      <c r="H210" s="228">
        <v>14.55</v>
      </c>
      <c r="I210" s="229">
        <v>4.3799999999999999E-2</v>
      </c>
      <c r="J210" s="228">
        <v>344.9</v>
      </c>
      <c r="K210" s="228">
        <v>332.5</v>
      </c>
      <c r="L210" s="228">
        <v>12.4</v>
      </c>
      <c r="M210" s="229">
        <v>3.73E-2</v>
      </c>
      <c r="N210" s="228">
        <v>345.6</v>
      </c>
      <c r="O210" s="228">
        <v>332.5</v>
      </c>
      <c r="P210" s="228">
        <v>13.1</v>
      </c>
      <c r="Q210" s="229">
        <v>3.9399999999999998E-2</v>
      </c>
      <c r="R210" s="228">
        <v>347.1</v>
      </c>
      <c r="S210" s="228">
        <v>332.55</v>
      </c>
      <c r="T210" s="228">
        <v>14.55</v>
      </c>
      <c r="U210" s="229">
        <v>4.3799999999999999E-2</v>
      </c>
      <c r="V210" s="228">
        <v>347.05</v>
      </c>
      <c r="W210" s="228">
        <v>332.95</v>
      </c>
      <c r="X210" s="228">
        <v>14.1</v>
      </c>
      <c r="Y210" s="229">
        <v>4.2299999999999997E-2</v>
      </c>
      <c r="Z210" s="228">
        <v>2.2000000000000002</v>
      </c>
      <c r="AA210" s="228">
        <v>0</v>
      </c>
      <c r="AB210" s="228">
        <v>2.2000000000000002</v>
      </c>
      <c r="AC210" s="229">
        <v>6.4000000000000003E-3</v>
      </c>
      <c r="AD210" s="228">
        <v>0.7</v>
      </c>
      <c r="AE210" s="228">
        <v>0</v>
      </c>
      <c r="AF210" s="228">
        <v>0.7</v>
      </c>
      <c r="AG210" s="229">
        <v>2E-3</v>
      </c>
      <c r="AH210" s="228">
        <v>2.2000000000000002</v>
      </c>
      <c r="AI210" s="228">
        <v>0.05</v>
      </c>
      <c r="AJ210" s="228">
        <v>2.15</v>
      </c>
      <c r="AK210" s="229">
        <v>6.4000000000000003E-3</v>
      </c>
      <c r="AL210" s="228">
        <v>2.15</v>
      </c>
      <c r="AM210" s="228">
        <v>0.45</v>
      </c>
      <c r="AN210" s="228">
        <v>1.7</v>
      </c>
      <c r="AO210" s="229">
        <v>6.1999999999999998E-3</v>
      </c>
      <c r="AP210" s="228">
        <v>344.88</v>
      </c>
      <c r="AQ210" s="228">
        <v>346.56</v>
      </c>
      <c r="AR210" s="228">
        <v>0</v>
      </c>
      <c r="AS210" s="230">
        <v>1306</v>
      </c>
      <c r="AT210" s="230">
        <v>1169</v>
      </c>
      <c r="AU210" s="228">
        <v>137</v>
      </c>
      <c r="AV210" s="229">
        <v>0.1169</v>
      </c>
      <c r="AW210" s="228">
        <v>388</v>
      </c>
      <c r="AX210" s="228">
        <v>576</v>
      </c>
      <c r="AY210" s="228">
        <v>-188</v>
      </c>
      <c r="AZ210" s="229">
        <v>-0.32579999999999998</v>
      </c>
      <c r="BA210" s="228">
        <v>894</v>
      </c>
      <c r="BB210" s="228">
        <v>586</v>
      </c>
      <c r="BC210" s="228">
        <v>308</v>
      </c>
      <c r="BD210" s="229">
        <v>0.52649999999999997</v>
      </c>
      <c r="BE210" s="228">
        <v>24</v>
      </c>
      <c r="BF210" s="228">
        <v>8</v>
      </c>
      <c r="BG210" s="228">
        <v>16</v>
      </c>
      <c r="BH210" s="229">
        <v>2.0518000000000001</v>
      </c>
      <c r="BI210" s="230">
        <v>3882</v>
      </c>
      <c r="BJ210" s="230">
        <v>1665</v>
      </c>
      <c r="BK210" s="230">
        <v>2217</v>
      </c>
      <c r="BL210" s="229">
        <v>1.3319000000000001</v>
      </c>
      <c r="BM210" s="230">
        <v>1511</v>
      </c>
      <c r="BN210" s="228">
        <v>935</v>
      </c>
      <c r="BO210" s="228">
        <v>576</v>
      </c>
      <c r="BP210" s="229">
        <v>0.61580000000000001</v>
      </c>
      <c r="BQ210" s="230">
        <v>6699</v>
      </c>
      <c r="BR210" s="230">
        <v>3769</v>
      </c>
      <c r="BS210" s="230">
        <v>2930</v>
      </c>
      <c r="BT210" s="229">
        <v>0.77739999999999998</v>
      </c>
      <c r="BU210" s="230">
        <v>43035735</v>
      </c>
      <c r="BV210" s="230">
        <v>12226659</v>
      </c>
      <c r="BW210" s="230">
        <v>30809076</v>
      </c>
      <c r="BX210" s="229">
        <v>2.5198</v>
      </c>
      <c r="BY210" s="230">
        <v>1374</v>
      </c>
      <c r="BZ210" s="230">
        <v>1558</v>
      </c>
      <c r="CA210" s="228">
        <v>-184</v>
      </c>
      <c r="CB210" s="229">
        <v>-0.1181</v>
      </c>
      <c r="CC210" s="228">
        <v>231</v>
      </c>
      <c r="CD210" s="228">
        <v>346</v>
      </c>
      <c r="CE210" s="228">
        <v>-115</v>
      </c>
      <c r="CF210" s="229">
        <v>-0.33260000000000001</v>
      </c>
      <c r="CG210" s="230">
        <v>1355</v>
      </c>
      <c r="CH210" s="230">
        <v>1192</v>
      </c>
      <c r="CI210" s="228">
        <v>162</v>
      </c>
      <c r="CJ210" s="229">
        <v>0.1361</v>
      </c>
      <c r="CK210" s="228">
        <v>20</v>
      </c>
      <c r="CL210" s="228">
        <v>20</v>
      </c>
      <c r="CM210" s="228">
        <v>-1</v>
      </c>
      <c r="CN210" s="229">
        <v>-3.1600000000000003E-2</v>
      </c>
      <c r="CO210" s="228">
        <v>590</v>
      </c>
      <c r="CP210" s="230">
        <v>1242</v>
      </c>
      <c r="CQ210" s="228">
        <v>-652</v>
      </c>
      <c r="CR210" s="229">
        <v>-0.5252</v>
      </c>
      <c r="CS210" s="228">
        <v>375</v>
      </c>
      <c r="CT210" s="228">
        <v>963</v>
      </c>
      <c r="CU210" s="228">
        <v>-587</v>
      </c>
      <c r="CV210" s="229">
        <v>-0.61009999999999998</v>
      </c>
      <c r="CW210" s="230">
        <v>2339</v>
      </c>
      <c r="CX210" s="230">
        <v>3763</v>
      </c>
      <c r="CY210" s="230">
        <v>-1424</v>
      </c>
      <c r="CZ210" s="229">
        <v>-0.37840000000000001</v>
      </c>
      <c r="DA210" s="228">
        <v>39.94</v>
      </c>
      <c r="DB210" s="228">
        <v>39.659999999999997</v>
      </c>
      <c r="DC210" s="228">
        <v>0.28000000000000003</v>
      </c>
      <c r="DD210" s="228">
        <v>0.28000000000000003</v>
      </c>
      <c r="DE210" s="228">
        <v>44.37</v>
      </c>
      <c r="DF210" s="228">
        <v>44.1</v>
      </c>
      <c r="DG210" s="228">
        <v>-4.43</v>
      </c>
      <c r="DH210" s="228">
        <v>0.27</v>
      </c>
      <c r="DI210" s="228">
        <v>40.090000000000003</v>
      </c>
      <c r="DJ210" s="228">
        <v>39.79</v>
      </c>
      <c r="DK210" s="228">
        <v>0.3</v>
      </c>
      <c r="DL210" s="228">
        <v>0.3</v>
      </c>
      <c r="DM210" s="228">
        <v>39.57</v>
      </c>
      <c r="DN210" s="228">
        <v>39.39</v>
      </c>
      <c r="DO210" s="228">
        <v>0.18</v>
      </c>
      <c r="DP210" s="228">
        <v>0.18</v>
      </c>
      <c r="DQ210" s="228">
        <v>0.64</v>
      </c>
      <c r="DR210" s="228">
        <v>0.77</v>
      </c>
      <c r="DS210" s="228">
        <v>-0.13</v>
      </c>
      <c r="DT210" s="229">
        <v>-0.16880000000000001</v>
      </c>
      <c r="DU210" s="228">
        <v>350</v>
      </c>
      <c r="DV210" s="228">
        <v>300</v>
      </c>
      <c r="DW210" s="228">
        <v>0.39</v>
      </c>
      <c r="DX210" s="228">
        <v>0.56000000000000005</v>
      </c>
      <c r="DY210" s="228">
        <v>-0.17</v>
      </c>
      <c r="DZ210" s="229">
        <v>-0.30359999999999998</v>
      </c>
      <c r="EA210" s="229">
        <v>0.85619999999999996</v>
      </c>
      <c r="EB210" s="230">
        <v>34934700</v>
      </c>
      <c r="EC210" s="229">
        <v>4.3E-3</v>
      </c>
      <c r="ED210" s="229">
        <v>0.85619999999999996</v>
      </c>
      <c r="EE210" s="228">
        <v>1.68</v>
      </c>
      <c r="EF210" s="229">
        <v>4.8999999999999998E-3</v>
      </c>
      <c r="EG210" s="230">
        <v>15221211</v>
      </c>
      <c r="EH210" s="230">
        <v>3712708</v>
      </c>
      <c r="EI210" s="229">
        <v>3.0998000000000001</v>
      </c>
      <c r="EJ210" s="229">
        <v>0.35370000000000001</v>
      </c>
      <c r="EK210" s="231">
        <v>4047.53</v>
      </c>
      <c r="EL210" s="231">
        <v>1448.34</v>
      </c>
      <c r="EM210" s="231">
        <v>1301.69</v>
      </c>
      <c r="EN210" s="228">
        <v>215.02</v>
      </c>
      <c r="EO210" s="231">
        <v>6797.57</v>
      </c>
      <c r="EP210" s="231">
        <v>3649.66</v>
      </c>
      <c r="EQ210" s="231">
        <v>3147.9</v>
      </c>
      <c r="ER210" s="229">
        <v>0.86250000000000004</v>
      </c>
      <c r="ES210" s="228">
        <v>611.44000000000005</v>
      </c>
      <c r="ET210" s="228">
        <v>337.61</v>
      </c>
      <c r="EU210" s="231">
        <v>1374.2</v>
      </c>
      <c r="EV210" s="231">
        <v>255495438</v>
      </c>
      <c r="EW210" s="231">
        <v>2323.25</v>
      </c>
      <c r="EX210" s="231">
        <v>3542.2</v>
      </c>
      <c r="EY210" s="231">
        <v>-1218.95</v>
      </c>
      <c r="EZ210" s="229">
        <v>-0.34410000000000002</v>
      </c>
      <c r="FA210" s="229">
        <v>0.26379999999999998</v>
      </c>
      <c r="FB210" s="227" t="s">
        <v>691</v>
      </c>
      <c r="FC210">
        <f t="shared" si="4"/>
        <v>0</v>
      </c>
    </row>
    <row r="211" spans="1:159" ht="17.25" thickBot="1" x14ac:dyDescent="0.3">
      <c r="A211" s="226">
        <v>46168</v>
      </c>
      <c r="B211" s="227" t="s">
        <v>614</v>
      </c>
      <c r="C211" s="227" t="s">
        <v>695</v>
      </c>
      <c r="D211" s="228">
        <v>4850</v>
      </c>
      <c r="E211" s="228">
        <v>0</v>
      </c>
      <c r="F211" s="228">
        <v>121.82</v>
      </c>
      <c r="G211" s="228">
        <v>122.07</v>
      </c>
      <c r="H211" s="228">
        <v>-0.25</v>
      </c>
      <c r="I211" s="229">
        <v>-2E-3</v>
      </c>
      <c r="J211" s="228">
        <v>121.08</v>
      </c>
      <c r="K211" s="228">
        <v>121.05</v>
      </c>
      <c r="L211" s="228">
        <v>0.03</v>
      </c>
      <c r="M211" s="229">
        <v>2.0000000000000001E-4</v>
      </c>
      <c r="N211" s="228">
        <v>120.9</v>
      </c>
      <c r="O211" s="228">
        <v>121.25</v>
      </c>
      <c r="P211" s="228">
        <v>-0.35</v>
      </c>
      <c r="Q211" s="229">
        <v>-2.8999999999999998E-3</v>
      </c>
      <c r="R211" s="228">
        <v>121.82</v>
      </c>
      <c r="S211" s="228">
        <v>122.07</v>
      </c>
      <c r="T211" s="228">
        <v>-0.25</v>
      </c>
      <c r="U211" s="229">
        <v>-2E-3</v>
      </c>
      <c r="V211" s="228">
        <v>122.74</v>
      </c>
      <c r="W211" s="228">
        <v>122.69</v>
      </c>
      <c r="X211" s="228">
        <v>0.05</v>
      </c>
      <c r="Y211" s="229">
        <v>4.0000000000000002E-4</v>
      </c>
      <c r="Z211" s="228">
        <v>0.74</v>
      </c>
      <c r="AA211" s="228">
        <v>0.2</v>
      </c>
      <c r="AB211" s="228">
        <v>0.54</v>
      </c>
      <c r="AC211" s="229">
        <v>6.1000000000000004E-3</v>
      </c>
      <c r="AD211" s="228">
        <v>-0.18</v>
      </c>
      <c r="AE211" s="228">
        <v>0.2</v>
      </c>
      <c r="AF211" s="228">
        <v>-0.38</v>
      </c>
      <c r="AG211" s="229">
        <v>-1.5E-3</v>
      </c>
      <c r="AH211" s="228">
        <v>0.74</v>
      </c>
      <c r="AI211" s="228">
        <v>1.02</v>
      </c>
      <c r="AJ211" s="228">
        <v>-0.28000000000000003</v>
      </c>
      <c r="AK211" s="229">
        <v>6.1000000000000004E-3</v>
      </c>
      <c r="AL211" s="228">
        <v>1.66</v>
      </c>
      <c r="AM211" s="228">
        <v>1.64</v>
      </c>
      <c r="AN211" s="228">
        <v>0.02</v>
      </c>
      <c r="AO211" s="229">
        <v>1.37E-2</v>
      </c>
      <c r="AP211" s="228">
        <v>121.07</v>
      </c>
      <c r="AQ211" s="228">
        <v>121.92</v>
      </c>
      <c r="AR211" s="228">
        <v>0</v>
      </c>
      <c r="AS211" s="228">
        <v>129</v>
      </c>
      <c r="AT211" s="228">
        <v>252</v>
      </c>
      <c r="AU211" s="228">
        <v>-123</v>
      </c>
      <c r="AV211" s="229">
        <v>-0.48720000000000002</v>
      </c>
      <c r="AW211" s="228">
        <v>58</v>
      </c>
      <c r="AX211" s="228">
        <v>129</v>
      </c>
      <c r="AY211" s="228">
        <v>-71</v>
      </c>
      <c r="AZ211" s="229">
        <v>-0.54969999999999997</v>
      </c>
      <c r="BA211" s="228">
        <v>71</v>
      </c>
      <c r="BB211" s="228">
        <v>123</v>
      </c>
      <c r="BC211" s="228">
        <v>-52</v>
      </c>
      <c r="BD211" s="229">
        <v>-0.42149999999999999</v>
      </c>
      <c r="BE211" s="228">
        <v>0</v>
      </c>
      <c r="BF211" s="228">
        <v>1</v>
      </c>
      <c r="BG211" s="228">
        <v>0</v>
      </c>
      <c r="BH211" s="229">
        <v>-0.5</v>
      </c>
      <c r="BI211" s="228">
        <v>89</v>
      </c>
      <c r="BJ211" s="228">
        <v>91</v>
      </c>
      <c r="BK211" s="228">
        <v>-1</v>
      </c>
      <c r="BL211" s="229">
        <v>-1.17E-2</v>
      </c>
      <c r="BM211" s="228">
        <v>33</v>
      </c>
      <c r="BN211" s="228">
        <v>26</v>
      </c>
      <c r="BO211" s="228">
        <v>7</v>
      </c>
      <c r="BP211" s="229">
        <v>0.27500000000000002</v>
      </c>
      <c r="BQ211" s="228">
        <v>252</v>
      </c>
      <c r="BR211" s="228">
        <v>369</v>
      </c>
      <c r="BS211" s="228">
        <v>-117</v>
      </c>
      <c r="BT211" s="229">
        <v>-0.31690000000000002</v>
      </c>
      <c r="BU211" s="230">
        <v>4961304</v>
      </c>
      <c r="BV211" s="230">
        <v>7503994</v>
      </c>
      <c r="BW211" s="230">
        <v>-2542690</v>
      </c>
      <c r="BX211" s="229">
        <v>-0.33879999999999999</v>
      </c>
      <c r="BY211" s="228">
        <v>380</v>
      </c>
      <c r="BZ211" s="228">
        <v>386</v>
      </c>
      <c r="CA211" s="228">
        <v>-5</v>
      </c>
      <c r="CB211" s="229">
        <v>-1.35E-2</v>
      </c>
      <c r="CC211" s="228">
        <v>16</v>
      </c>
      <c r="CD211" s="228">
        <v>43</v>
      </c>
      <c r="CE211" s="228">
        <v>-26</v>
      </c>
      <c r="CF211" s="229">
        <v>-0.61770000000000003</v>
      </c>
      <c r="CG211" s="228">
        <v>378</v>
      </c>
      <c r="CH211" s="228">
        <v>341</v>
      </c>
      <c r="CI211" s="228">
        <v>37</v>
      </c>
      <c r="CJ211" s="229">
        <v>0.1091</v>
      </c>
      <c r="CK211" s="228">
        <v>2</v>
      </c>
      <c r="CL211" s="228">
        <v>2</v>
      </c>
      <c r="CM211" s="228">
        <v>0</v>
      </c>
      <c r="CN211" s="229">
        <v>0.1351</v>
      </c>
      <c r="CO211" s="228">
        <v>14</v>
      </c>
      <c r="CP211" s="228">
        <v>101</v>
      </c>
      <c r="CQ211" s="228">
        <v>-88</v>
      </c>
      <c r="CR211" s="229">
        <v>-0.86599999999999999</v>
      </c>
      <c r="CS211" s="228">
        <v>23</v>
      </c>
      <c r="CT211" s="228">
        <v>69</v>
      </c>
      <c r="CU211" s="228">
        <v>-46</v>
      </c>
      <c r="CV211" s="229">
        <v>-0.66500000000000004</v>
      </c>
      <c r="CW211" s="228">
        <v>417</v>
      </c>
      <c r="CX211" s="228">
        <v>556</v>
      </c>
      <c r="CY211" s="228">
        <v>-139</v>
      </c>
      <c r="CZ211" s="229">
        <v>-0.25019999999999998</v>
      </c>
      <c r="DA211" s="228">
        <v>33.24</v>
      </c>
      <c r="DB211" s="228">
        <v>32.6</v>
      </c>
      <c r="DC211" s="228">
        <v>0.64</v>
      </c>
      <c r="DD211" s="228">
        <v>0.64</v>
      </c>
      <c r="DE211" s="228">
        <v>37.17</v>
      </c>
      <c r="DF211" s="228">
        <v>37.26</v>
      </c>
      <c r="DG211" s="228">
        <v>-3.93</v>
      </c>
      <c r="DH211" s="228">
        <v>-0.09</v>
      </c>
      <c r="DI211" s="228">
        <v>33.520000000000003</v>
      </c>
      <c r="DJ211" s="228">
        <v>32.67</v>
      </c>
      <c r="DK211" s="228">
        <v>0.85</v>
      </c>
      <c r="DL211" s="228">
        <v>0.85</v>
      </c>
      <c r="DM211" s="228">
        <v>32.840000000000003</v>
      </c>
      <c r="DN211" s="228">
        <v>32.5</v>
      </c>
      <c r="DO211" s="228">
        <v>0.34</v>
      </c>
      <c r="DP211" s="228">
        <v>0.34</v>
      </c>
      <c r="DQ211" s="228">
        <v>1.71</v>
      </c>
      <c r="DR211" s="228">
        <v>0.69</v>
      </c>
      <c r="DS211" s="228">
        <v>1.02</v>
      </c>
      <c r="DT211" s="229">
        <v>1.4782999999999999</v>
      </c>
      <c r="DU211" s="228">
        <v>122</v>
      </c>
      <c r="DV211" s="228">
        <v>125</v>
      </c>
      <c r="DW211" s="228">
        <v>0.37</v>
      </c>
      <c r="DX211" s="228">
        <v>0.28999999999999998</v>
      </c>
      <c r="DY211" s="228">
        <v>0.08</v>
      </c>
      <c r="DZ211" s="229">
        <v>0.27589999999999998</v>
      </c>
      <c r="EA211" s="229">
        <v>0.95889999999999997</v>
      </c>
      <c r="EB211" s="230">
        <v>28149400</v>
      </c>
      <c r="EC211" s="229">
        <v>7.6E-3</v>
      </c>
      <c r="ED211" s="229">
        <v>0.95889999999999997</v>
      </c>
      <c r="EE211" s="228">
        <v>0.85</v>
      </c>
      <c r="EF211" s="229">
        <v>7.0000000000000001E-3</v>
      </c>
      <c r="EG211" s="230">
        <v>2085611</v>
      </c>
      <c r="EH211" s="230">
        <v>3409799</v>
      </c>
      <c r="EI211" s="229">
        <v>-0.38829999999999998</v>
      </c>
      <c r="EJ211" s="229">
        <v>0.4204</v>
      </c>
      <c r="EK211" s="228">
        <v>91.49</v>
      </c>
      <c r="EL211" s="228">
        <v>32.76</v>
      </c>
      <c r="EM211" s="228">
        <v>129.16</v>
      </c>
      <c r="EN211" s="228">
        <v>33.1</v>
      </c>
      <c r="EO211" s="228">
        <v>253.41</v>
      </c>
      <c r="EP211" s="228">
        <v>369.57</v>
      </c>
      <c r="EQ211" s="228">
        <v>-116.17</v>
      </c>
      <c r="ER211" s="229">
        <v>-0.31430000000000002</v>
      </c>
      <c r="ES211" s="228">
        <v>13.77</v>
      </c>
      <c r="ET211" s="228">
        <v>23.36</v>
      </c>
      <c r="EU211" s="228">
        <v>380.39</v>
      </c>
      <c r="EV211" s="231">
        <v>321828727</v>
      </c>
      <c r="EW211" s="228">
        <v>417.53</v>
      </c>
      <c r="EX211" s="228">
        <v>558.91999999999996</v>
      </c>
      <c r="EY211" s="228">
        <v>-141.38999999999999</v>
      </c>
      <c r="EZ211" s="229">
        <v>-0.253</v>
      </c>
      <c r="FA211" s="229">
        <v>0.10639999999999999</v>
      </c>
      <c r="FB211" s="227" t="s">
        <v>567</v>
      </c>
      <c r="FC211">
        <f t="shared" si="4"/>
        <v>0</v>
      </c>
    </row>
    <row r="212" spans="1:159" ht="17.25" thickBot="1" x14ac:dyDescent="0.3">
      <c r="A212" s="226">
        <v>46168</v>
      </c>
      <c r="B212" s="227" t="s">
        <v>184</v>
      </c>
      <c r="C212" s="227" t="s">
        <v>305</v>
      </c>
      <c r="D212" s="228">
        <v>375</v>
      </c>
      <c r="E212" s="228">
        <v>0</v>
      </c>
      <c r="F212" s="231">
        <v>1261.8</v>
      </c>
      <c r="G212" s="231">
        <v>1267.4000000000001</v>
      </c>
      <c r="H212" s="228">
        <v>-5.6</v>
      </c>
      <c r="I212" s="229">
        <v>-4.4000000000000003E-3</v>
      </c>
      <c r="J212" s="231">
        <v>1271.4000000000001</v>
      </c>
      <c r="K212" s="231">
        <v>1284</v>
      </c>
      <c r="L212" s="228">
        <v>-12.6</v>
      </c>
      <c r="M212" s="229">
        <v>-9.7999999999999997E-3</v>
      </c>
      <c r="N212" s="231">
        <v>1270.7</v>
      </c>
      <c r="O212" s="231">
        <v>1289.5999999999999</v>
      </c>
      <c r="P212" s="228">
        <v>-18.899999999999999</v>
      </c>
      <c r="Q212" s="229">
        <v>-1.47E-2</v>
      </c>
      <c r="R212" s="231">
        <v>1261.8</v>
      </c>
      <c r="S212" s="231">
        <v>1267.4000000000001</v>
      </c>
      <c r="T212" s="228">
        <v>-5.6</v>
      </c>
      <c r="U212" s="229">
        <v>-4.4000000000000003E-3</v>
      </c>
      <c r="V212" s="231">
        <v>1251.4000000000001</v>
      </c>
      <c r="W212" s="231">
        <v>1257.0999999999999</v>
      </c>
      <c r="X212" s="228">
        <v>-5.7</v>
      </c>
      <c r="Y212" s="229">
        <v>-4.4999999999999997E-3</v>
      </c>
      <c r="Z212" s="228">
        <v>-9.6</v>
      </c>
      <c r="AA212" s="228">
        <v>5.6</v>
      </c>
      <c r="AB212" s="228">
        <v>-15.2</v>
      </c>
      <c r="AC212" s="229">
        <v>-7.6E-3</v>
      </c>
      <c r="AD212" s="228">
        <v>-0.7</v>
      </c>
      <c r="AE212" s="228">
        <v>5.6</v>
      </c>
      <c r="AF212" s="228">
        <v>-6.3</v>
      </c>
      <c r="AG212" s="229">
        <v>-5.9999999999999995E-4</v>
      </c>
      <c r="AH212" s="228">
        <v>-9.6</v>
      </c>
      <c r="AI212" s="228">
        <v>-16.600000000000001</v>
      </c>
      <c r="AJ212" s="228">
        <v>7</v>
      </c>
      <c r="AK212" s="229">
        <v>-7.6E-3</v>
      </c>
      <c r="AL212" s="228">
        <v>-20</v>
      </c>
      <c r="AM212" s="228">
        <v>-26.9</v>
      </c>
      <c r="AN212" s="228">
        <v>6.9</v>
      </c>
      <c r="AO212" s="229">
        <v>-1.5699999999999999E-2</v>
      </c>
      <c r="AP212" s="231">
        <v>1277.8599999999999</v>
      </c>
      <c r="AQ212" s="231">
        <v>1258.44</v>
      </c>
      <c r="AR212" s="228">
        <v>0</v>
      </c>
      <c r="AS212" s="228">
        <v>566</v>
      </c>
      <c r="AT212" s="228">
        <v>884</v>
      </c>
      <c r="AU212" s="228">
        <v>-317</v>
      </c>
      <c r="AV212" s="229">
        <v>-0.3589</v>
      </c>
      <c r="AW212" s="228">
        <v>259</v>
      </c>
      <c r="AX212" s="228">
        <v>455</v>
      </c>
      <c r="AY212" s="228">
        <v>-196</v>
      </c>
      <c r="AZ212" s="229">
        <v>-0.43030000000000002</v>
      </c>
      <c r="BA212" s="228">
        <v>296</v>
      </c>
      <c r="BB212" s="228">
        <v>407</v>
      </c>
      <c r="BC212" s="228">
        <v>-111</v>
      </c>
      <c r="BD212" s="229">
        <v>-0.27360000000000001</v>
      </c>
      <c r="BE212" s="228">
        <v>11</v>
      </c>
      <c r="BF212" s="228">
        <v>21</v>
      </c>
      <c r="BG212" s="228">
        <v>-10</v>
      </c>
      <c r="BH212" s="229">
        <v>-0.46639999999999998</v>
      </c>
      <c r="BI212" s="228">
        <v>445</v>
      </c>
      <c r="BJ212" s="230">
        <v>1250</v>
      </c>
      <c r="BK212" s="228">
        <v>-805</v>
      </c>
      <c r="BL212" s="229">
        <v>-0.64380000000000004</v>
      </c>
      <c r="BM212" s="228">
        <v>241</v>
      </c>
      <c r="BN212" s="228">
        <v>539</v>
      </c>
      <c r="BO212" s="228">
        <v>-298</v>
      </c>
      <c r="BP212" s="229">
        <v>-0.55220000000000002</v>
      </c>
      <c r="BQ212" s="230">
        <v>1253</v>
      </c>
      <c r="BR212" s="230">
        <v>2673</v>
      </c>
      <c r="BS212" s="230">
        <v>-1420</v>
      </c>
      <c r="BT212" s="229">
        <v>-0.53120000000000001</v>
      </c>
      <c r="BU212" s="230">
        <v>617667</v>
      </c>
      <c r="BV212" s="230">
        <v>1162275</v>
      </c>
      <c r="BW212" s="230">
        <v>-544608</v>
      </c>
      <c r="BX212" s="229">
        <v>-0.46860000000000002</v>
      </c>
      <c r="BY212" s="230">
        <v>1265</v>
      </c>
      <c r="BZ212" s="230">
        <v>1392</v>
      </c>
      <c r="CA212" s="228">
        <v>-127</v>
      </c>
      <c r="CB212" s="229">
        <v>-9.0999999999999998E-2</v>
      </c>
      <c r="CC212" s="228">
        <v>133</v>
      </c>
      <c r="CD212" s="228">
        <v>266</v>
      </c>
      <c r="CE212" s="228">
        <v>-133</v>
      </c>
      <c r="CF212" s="229">
        <v>-0.50019999999999998</v>
      </c>
      <c r="CG212" s="230">
        <v>1230</v>
      </c>
      <c r="CH212" s="230">
        <v>1095</v>
      </c>
      <c r="CI212" s="228">
        <v>134</v>
      </c>
      <c r="CJ212" s="229">
        <v>0.1226</v>
      </c>
      <c r="CK212" s="228">
        <v>35</v>
      </c>
      <c r="CL212" s="228">
        <v>31</v>
      </c>
      <c r="CM212" s="228">
        <v>5</v>
      </c>
      <c r="CN212" s="229">
        <v>0.161</v>
      </c>
      <c r="CO212" s="228">
        <v>287</v>
      </c>
      <c r="CP212" s="228">
        <v>813</v>
      </c>
      <c r="CQ212" s="228">
        <v>-526</v>
      </c>
      <c r="CR212" s="229">
        <v>-0.64729999999999999</v>
      </c>
      <c r="CS212" s="228">
        <v>223</v>
      </c>
      <c r="CT212" s="228">
        <v>531</v>
      </c>
      <c r="CU212" s="228">
        <v>-309</v>
      </c>
      <c r="CV212" s="229">
        <v>-0.58099999999999996</v>
      </c>
      <c r="CW212" s="230">
        <v>1775</v>
      </c>
      <c r="CX212" s="230">
        <v>2736</v>
      </c>
      <c r="CY212" s="228">
        <v>-961</v>
      </c>
      <c r="CZ212" s="229">
        <v>-0.35139999999999999</v>
      </c>
      <c r="DA212" s="228">
        <v>33.31</v>
      </c>
      <c r="DB212" s="228">
        <v>34.979999999999997</v>
      </c>
      <c r="DC212" s="228">
        <v>-1.67</v>
      </c>
      <c r="DD212" s="228">
        <v>-1.67</v>
      </c>
      <c r="DE212" s="228">
        <v>40.64</v>
      </c>
      <c r="DF212" s="228">
        <v>40.729999999999997</v>
      </c>
      <c r="DG212" s="228">
        <v>-7.33</v>
      </c>
      <c r="DH212" s="228">
        <v>-0.09</v>
      </c>
      <c r="DI212" s="228">
        <v>33.78</v>
      </c>
      <c r="DJ212" s="228">
        <v>35.159999999999997</v>
      </c>
      <c r="DK212" s="228">
        <v>-1.38</v>
      </c>
      <c r="DL212" s="228">
        <v>-1.38</v>
      </c>
      <c r="DM212" s="228">
        <v>32.450000000000003</v>
      </c>
      <c r="DN212" s="228">
        <v>34.65</v>
      </c>
      <c r="DO212" s="228">
        <v>-2.2000000000000002</v>
      </c>
      <c r="DP212" s="228">
        <v>-2.2000000000000002</v>
      </c>
      <c r="DQ212" s="228">
        <v>0.78</v>
      </c>
      <c r="DR212" s="228">
        <v>0.65</v>
      </c>
      <c r="DS212" s="228">
        <v>0.13</v>
      </c>
      <c r="DT212" s="229">
        <v>0.2</v>
      </c>
      <c r="DU212" s="231">
        <v>1300</v>
      </c>
      <c r="DV212" s="231">
        <v>1200</v>
      </c>
      <c r="DW212" s="228">
        <v>0.54</v>
      </c>
      <c r="DX212" s="228">
        <v>0.43</v>
      </c>
      <c r="DY212" s="228">
        <v>0.11</v>
      </c>
      <c r="DZ212" s="229">
        <v>0.25580000000000003</v>
      </c>
      <c r="EA212" s="229">
        <v>0.90500000000000003</v>
      </c>
      <c r="EB212" s="230">
        <v>8923875</v>
      </c>
      <c r="EC212" s="229">
        <v>-7.0000000000000001E-3</v>
      </c>
      <c r="ED212" s="229">
        <v>0.90500000000000003</v>
      </c>
      <c r="EE212" s="228">
        <v>-19.420000000000002</v>
      </c>
      <c r="EF212" s="229">
        <v>-1.52E-2</v>
      </c>
      <c r="EG212" s="230">
        <v>299543</v>
      </c>
      <c r="EH212" s="230">
        <v>652686</v>
      </c>
      <c r="EI212" s="229">
        <v>-0.54110000000000003</v>
      </c>
      <c r="EJ212" s="229">
        <v>0.48499999999999999</v>
      </c>
      <c r="EK212" s="228">
        <v>485.44</v>
      </c>
      <c r="EL212" s="228">
        <v>249.43</v>
      </c>
      <c r="EM212" s="228">
        <v>568.85</v>
      </c>
      <c r="EN212" s="228">
        <v>145.15</v>
      </c>
      <c r="EO212" s="231">
        <v>1303.72</v>
      </c>
      <c r="EP212" s="231">
        <v>2777.19</v>
      </c>
      <c r="EQ212" s="231">
        <v>-1473.46</v>
      </c>
      <c r="ER212" s="229">
        <v>-0.53059999999999996</v>
      </c>
      <c r="ES212" s="228">
        <v>310.07</v>
      </c>
      <c r="ET212" s="228">
        <v>219.9</v>
      </c>
      <c r="EU212" s="231">
        <v>1264.93</v>
      </c>
      <c r="EV212" s="231">
        <v>25134629</v>
      </c>
      <c r="EW212" s="231">
        <v>1794.9</v>
      </c>
      <c r="EX212" s="231">
        <v>2852.71</v>
      </c>
      <c r="EY212" s="231">
        <v>-1057.81</v>
      </c>
      <c r="EZ212" s="229">
        <v>-0.37080000000000002</v>
      </c>
      <c r="FA212" s="229">
        <v>0.5595</v>
      </c>
      <c r="FB212" s="227" t="s">
        <v>567</v>
      </c>
      <c r="FC212">
        <f t="shared" si="4"/>
        <v>0</v>
      </c>
    </row>
    <row r="213" spans="1:159" ht="17.25" thickBot="1" x14ac:dyDescent="0.3">
      <c r="A213" s="226">
        <v>46168</v>
      </c>
      <c r="B213" s="227" t="s">
        <v>184</v>
      </c>
      <c r="C213" s="227" t="s">
        <v>688</v>
      </c>
      <c r="D213" s="228">
        <v>175</v>
      </c>
      <c r="E213" s="228">
        <v>0</v>
      </c>
      <c r="F213" s="231">
        <v>3107.6</v>
      </c>
      <c r="G213" s="231">
        <v>3004.9</v>
      </c>
      <c r="H213" s="228">
        <v>102.7</v>
      </c>
      <c r="I213" s="229">
        <v>3.4200000000000001E-2</v>
      </c>
      <c r="J213" s="231">
        <v>3088.1</v>
      </c>
      <c r="K213" s="231">
        <v>2984.2</v>
      </c>
      <c r="L213" s="228">
        <v>103.9</v>
      </c>
      <c r="M213" s="229">
        <v>3.4799999999999998E-2</v>
      </c>
      <c r="N213" s="231">
        <v>3083</v>
      </c>
      <c r="O213" s="231">
        <v>2987.8</v>
      </c>
      <c r="P213" s="228">
        <v>95.2</v>
      </c>
      <c r="Q213" s="229">
        <v>3.1899999999999998E-2</v>
      </c>
      <c r="R213" s="231">
        <v>3107.6</v>
      </c>
      <c r="S213" s="231">
        <v>3004.9</v>
      </c>
      <c r="T213" s="228">
        <v>102.7</v>
      </c>
      <c r="U213" s="229">
        <v>3.4200000000000001E-2</v>
      </c>
      <c r="V213" s="231">
        <v>3127.6</v>
      </c>
      <c r="W213" s="231">
        <v>3021.6</v>
      </c>
      <c r="X213" s="228">
        <v>106</v>
      </c>
      <c r="Y213" s="229">
        <v>3.5099999999999999E-2</v>
      </c>
      <c r="Z213" s="228">
        <v>19.5</v>
      </c>
      <c r="AA213" s="228">
        <v>3.6</v>
      </c>
      <c r="AB213" s="228">
        <v>15.9</v>
      </c>
      <c r="AC213" s="229">
        <v>6.3E-3</v>
      </c>
      <c r="AD213" s="228">
        <v>-5.0999999999999996</v>
      </c>
      <c r="AE213" s="228">
        <v>3.6</v>
      </c>
      <c r="AF213" s="228">
        <v>-8.6999999999999993</v>
      </c>
      <c r="AG213" s="229">
        <v>-1.6999999999999999E-3</v>
      </c>
      <c r="AH213" s="228">
        <v>19.5</v>
      </c>
      <c r="AI213" s="228">
        <v>20.7</v>
      </c>
      <c r="AJ213" s="228">
        <v>-1.2</v>
      </c>
      <c r="AK213" s="229">
        <v>6.3E-3</v>
      </c>
      <c r="AL213" s="228">
        <v>39.5</v>
      </c>
      <c r="AM213" s="228">
        <v>37.4</v>
      </c>
      <c r="AN213" s="228">
        <v>2.1</v>
      </c>
      <c r="AO213" s="229">
        <v>1.2800000000000001E-2</v>
      </c>
      <c r="AP213" s="231">
        <v>3081.5</v>
      </c>
      <c r="AQ213" s="231">
        <v>3101.9</v>
      </c>
      <c r="AR213" s="228">
        <v>0</v>
      </c>
      <c r="AS213" s="230">
        <v>1222</v>
      </c>
      <c r="AT213" s="230">
        <v>1136</v>
      </c>
      <c r="AU213" s="228">
        <v>86</v>
      </c>
      <c r="AV213" s="229">
        <v>7.5600000000000001E-2</v>
      </c>
      <c r="AW213" s="228">
        <v>473</v>
      </c>
      <c r="AX213" s="228">
        <v>535</v>
      </c>
      <c r="AY213" s="228">
        <v>-62</v>
      </c>
      <c r="AZ213" s="229">
        <v>-0.1153</v>
      </c>
      <c r="BA213" s="228">
        <v>739</v>
      </c>
      <c r="BB213" s="228">
        <v>592</v>
      </c>
      <c r="BC213" s="228">
        <v>146</v>
      </c>
      <c r="BD213" s="229">
        <v>0.24660000000000001</v>
      </c>
      <c r="BE213" s="228">
        <v>10</v>
      </c>
      <c r="BF213" s="228">
        <v>9</v>
      </c>
      <c r="BG213" s="228">
        <v>1</v>
      </c>
      <c r="BH213" s="229">
        <v>0.16270000000000001</v>
      </c>
      <c r="BI213" s="230">
        <v>4234</v>
      </c>
      <c r="BJ213" s="230">
        <v>2258</v>
      </c>
      <c r="BK213" s="230">
        <v>1976</v>
      </c>
      <c r="BL213" s="229">
        <v>0.87539999999999996</v>
      </c>
      <c r="BM213" s="230">
        <v>1415</v>
      </c>
      <c r="BN213" s="228">
        <v>573</v>
      </c>
      <c r="BO213" s="228">
        <v>842</v>
      </c>
      <c r="BP213" s="229">
        <v>1.4691000000000001</v>
      </c>
      <c r="BQ213" s="230">
        <v>6872</v>
      </c>
      <c r="BR213" s="230">
        <v>3967</v>
      </c>
      <c r="BS213" s="230">
        <v>2904</v>
      </c>
      <c r="BT213" s="229">
        <v>0.73209999999999997</v>
      </c>
      <c r="BU213" s="230">
        <v>1540466</v>
      </c>
      <c r="BV213" s="230">
        <v>1277965</v>
      </c>
      <c r="BW213" s="230">
        <v>262501</v>
      </c>
      <c r="BX213" s="229">
        <v>0.2054</v>
      </c>
      <c r="BY213" s="230">
        <v>1719</v>
      </c>
      <c r="BZ213" s="230">
        <v>1945</v>
      </c>
      <c r="CA213" s="228">
        <v>-226</v>
      </c>
      <c r="CB213" s="229">
        <v>-0.11600000000000001</v>
      </c>
      <c r="CC213" s="228">
        <v>143</v>
      </c>
      <c r="CD213" s="228">
        <v>440</v>
      </c>
      <c r="CE213" s="228">
        <v>-297</v>
      </c>
      <c r="CF213" s="229">
        <v>-0.67520000000000002</v>
      </c>
      <c r="CG213" s="230">
        <v>1685</v>
      </c>
      <c r="CH213" s="230">
        <v>1473</v>
      </c>
      <c r="CI213" s="228">
        <v>212</v>
      </c>
      <c r="CJ213" s="229">
        <v>0.14419999999999999</v>
      </c>
      <c r="CK213" s="228">
        <v>34</v>
      </c>
      <c r="CL213" s="228">
        <v>32</v>
      </c>
      <c r="CM213" s="228">
        <v>2</v>
      </c>
      <c r="CN213" s="229">
        <v>6.6400000000000001E-2</v>
      </c>
      <c r="CO213" s="228">
        <v>336</v>
      </c>
      <c r="CP213" s="230">
        <v>1348</v>
      </c>
      <c r="CQ213" s="230">
        <v>-1012</v>
      </c>
      <c r="CR213" s="229">
        <v>-0.75049999999999994</v>
      </c>
      <c r="CS213" s="228">
        <v>235</v>
      </c>
      <c r="CT213" s="228">
        <v>593</v>
      </c>
      <c r="CU213" s="228">
        <v>-359</v>
      </c>
      <c r="CV213" s="229">
        <v>-0.60450000000000004</v>
      </c>
      <c r="CW213" s="230">
        <v>2290</v>
      </c>
      <c r="CX213" s="230">
        <v>3886</v>
      </c>
      <c r="CY213" s="230">
        <v>-1596</v>
      </c>
      <c r="CZ213" s="229">
        <v>-0.41070000000000001</v>
      </c>
      <c r="DA213" s="228">
        <v>33.51</v>
      </c>
      <c r="DB213" s="228">
        <v>35.049999999999997</v>
      </c>
      <c r="DC213" s="228">
        <v>-1.54</v>
      </c>
      <c r="DD213" s="228">
        <v>-1.54</v>
      </c>
      <c r="DE213" s="228">
        <v>52.74</v>
      </c>
      <c r="DF213" s="228">
        <v>52.67</v>
      </c>
      <c r="DG213" s="228">
        <v>-19.23</v>
      </c>
      <c r="DH213" s="228">
        <v>7.0000000000000007E-2</v>
      </c>
      <c r="DI213" s="228">
        <v>33.86</v>
      </c>
      <c r="DJ213" s="228">
        <v>35.200000000000003</v>
      </c>
      <c r="DK213" s="228">
        <v>-1.34</v>
      </c>
      <c r="DL213" s="228">
        <v>-1.34</v>
      </c>
      <c r="DM213" s="228">
        <v>32.630000000000003</v>
      </c>
      <c r="DN213" s="228">
        <v>34.590000000000003</v>
      </c>
      <c r="DO213" s="228">
        <v>-1.96</v>
      </c>
      <c r="DP213" s="228">
        <v>-1.96</v>
      </c>
      <c r="DQ213" s="228">
        <v>0.7</v>
      </c>
      <c r="DR213" s="228">
        <v>0.44</v>
      </c>
      <c r="DS213" s="228">
        <v>0.26</v>
      </c>
      <c r="DT213" s="229">
        <v>0.59089999999999998</v>
      </c>
      <c r="DU213" s="231">
        <v>3500</v>
      </c>
      <c r="DV213" s="231">
        <v>3000</v>
      </c>
      <c r="DW213" s="228">
        <v>0.33</v>
      </c>
      <c r="DX213" s="228">
        <v>0.25</v>
      </c>
      <c r="DY213" s="228">
        <v>0.08</v>
      </c>
      <c r="DZ213" s="229">
        <v>0.32</v>
      </c>
      <c r="EA213" s="229">
        <v>0.92320000000000002</v>
      </c>
      <c r="EB213" s="230">
        <v>4842250</v>
      </c>
      <c r="EC213" s="229">
        <v>8.0000000000000002E-3</v>
      </c>
      <c r="ED213" s="229">
        <v>0.92320000000000002</v>
      </c>
      <c r="EE213" s="228">
        <v>20.399999999999999</v>
      </c>
      <c r="EF213" s="229">
        <v>6.6E-3</v>
      </c>
      <c r="EG213" s="230">
        <v>526876</v>
      </c>
      <c r="EH213" s="230">
        <v>541186</v>
      </c>
      <c r="EI213" s="229">
        <v>-2.64E-2</v>
      </c>
      <c r="EJ213" s="229">
        <v>0.34200000000000003</v>
      </c>
      <c r="EK213" s="231">
        <v>4360.42</v>
      </c>
      <c r="EL213" s="231">
        <v>1397.32</v>
      </c>
      <c r="EM213" s="231">
        <v>1216.81</v>
      </c>
      <c r="EN213" s="228">
        <v>135.85</v>
      </c>
      <c r="EO213" s="231">
        <v>6974.55</v>
      </c>
      <c r="EP213" s="231">
        <v>3967.05</v>
      </c>
      <c r="EQ213" s="231">
        <v>3007.5</v>
      </c>
      <c r="ER213" s="229">
        <v>0.7581</v>
      </c>
      <c r="ES213" s="228">
        <v>348.85</v>
      </c>
      <c r="ET213" s="228">
        <v>225.65</v>
      </c>
      <c r="EU213" s="231">
        <v>1719.48</v>
      </c>
      <c r="EV213" s="231">
        <v>15436318</v>
      </c>
      <c r="EW213" s="231">
        <v>2293.98</v>
      </c>
      <c r="EX213" s="231">
        <v>3914.49</v>
      </c>
      <c r="EY213" s="231">
        <v>-1620.51</v>
      </c>
      <c r="EZ213" s="229">
        <v>-0.41399999999999998</v>
      </c>
      <c r="FA213" s="229">
        <v>0.47739999999999999</v>
      </c>
      <c r="FB213" s="227" t="s">
        <v>691</v>
      </c>
      <c r="FC213">
        <f t="shared" si="4"/>
        <v>0</v>
      </c>
    </row>
    <row r="214" spans="1:159" ht="17.25" thickBot="1" x14ac:dyDescent="0.3">
      <c r="A214" s="226">
        <v>46168</v>
      </c>
      <c r="B214" s="227" t="s">
        <v>221</v>
      </c>
      <c r="C214" s="227" t="s">
        <v>306</v>
      </c>
      <c r="D214" s="228">
        <v>3000</v>
      </c>
      <c r="E214" s="228">
        <v>0</v>
      </c>
      <c r="F214" s="228">
        <v>181.41</v>
      </c>
      <c r="G214" s="228">
        <v>180.6</v>
      </c>
      <c r="H214" s="228">
        <v>0.81</v>
      </c>
      <c r="I214" s="229">
        <v>4.4999999999999997E-3</v>
      </c>
      <c r="J214" s="228">
        <v>203.73</v>
      </c>
      <c r="K214" s="228">
        <v>206.84</v>
      </c>
      <c r="L214" s="228">
        <v>-3.11</v>
      </c>
      <c r="M214" s="229">
        <v>-1.4999999999999999E-2</v>
      </c>
      <c r="N214" s="228">
        <v>203.94</v>
      </c>
      <c r="O214" s="228">
        <v>207.04</v>
      </c>
      <c r="P214" s="228">
        <v>-3.1</v>
      </c>
      <c r="Q214" s="229">
        <v>-1.4999999999999999E-2</v>
      </c>
      <c r="R214" s="228">
        <v>181.41</v>
      </c>
      <c r="S214" s="228">
        <v>180.6</v>
      </c>
      <c r="T214" s="228">
        <v>0.81</v>
      </c>
      <c r="U214" s="229">
        <v>4.4999999999999997E-3</v>
      </c>
      <c r="V214" s="228">
        <v>177.19</v>
      </c>
      <c r="W214" s="228">
        <v>177.27</v>
      </c>
      <c r="X214" s="228">
        <v>-0.08</v>
      </c>
      <c r="Y214" s="229">
        <v>-5.0000000000000001E-4</v>
      </c>
      <c r="Z214" s="228">
        <v>-22.32</v>
      </c>
      <c r="AA214" s="228">
        <v>0.2</v>
      </c>
      <c r="AB214" s="228">
        <v>-22.52</v>
      </c>
      <c r="AC214" s="229">
        <v>-0.1096</v>
      </c>
      <c r="AD214" s="228">
        <v>0.21</v>
      </c>
      <c r="AE214" s="228">
        <v>0.2</v>
      </c>
      <c r="AF214" s="228">
        <v>0.01</v>
      </c>
      <c r="AG214" s="229">
        <v>1E-3</v>
      </c>
      <c r="AH214" s="228">
        <v>-22.32</v>
      </c>
      <c r="AI214" s="228">
        <v>-26.24</v>
      </c>
      <c r="AJ214" s="228">
        <v>3.92</v>
      </c>
      <c r="AK214" s="229">
        <v>-0.1096</v>
      </c>
      <c r="AL214" s="228">
        <v>-26.54</v>
      </c>
      <c r="AM214" s="228">
        <v>-29.57</v>
      </c>
      <c r="AN214" s="228">
        <v>3.03</v>
      </c>
      <c r="AO214" s="229">
        <v>-0.1303</v>
      </c>
      <c r="AP214" s="228">
        <v>206.79</v>
      </c>
      <c r="AQ214" s="228">
        <v>179.75</v>
      </c>
      <c r="AR214" s="228">
        <v>0</v>
      </c>
      <c r="AS214" s="230">
        <v>3293</v>
      </c>
      <c r="AT214" s="230">
        <v>4386</v>
      </c>
      <c r="AU214" s="230">
        <v>-1093</v>
      </c>
      <c r="AV214" s="229">
        <v>-0.24909999999999999</v>
      </c>
      <c r="AW214" s="230">
        <v>1640</v>
      </c>
      <c r="AX214" s="230">
        <v>2312</v>
      </c>
      <c r="AY214" s="228">
        <v>-672</v>
      </c>
      <c r="AZ214" s="229">
        <v>-0.29060000000000002</v>
      </c>
      <c r="BA214" s="230">
        <v>1465</v>
      </c>
      <c r="BB214" s="230">
        <v>1829</v>
      </c>
      <c r="BC214" s="228">
        <v>-364</v>
      </c>
      <c r="BD214" s="229">
        <v>-0.1991</v>
      </c>
      <c r="BE214" s="228">
        <v>188</v>
      </c>
      <c r="BF214" s="228">
        <v>245</v>
      </c>
      <c r="BG214" s="228">
        <v>-57</v>
      </c>
      <c r="BH214" s="229">
        <v>-0.23180000000000001</v>
      </c>
      <c r="BI214" s="230">
        <v>3366</v>
      </c>
      <c r="BJ214" s="230">
        <v>6175</v>
      </c>
      <c r="BK214" s="230">
        <v>-2810</v>
      </c>
      <c r="BL214" s="229">
        <v>-0.45500000000000002</v>
      </c>
      <c r="BM214" s="230">
        <v>1938</v>
      </c>
      <c r="BN214" s="230">
        <v>2749</v>
      </c>
      <c r="BO214" s="228">
        <v>-811</v>
      </c>
      <c r="BP214" s="229">
        <v>-0.29499999999999998</v>
      </c>
      <c r="BQ214" s="230">
        <v>8597</v>
      </c>
      <c r="BR214" s="230">
        <v>13310</v>
      </c>
      <c r="BS214" s="230">
        <v>-4713</v>
      </c>
      <c r="BT214" s="229">
        <v>-0.35410000000000003</v>
      </c>
      <c r="BU214" s="230">
        <v>47435946</v>
      </c>
      <c r="BV214" s="230">
        <v>74569638</v>
      </c>
      <c r="BW214" s="230">
        <v>-27133692</v>
      </c>
      <c r="BX214" s="229">
        <v>-0.3639</v>
      </c>
      <c r="BY214" s="230">
        <v>4904</v>
      </c>
      <c r="BZ214" s="230">
        <v>6095</v>
      </c>
      <c r="CA214" s="230">
        <v>-1191</v>
      </c>
      <c r="CB214" s="229">
        <v>-0.19550000000000001</v>
      </c>
      <c r="CC214" s="228">
        <v>880</v>
      </c>
      <c r="CD214" s="230">
        <v>1545</v>
      </c>
      <c r="CE214" s="228">
        <v>-665</v>
      </c>
      <c r="CF214" s="229">
        <v>-0.43030000000000002</v>
      </c>
      <c r="CG214" s="230">
        <v>4438</v>
      </c>
      <c r="CH214" s="230">
        <v>4163</v>
      </c>
      <c r="CI214" s="228">
        <v>275</v>
      </c>
      <c r="CJ214" s="229">
        <v>6.6100000000000006E-2</v>
      </c>
      <c r="CK214" s="228">
        <v>466</v>
      </c>
      <c r="CL214" s="228">
        <v>388</v>
      </c>
      <c r="CM214" s="228">
        <v>78</v>
      </c>
      <c r="CN214" s="229">
        <v>0.20169999999999999</v>
      </c>
      <c r="CO214" s="230">
        <v>2300</v>
      </c>
      <c r="CP214" s="230">
        <v>3170</v>
      </c>
      <c r="CQ214" s="228">
        <v>-869</v>
      </c>
      <c r="CR214" s="229">
        <v>-0.27429999999999999</v>
      </c>
      <c r="CS214" s="230">
        <v>1510</v>
      </c>
      <c r="CT214" s="230">
        <v>1913</v>
      </c>
      <c r="CU214" s="228">
        <v>-403</v>
      </c>
      <c r="CV214" s="229">
        <v>-0.21060000000000001</v>
      </c>
      <c r="CW214" s="230">
        <v>8715</v>
      </c>
      <c r="CX214" s="230">
        <v>11179</v>
      </c>
      <c r="CY214" s="230">
        <v>-2464</v>
      </c>
      <c r="CZ214" s="229">
        <v>-0.22040000000000001</v>
      </c>
      <c r="DA214" s="228">
        <v>33.54</v>
      </c>
      <c r="DB214" s="228">
        <v>34.42</v>
      </c>
      <c r="DC214" s="228">
        <v>-0.88</v>
      </c>
      <c r="DD214" s="228">
        <v>-0.88</v>
      </c>
      <c r="DE214" s="228">
        <v>31.06</v>
      </c>
      <c r="DF214" s="228">
        <v>31.13</v>
      </c>
      <c r="DG214" s="228">
        <v>2.48</v>
      </c>
      <c r="DH214" s="228">
        <v>-7.0000000000000007E-2</v>
      </c>
      <c r="DI214" s="228">
        <v>34.94</v>
      </c>
      <c r="DJ214" s="228">
        <v>36.01</v>
      </c>
      <c r="DK214" s="228">
        <v>-1.07</v>
      </c>
      <c r="DL214" s="228">
        <v>-1.07</v>
      </c>
      <c r="DM214" s="228">
        <v>30.77</v>
      </c>
      <c r="DN214" s="228">
        <v>29.59</v>
      </c>
      <c r="DO214" s="228">
        <v>1.18</v>
      </c>
      <c r="DP214" s="228">
        <v>1.18</v>
      </c>
      <c r="DQ214" s="228">
        <v>0.66</v>
      </c>
      <c r="DR214" s="228">
        <v>0.6</v>
      </c>
      <c r="DS214" s="228">
        <v>0.06</v>
      </c>
      <c r="DT214" s="229">
        <v>0.1</v>
      </c>
      <c r="DU214" s="228">
        <v>200</v>
      </c>
      <c r="DV214" s="228">
        <v>180</v>
      </c>
      <c r="DW214" s="228">
        <v>0.57999999999999996</v>
      </c>
      <c r="DX214" s="228">
        <v>0.45</v>
      </c>
      <c r="DY214" s="228">
        <v>0.13</v>
      </c>
      <c r="DZ214" s="229">
        <v>0.28889999999999999</v>
      </c>
      <c r="EA214" s="229">
        <v>0.8478</v>
      </c>
      <c r="EB214" s="230">
        <v>250839000</v>
      </c>
      <c r="EC214" s="229">
        <v>-0.1105</v>
      </c>
      <c r="ED214" s="229">
        <v>0.8478</v>
      </c>
      <c r="EE214" s="228">
        <v>-27.04</v>
      </c>
      <c r="EF214" s="229">
        <v>-0.1308</v>
      </c>
      <c r="EG214" s="230">
        <v>27653330</v>
      </c>
      <c r="EH214" s="230">
        <v>42041781</v>
      </c>
      <c r="EI214" s="229">
        <v>-0.3422</v>
      </c>
      <c r="EJ214" s="229">
        <v>0.58299999999999996</v>
      </c>
      <c r="EK214" s="231">
        <v>3799.4</v>
      </c>
      <c r="EL214" s="231">
        <v>1980.74</v>
      </c>
      <c r="EM214" s="231">
        <v>3504.05</v>
      </c>
      <c r="EN214" s="228">
        <v>558.29999999999995</v>
      </c>
      <c r="EO214" s="231">
        <v>9284.18</v>
      </c>
      <c r="EP214" s="231">
        <v>14817.64</v>
      </c>
      <c r="EQ214" s="231">
        <v>-5533.46</v>
      </c>
      <c r="ER214" s="229">
        <v>-0.37340000000000001</v>
      </c>
      <c r="ES214" s="231">
        <v>2541.39</v>
      </c>
      <c r="ET214" s="231">
        <v>1505.9</v>
      </c>
      <c r="EU214" s="231">
        <v>4893.21</v>
      </c>
      <c r="EV214" s="231">
        <v>428710078</v>
      </c>
      <c r="EW214" s="231">
        <v>8940.5</v>
      </c>
      <c r="EX214" s="231">
        <v>11827.56</v>
      </c>
      <c r="EY214" s="231">
        <v>-2887.06</v>
      </c>
      <c r="EZ214" s="229">
        <v>-0.24410000000000001</v>
      </c>
      <c r="FA214" s="229">
        <v>1.1206</v>
      </c>
      <c r="FB214" s="227" t="s">
        <v>691</v>
      </c>
      <c r="FC214">
        <f t="shared" si="4"/>
        <v>0</v>
      </c>
    </row>
    <row r="215" spans="1:159" ht="17.25" thickBot="1" x14ac:dyDescent="0.3">
      <c r="A215" s="226">
        <v>46168</v>
      </c>
      <c r="B215" s="227" t="s">
        <v>172</v>
      </c>
      <c r="C215" s="227" t="s">
        <v>589</v>
      </c>
      <c r="D215" s="228">
        <v>31100</v>
      </c>
      <c r="E215" s="228">
        <v>0</v>
      </c>
      <c r="F215" s="228">
        <v>23.01</v>
      </c>
      <c r="G215" s="228">
        <v>22.46</v>
      </c>
      <c r="H215" s="228">
        <v>0.55000000000000004</v>
      </c>
      <c r="I215" s="229">
        <v>2.4500000000000001E-2</v>
      </c>
      <c r="J215" s="228">
        <v>22.83</v>
      </c>
      <c r="K215" s="228">
        <v>22.29</v>
      </c>
      <c r="L215" s="228">
        <v>0.54</v>
      </c>
      <c r="M215" s="229">
        <v>2.4199999999999999E-2</v>
      </c>
      <c r="N215" s="228">
        <v>22.84</v>
      </c>
      <c r="O215" s="228">
        <v>22.32</v>
      </c>
      <c r="P215" s="228">
        <v>0.52</v>
      </c>
      <c r="Q215" s="229">
        <v>2.3300000000000001E-2</v>
      </c>
      <c r="R215" s="228">
        <v>23.01</v>
      </c>
      <c r="S215" s="228">
        <v>22.46</v>
      </c>
      <c r="T215" s="228">
        <v>0.55000000000000004</v>
      </c>
      <c r="U215" s="229">
        <v>2.4500000000000001E-2</v>
      </c>
      <c r="V215" s="228">
        <v>23.15</v>
      </c>
      <c r="W215" s="228">
        <v>22.62</v>
      </c>
      <c r="X215" s="228">
        <v>0.53</v>
      </c>
      <c r="Y215" s="229">
        <v>2.3400000000000001E-2</v>
      </c>
      <c r="Z215" s="228">
        <v>0.18</v>
      </c>
      <c r="AA215" s="228">
        <v>0.03</v>
      </c>
      <c r="AB215" s="228">
        <v>0.15</v>
      </c>
      <c r="AC215" s="229">
        <v>7.9000000000000008E-3</v>
      </c>
      <c r="AD215" s="228">
        <v>0.01</v>
      </c>
      <c r="AE215" s="228">
        <v>0.03</v>
      </c>
      <c r="AF215" s="228">
        <v>-0.02</v>
      </c>
      <c r="AG215" s="229">
        <v>4.0000000000000002E-4</v>
      </c>
      <c r="AH215" s="228">
        <v>0.18</v>
      </c>
      <c r="AI215" s="228">
        <v>0.17</v>
      </c>
      <c r="AJ215" s="228">
        <v>0.01</v>
      </c>
      <c r="AK215" s="229">
        <v>7.9000000000000008E-3</v>
      </c>
      <c r="AL215" s="228">
        <v>0.32</v>
      </c>
      <c r="AM215" s="228">
        <v>0.33</v>
      </c>
      <c r="AN215" s="228">
        <v>-0.01</v>
      </c>
      <c r="AO215" s="229">
        <v>1.4E-2</v>
      </c>
      <c r="AP215" s="228">
        <v>22.57</v>
      </c>
      <c r="AQ215" s="228">
        <v>22.73</v>
      </c>
      <c r="AR215" s="228">
        <v>0</v>
      </c>
      <c r="AS215" s="230">
        <v>1507</v>
      </c>
      <c r="AT215" s="230">
        <v>1331</v>
      </c>
      <c r="AU215" s="228">
        <v>176</v>
      </c>
      <c r="AV215" s="229">
        <v>0.1323</v>
      </c>
      <c r="AW215" s="228">
        <v>583</v>
      </c>
      <c r="AX215" s="228">
        <v>607</v>
      </c>
      <c r="AY215" s="228">
        <v>-25</v>
      </c>
      <c r="AZ215" s="229">
        <v>-4.1099999999999998E-2</v>
      </c>
      <c r="BA215" s="228">
        <v>893</v>
      </c>
      <c r="BB215" s="228">
        <v>685</v>
      </c>
      <c r="BC215" s="228">
        <v>208</v>
      </c>
      <c r="BD215" s="229">
        <v>0.30330000000000001</v>
      </c>
      <c r="BE215" s="228">
        <v>32</v>
      </c>
      <c r="BF215" s="228">
        <v>38</v>
      </c>
      <c r="BG215" s="228">
        <v>-7</v>
      </c>
      <c r="BH215" s="229">
        <v>-0.17349999999999999</v>
      </c>
      <c r="BI215" s="228">
        <v>907</v>
      </c>
      <c r="BJ215" s="228">
        <v>696</v>
      </c>
      <c r="BK215" s="228">
        <v>211</v>
      </c>
      <c r="BL215" s="229">
        <v>0.3034</v>
      </c>
      <c r="BM215" s="228">
        <v>391</v>
      </c>
      <c r="BN215" s="228">
        <v>486</v>
      </c>
      <c r="BO215" s="228">
        <v>-96</v>
      </c>
      <c r="BP215" s="229">
        <v>-0.1968</v>
      </c>
      <c r="BQ215" s="230">
        <v>2805</v>
      </c>
      <c r="BR215" s="230">
        <v>2513</v>
      </c>
      <c r="BS215" s="228">
        <v>292</v>
      </c>
      <c r="BT215" s="229">
        <v>0.11600000000000001</v>
      </c>
      <c r="BU215" s="230">
        <v>135932089</v>
      </c>
      <c r="BV215" s="230">
        <v>78532270</v>
      </c>
      <c r="BW215" s="230">
        <v>57399819</v>
      </c>
      <c r="BX215" s="229">
        <v>0.73089999999999999</v>
      </c>
      <c r="BY215" s="230">
        <v>2802</v>
      </c>
      <c r="BZ215" s="230">
        <v>2839</v>
      </c>
      <c r="CA215" s="228">
        <v>-37</v>
      </c>
      <c r="CB215" s="229">
        <v>-1.3100000000000001E-2</v>
      </c>
      <c r="CC215" s="228">
        <v>81</v>
      </c>
      <c r="CD215" s="228">
        <v>523</v>
      </c>
      <c r="CE215" s="228">
        <v>-442</v>
      </c>
      <c r="CF215" s="229">
        <v>-0.84589999999999999</v>
      </c>
      <c r="CG215" s="230">
        <v>2575</v>
      </c>
      <c r="CH215" s="230">
        <v>2101</v>
      </c>
      <c r="CI215" s="228">
        <v>474</v>
      </c>
      <c r="CJ215" s="229">
        <v>0.22550000000000001</v>
      </c>
      <c r="CK215" s="228">
        <v>227</v>
      </c>
      <c r="CL215" s="228">
        <v>215</v>
      </c>
      <c r="CM215" s="228">
        <v>11</v>
      </c>
      <c r="CN215" s="229">
        <v>5.2499999999999998E-2</v>
      </c>
      <c r="CO215" s="228">
        <v>405</v>
      </c>
      <c r="CP215" s="228">
        <v>942</v>
      </c>
      <c r="CQ215" s="228">
        <v>-537</v>
      </c>
      <c r="CR215" s="229">
        <v>-0.57030000000000003</v>
      </c>
      <c r="CS215" s="228">
        <v>262</v>
      </c>
      <c r="CT215" s="228">
        <v>604</v>
      </c>
      <c r="CU215" s="228">
        <v>-342</v>
      </c>
      <c r="CV215" s="229">
        <v>-0.56579999999999997</v>
      </c>
      <c r="CW215" s="230">
        <v>3469</v>
      </c>
      <c r="CX215" s="230">
        <v>4385</v>
      </c>
      <c r="CY215" s="228">
        <v>-916</v>
      </c>
      <c r="CZ215" s="229">
        <v>-0.20899999999999999</v>
      </c>
      <c r="DA215" s="228">
        <v>30.82</v>
      </c>
      <c r="DB215" s="228">
        <v>31.69</v>
      </c>
      <c r="DC215" s="228">
        <v>-0.87</v>
      </c>
      <c r="DD215" s="228">
        <v>-0.87</v>
      </c>
      <c r="DE215" s="228">
        <v>38.72</v>
      </c>
      <c r="DF215" s="228">
        <v>38.68</v>
      </c>
      <c r="DG215" s="228">
        <v>-7.9</v>
      </c>
      <c r="DH215" s="228">
        <v>0.04</v>
      </c>
      <c r="DI215" s="228">
        <v>31.01</v>
      </c>
      <c r="DJ215" s="228">
        <v>32.18</v>
      </c>
      <c r="DK215" s="228">
        <v>-1.17</v>
      </c>
      <c r="DL215" s="228">
        <v>-1.17</v>
      </c>
      <c r="DM215" s="228">
        <v>30.42</v>
      </c>
      <c r="DN215" s="228">
        <v>30.62</v>
      </c>
      <c r="DO215" s="228">
        <v>-0.2</v>
      </c>
      <c r="DP215" s="228">
        <v>-0.2</v>
      </c>
      <c r="DQ215" s="228">
        <v>0.65</v>
      </c>
      <c r="DR215" s="228">
        <v>0.64</v>
      </c>
      <c r="DS215" s="228">
        <v>0.01</v>
      </c>
      <c r="DT215" s="229">
        <v>1.5599999999999999E-2</v>
      </c>
      <c r="DU215" s="228">
        <v>24</v>
      </c>
      <c r="DV215" s="228">
        <v>20</v>
      </c>
      <c r="DW215" s="228">
        <v>0.43</v>
      </c>
      <c r="DX215" s="228">
        <v>0.7</v>
      </c>
      <c r="DY215" s="228">
        <v>-0.27</v>
      </c>
      <c r="DZ215" s="229">
        <v>-0.38569999999999999</v>
      </c>
      <c r="EA215" s="229">
        <v>0.97209999999999996</v>
      </c>
      <c r="EB215" s="230">
        <v>1006831400</v>
      </c>
      <c r="EC215" s="229">
        <v>7.4000000000000003E-3</v>
      </c>
      <c r="ED215" s="229">
        <v>0.97209999999999996</v>
      </c>
      <c r="EE215" s="228">
        <v>0.16</v>
      </c>
      <c r="EF215" s="229">
        <v>7.1000000000000004E-3</v>
      </c>
      <c r="EG215" s="230">
        <v>56386877</v>
      </c>
      <c r="EH215" s="230">
        <v>36437917</v>
      </c>
      <c r="EI215" s="229">
        <v>0.54749999999999999</v>
      </c>
      <c r="EJ215" s="229">
        <v>0.4148</v>
      </c>
      <c r="EK215" s="228">
        <v>947.24</v>
      </c>
      <c r="EL215" s="228">
        <v>375.91</v>
      </c>
      <c r="EM215" s="231">
        <v>1484.78</v>
      </c>
      <c r="EN215" s="228">
        <v>153.15</v>
      </c>
      <c r="EO215" s="231">
        <v>2807.93</v>
      </c>
      <c r="EP215" s="231">
        <v>2463.46</v>
      </c>
      <c r="EQ215" s="228">
        <v>344.47</v>
      </c>
      <c r="ER215" s="229">
        <v>0.13980000000000001</v>
      </c>
      <c r="ES215" s="228">
        <v>416.75</v>
      </c>
      <c r="ET215" s="228">
        <v>242.34</v>
      </c>
      <c r="EU215" s="231">
        <v>2803.35</v>
      </c>
      <c r="EV215" s="231">
        <v>3425130022</v>
      </c>
      <c r="EW215" s="231">
        <v>3462.44</v>
      </c>
      <c r="EX215" s="231">
        <v>4264.49</v>
      </c>
      <c r="EY215" s="228">
        <v>-802.05</v>
      </c>
      <c r="EZ215" s="229">
        <v>-0.18809999999999999</v>
      </c>
      <c r="FA215" s="229">
        <v>0.44019999999999998</v>
      </c>
      <c r="FB215" s="227" t="s">
        <v>691</v>
      </c>
      <c r="FC215">
        <f t="shared" si="4"/>
        <v>0</v>
      </c>
    </row>
    <row r="216" spans="1:159" ht="17.25" thickBot="1" x14ac:dyDescent="0.3">
      <c r="A216" s="226">
        <v>46168</v>
      </c>
      <c r="B216" s="227" t="s">
        <v>170</v>
      </c>
      <c r="C216" s="227" t="s">
        <v>556</v>
      </c>
      <c r="D216" s="228">
        <v>900</v>
      </c>
      <c r="E216" s="228">
        <v>0</v>
      </c>
      <c r="F216" s="231">
        <v>1084.55</v>
      </c>
      <c r="G216" s="231">
        <v>1078.5</v>
      </c>
      <c r="H216" s="228">
        <v>6.05</v>
      </c>
      <c r="I216" s="229">
        <v>5.5999999999999999E-3</v>
      </c>
      <c r="J216" s="231">
        <v>1079.05</v>
      </c>
      <c r="K216" s="231">
        <v>1072.95</v>
      </c>
      <c r="L216" s="228">
        <v>6.1</v>
      </c>
      <c r="M216" s="229">
        <v>5.7000000000000002E-3</v>
      </c>
      <c r="N216" s="231">
        <v>1077.05</v>
      </c>
      <c r="O216" s="231">
        <v>1072.05</v>
      </c>
      <c r="P216" s="228">
        <v>5</v>
      </c>
      <c r="Q216" s="229">
        <v>4.7000000000000002E-3</v>
      </c>
      <c r="R216" s="231">
        <v>1084.55</v>
      </c>
      <c r="S216" s="231">
        <v>1078.5</v>
      </c>
      <c r="T216" s="228">
        <v>6.05</v>
      </c>
      <c r="U216" s="229">
        <v>5.5999999999999999E-3</v>
      </c>
      <c r="V216" s="231">
        <v>1088.2</v>
      </c>
      <c r="W216" s="231">
        <v>1082.05</v>
      </c>
      <c r="X216" s="228">
        <v>6.15</v>
      </c>
      <c r="Y216" s="229">
        <v>5.7000000000000002E-3</v>
      </c>
      <c r="Z216" s="228">
        <v>5.5</v>
      </c>
      <c r="AA216" s="228">
        <v>-0.9</v>
      </c>
      <c r="AB216" s="228">
        <v>6.4</v>
      </c>
      <c r="AC216" s="229">
        <v>5.1000000000000004E-3</v>
      </c>
      <c r="AD216" s="228">
        <v>-2</v>
      </c>
      <c r="AE216" s="228">
        <v>-0.9</v>
      </c>
      <c r="AF216" s="228">
        <v>-1.1000000000000001</v>
      </c>
      <c r="AG216" s="229">
        <v>-1.9E-3</v>
      </c>
      <c r="AH216" s="228">
        <v>5.5</v>
      </c>
      <c r="AI216" s="228">
        <v>5.55</v>
      </c>
      <c r="AJ216" s="228">
        <v>-0.05</v>
      </c>
      <c r="AK216" s="229">
        <v>5.1000000000000004E-3</v>
      </c>
      <c r="AL216" s="228">
        <v>9.15</v>
      </c>
      <c r="AM216" s="228">
        <v>9.1</v>
      </c>
      <c r="AN216" s="228">
        <v>0.05</v>
      </c>
      <c r="AO216" s="229">
        <v>8.5000000000000006E-3</v>
      </c>
      <c r="AP216" s="231">
        <v>1076.8699999999999</v>
      </c>
      <c r="AQ216" s="231">
        <v>1083.95</v>
      </c>
      <c r="AR216" s="228">
        <v>0</v>
      </c>
      <c r="AS216" s="228">
        <v>515</v>
      </c>
      <c r="AT216" s="230">
        <v>1042</v>
      </c>
      <c r="AU216" s="228">
        <v>-526</v>
      </c>
      <c r="AV216" s="229">
        <v>-0.50519999999999998</v>
      </c>
      <c r="AW216" s="228">
        <v>214</v>
      </c>
      <c r="AX216" s="228">
        <v>470</v>
      </c>
      <c r="AY216" s="228">
        <v>-256</v>
      </c>
      <c r="AZ216" s="229">
        <v>-0.54479999999999995</v>
      </c>
      <c r="BA216" s="228">
        <v>297</v>
      </c>
      <c r="BB216" s="228">
        <v>564</v>
      </c>
      <c r="BC216" s="228">
        <v>-267</v>
      </c>
      <c r="BD216" s="229">
        <v>-0.47339999999999999</v>
      </c>
      <c r="BE216" s="228">
        <v>4</v>
      </c>
      <c r="BF216" s="228">
        <v>7</v>
      </c>
      <c r="BG216" s="228">
        <v>-3</v>
      </c>
      <c r="BH216" s="229">
        <v>-0.40279999999999999</v>
      </c>
      <c r="BI216" s="228">
        <v>872</v>
      </c>
      <c r="BJ216" s="230">
        <v>2493</v>
      </c>
      <c r="BK216" s="230">
        <v>-1622</v>
      </c>
      <c r="BL216" s="229">
        <v>-0.65049999999999997</v>
      </c>
      <c r="BM216" s="228">
        <v>383</v>
      </c>
      <c r="BN216" s="228">
        <v>725</v>
      </c>
      <c r="BO216" s="228">
        <v>-341</v>
      </c>
      <c r="BP216" s="229">
        <v>-0.47089999999999999</v>
      </c>
      <c r="BQ216" s="230">
        <v>1770</v>
      </c>
      <c r="BR216" s="230">
        <v>4260</v>
      </c>
      <c r="BS216" s="230">
        <v>-2489</v>
      </c>
      <c r="BT216" s="229">
        <v>-0.58440000000000003</v>
      </c>
      <c r="BU216" s="230">
        <v>2055286</v>
      </c>
      <c r="BV216" s="230">
        <v>2476912</v>
      </c>
      <c r="BW216" s="230">
        <v>-421626</v>
      </c>
      <c r="BX216" s="229">
        <v>-0.17019999999999999</v>
      </c>
      <c r="BY216" s="230">
        <v>1159</v>
      </c>
      <c r="BZ216" s="230">
        <v>1341</v>
      </c>
      <c r="CA216" s="228">
        <v>-181</v>
      </c>
      <c r="CB216" s="229">
        <v>-0.1353</v>
      </c>
      <c r="CC216" s="228">
        <v>105</v>
      </c>
      <c r="CD216" s="228">
        <v>225</v>
      </c>
      <c r="CE216" s="228">
        <v>-120</v>
      </c>
      <c r="CF216" s="229">
        <v>-0.53320000000000001</v>
      </c>
      <c r="CG216" s="230">
        <v>1145</v>
      </c>
      <c r="CH216" s="230">
        <v>1102</v>
      </c>
      <c r="CI216" s="228">
        <v>43</v>
      </c>
      <c r="CJ216" s="229">
        <v>3.8600000000000002E-2</v>
      </c>
      <c r="CK216" s="228">
        <v>15</v>
      </c>
      <c r="CL216" s="228">
        <v>14</v>
      </c>
      <c r="CM216" s="228">
        <v>1</v>
      </c>
      <c r="CN216" s="229">
        <v>7.1900000000000006E-2</v>
      </c>
      <c r="CO216" s="228">
        <v>290</v>
      </c>
      <c r="CP216" s="228">
        <v>810</v>
      </c>
      <c r="CQ216" s="228">
        <v>-520</v>
      </c>
      <c r="CR216" s="229">
        <v>-0.64200000000000002</v>
      </c>
      <c r="CS216" s="228">
        <v>180</v>
      </c>
      <c r="CT216" s="228">
        <v>534</v>
      </c>
      <c r="CU216" s="228">
        <v>-354</v>
      </c>
      <c r="CV216" s="229">
        <v>-0.66290000000000004</v>
      </c>
      <c r="CW216" s="230">
        <v>1629</v>
      </c>
      <c r="CX216" s="230">
        <v>2685</v>
      </c>
      <c r="CY216" s="230">
        <v>-1056</v>
      </c>
      <c r="CZ216" s="229">
        <v>-0.3931</v>
      </c>
      <c r="DA216" s="228">
        <v>24.18</v>
      </c>
      <c r="DB216" s="228">
        <v>25.01</v>
      </c>
      <c r="DC216" s="228">
        <v>-0.83</v>
      </c>
      <c r="DD216" s="228">
        <v>-0.83</v>
      </c>
      <c r="DE216" s="228">
        <v>29.59</v>
      </c>
      <c r="DF216" s="228">
        <v>29.66</v>
      </c>
      <c r="DG216" s="228">
        <v>-5.41</v>
      </c>
      <c r="DH216" s="228">
        <v>-7.0000000000000007E-2</v>
      </c>
      <c r="DI216" s="228">
        <v>23.9</v>
      </c>
      <c r="DJ216" s="228">
        <v>24.77</v>
      </c>
      <c r="DK216" s="228">
        <v>-0.87</v>
      </c>
      <c r="DL216" s="228">
        <v>-0.87</v>
      </c>
      <c r="DM216" s="228">
        <v>24.81</v>
      </c>
      <c r="DN216" s="228">
        <v>25.77</v>
      </c>
      <c r="DO216" s="228">
        <v>-0.96</v>
      </c>
      <c r="DP216" s="228">
        <v>-0.96</v>
      </c>
      <c r="DQ216" s="228">
        <v>0.62</v>
      </c>
      <c r="DR216" s="228">
        <v>0.66</v>
      </c>
      <c r="DS216" s="228">
        <v>-0.04</v>
      </c>
      <c r="DT216" s="229">
        <v>-6.0600000000000001E-2</v>
      </c>
      <c r="DU216" s="231">
        <v>1100</v>
      </c>
      <c r="DV216" s="231">
        <v>1000</v>
      </c>
      <c r="DW216" s="228">
        <v>0.44</v>
      </c>
      <c r="DX216" s="228">
        <v>0.28999999999999998</v>
      </c>
      <c r="DY216" s="228">
        <v>0.15</v>
      </c>
      <c r="DZ216" s="229">
        <v>0.51719999999999999</v>
      </c>
      <c r="EA216" s="229">
        <v>0.91690000000000005</v>
      </c>
      <c r="EB216" s="230">
        <v>10288800</v>
      </c>
      <c r="EC216" s="229">
        <v>7.0000000000000001E-3</v>
      </c>
      <c r="ED216" s="229">
        <v>0.91690000000000005</v>
      </c>
      <c r="EE216" s="228">
        <v>7.08</v>
      </c>
      <c r="EF216" s="229">
        <v>6.6E-3</v>
      </c>
      <c r="EG216" s="230">
        <v>1287776</v>
      </c>
      <c r="EH216" s="230">
        <v>1341570</v>
      </c>
      <c r="EI216" s="229">
        <v>-4.0099999999999997E-2</v>
      </c>
      <c r="EJ216" s="229">
        <v>0.62660000000000005</v>
      </c>
      <c r="EK216" s="228">
        <v>895.58</v>
      </c>
      <c r="EL216" s="228">
        <v>371.47</v>
      </c>
      <c r="EM216" s="228">
        <v>513.80999999999995</v>
      </c>
      <c r="EN216" s="228">
        <v>114.03</v>
      </c>
      <c r="EO216" s="231">
        <v>1780.85</v>
      </c>
      <c r="EP216" s="231">
        <v>4227.62</v>
      </c>
      <c r="EQ216" s="231">
        <v>-2446.77</v>
      </c>
      <c r="ER216" s="229">
        <v>-0.57879999999999998</v>
      </c>
      <c r="ES216" s="228">
        <v>296.18</v>
      </c>
      <c r="ET216" s="228">
        <v>169.55</v>
      </c>
      <c r="EU216" s="231">
        <v>1159.45</v>
      </c>
      <c r="EV216" s="231">
        <v>25160867</v>
      </c>
      <c r="EW216" s="231">
        <v>1625.18</v>
      </c>
      <c r="EX216" s="231">
        <v>2624.36</v>
      </c>
      <c r="EY216" s="228">
        <v>-999.18</v>
      </c>
      <c r="EZ216" s="229">
        <v>-0.38069999999999998</v>
      </c>
      <c r="FA216" s="229">
        <v>0.59709999999999996</v>
      </c>
      <c r="FB216" s="227" t="s">
        <v>691</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CA8" sqref="CA8"/>
    </sheetView>
  </sheetViews>
  <sheetFormatPr defaultRowHeight="15" x14ac:dyDescent="0.25"/>
  <cols>
    <col min="1" max="1" width="12.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85546875" customWidth="1"/>
    <col min="79" max="79" width="9.85546875" customWidth="1"/>
    <col min="80" max="80" width="14" customWidth="1"/>
    <col min="81" max="81" width="15.5703125" customWidth="1"/>
    <col min="82" max="82" width="14.85546875" customWidth="1"/>
    <col min="83" max="83" width="11.42578125" customWidth="1"/>
    <col min="84" max="85" width="15.5703125" customWidth="1"/>
    <col min="86" max="86" width="14" customWidth="1"/>
    <col min="87" max="87" width="11.42578125" customWidth="1"/>
    <col min="88" max="89" width="14" customWidth="1"/>
    <col min="90" max="90" width="12.7109375" customWidth="1"/>
    <col min="91" max="91" width="10.140625" customWidth="1"/>
    <col min="92" max="93" width="15.5703125" customWidth="1"/>
    <col min="94" max="94" width="14.85546875" customWidth="1"/>
    <col min="95" max="95" width="10.42578125" customWidth="1"/>
    <col min="96" max="96" width="14" customWidth="1"/>
    <col min="97" max="97" width="15.5703125" customWidth="1"/>
    <col min="98" max="98" width="14.85546875" customWidth="1"/>
    <col min="99" max="99" width="10.28515625" customWidth="1"/>
    <col min="100" max="101" width="15.5703125" customWidth="1"/>
    <col min="102" max="102" width="16.4257812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140625"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5.85546875" customWidth="1"/>
    <col min="153" max="153" width="16.7109375" customWidth="1"/>
    <col min="154" max="154" width="16.42578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46168</v>
      </c>
      <c r="B2" s="227" t="s">
        <v>175</v>
      </c>
      <c r="C2" s="227" t="s">
        <v>678</v>
      </c>
      <c r="D2" s="228">
        <v>500</v>
      </c>
      <c r="E2" s="231">
        <v>1134</v>
      </c>
      <c r="F2" s="231">
        <v>1149.4000000000001</v>
      </c>
      <c r="G2" s="228">
        <v>-15.4</v>
      </c>
      <c r="H2" s="229">
        <v>-1.34E-2</v>
      </c>
      <c r="I2" s="231">
        <v>1125.3</v>
      </c>
      <c r="J2" s="231">
        <v>1142.4000000000001</v>
      </c>
      <c r="K2" s="228">
        <v>-17.100000000000001</v>
      </c>
      <c r="L2" s="229">
        <v>-1.4999999999999999E-2</v>
      </c>
      <c r="M2" s="231">
        <v>1125.0999999999999</v>
      </c>
      <c r="N2" s="231">
        <v>1141.5999999999999</v>
      </c>
      <c r="O2" s="228">
        <v>-16.5</v>
      </c>
      <c r="P2" s="229">
        <v>-1.4500000000000001E-2</v>
      </c>
      <c r="Q2" s="231">
        <v>1134</v>
      </c>
      <c r="R2" s="231">
        <v>1149.4000000000001</v>
      </c>
      <c r="S2" s="228">
        <v>-15.4</v>
      </c>
      <c r="T2" s="229">
        <v>-1.34E-2</v>
      </c>
      <c r="U2" s="231">
        <v>1139.5999999999999</v>
      </c>
      <c r="V2" s="231">
        <v>1149.0999999999999</v>
      </c>
      <c r="W2" s="228">
        <v>-9.5</v>
      </c>
      <c r="X2" s="229">
        <v>-8.3000000000000001E-3</v>
      </c>
      <c r="Y2" s="228">
        <v>8.6999999999999993</v>
      </c>
      <c r="Z2" s="228">
        <v>-0.8</v>
      </c>
      <c r="AA2" s="228">
        <v>9.5</v>
      </c>
      <c r="AB2" s="229">
        <v>7.7000000000000002E-3</v>
      </c>
      <c r="AC2" s="228">
        <v>-0.2</v>
      </c>
      <c r="AD2" s="228">
        <v>-0.8</v>
      </c>
      <c r="AE2" s="228">
        <v>0.6</v>
      </c>
      <c r="AF2" s="229">
        <v>-2.0000000000000001E-4</v>
      </c>
      <c r="AG2" s="228">
        <v>8.6999999999999993</v>
      </c>
      <c r="AH2" s="228">
        <v>7</v>
      </c>
      <c r="AI2" s="228">
        <v>1.7</v>
      </c>
      <c r="AJ2" s="229">
        <v>7.7000000000000002E-3</v>
      </c>
      <c r="AK2" s="228">
        <v>14.3</v>
      </c>
      <c r="AL2" s="228">
        <v>6.7</v>
      </c>
      <c r="AM2" s="228">
        <v>7.6</v>
      </c>
      <c r="AN2" s="229">
        <v>1.2699999999999999E-2</v>
      </c>
      <c r="AO2" s="231">
        <v>1134.45</v>
      </c>
      <c r="AP2" s="231">
        <v>1141.3499999999999</v>
      </c>
      <c r="AQ2" s="228">
        <v>0</v>
      </c>
      <c r="AR2" s="230">
        <v>3109000</v>
      </c>
      <c r="AS2" s="230">
        <v>3534000</v>
      </c>
      <c r="AT2" s="230">
        <v>-425000</v>
      </c>
      <c r="AU2" s="229">
        <v>-0.1203</v>
      </c>
      <c r="AV2" s="230">
        <v>1365500</v>
      </c>
      <c r="AW2" s="230">
        <v>1616500</v>
      </c>
      <c r="AX2" s="230">
        <v>-251000</v>
      </c>
      <c r="AY2" s="229">
        <v>-0.15529999999999999</v>
      </c>
      <c r="AZ2" s="230">
        <v>1733000</v>
      </c>
      <c r="BA2" s="230">
        <v>1913000</v>
      </c>
      <c r="BB2" s="230">
        <v>-180000</v>
      </c>
      <c r="BC2" s="229">
        <v>-9.4100000000000003E-2</v>
      </c>
      <c r="BD2" s="230">
        <v>10500</v>
      </c>
      <c r="BE2" s="230">
        <v>4500</v>
      </c>
      <c r="BF2" s="230">
        <v>6000</v>
      </c>
      <c r="BG2" s="229">
        <v>1.3332999999999999</v>
      </c>
      <c r="BH2" s="230">
        <v>1099000</v>
      </c>
      <c r="BI2" s="230">
        <v>1837500</v>
      </c>
      <c r="BJ2" s="230">
        <v>-738500</v>
      </c>
      <c r="BK2" s="229">
        <v>-0.40189999999999998</v>
      </c>
      <c r="BL2" s="230">
        <v>611500</v>
      </c>
      <c r="BM2" s="230">
        <v>1354000</v>
      </c>
      <c r="BN2" s="230">
        <v>-742500</v>
      </c>
      <c r="BO2" s="229">
        <v>-0.5484</v>
      </c>
      <c r="BP2" s="230">
        <v>4819500</v>
      </c>
      <c r="BQ2" s="230">
        <v>6725500</v>
      </c>
      <c r="BR2" s="230">
        <v>-1906000</v>
      </c>
      <c r="BS2" s="229">
        <v>-0.28339999999999999</v>
      </c>
      <c r="BT2" s="230">
        <v>787455</v>
      </c>
      <c r="BU2" s="230">
        <v>838930</v>
      </c>
      <c r="BV2" s="230">
        <v>-51475</v>
      </c>
      <c r="BW2" s="229">
        <v>-6.1400000000000003E-2</v>
      </c>
      <c r="BX2" s="230">
        <v>4760000</v>
      </c>
      <c r="BY2" s="230">
        <v>5349000</v>
      </c>
      <c r="BZ2" s="230">
        <v>-589000</v>
      </c>
      <c r="CA2" s="229">
        <v>-0.1101</v>
      </c>
      <c r="CB2" s="230">
        <v>154000</v>
      </c>
      <c r="CC2" s="230">
        <v>1021500</v>
      </c>
      <c r="CD2" s="230">
        <v>-867500</v>
      </c>
      <c r="CE2" s="229">
        <v>-0.84919999999999995</v>
      </c>
      <c r="CF2" s="230">
        <v>4749500</v>
      </c>
      <c r="CG2" s="230">
        <v>4323000</v>
      </c>
      <c r="CH2" s="230">
        <v>426500</v>
      </c>
      <c r="CI2" s="229">
        <v>9.8699999999999996E-2</v>
      </c>
      <c r="CJ2" s="230">
        <v>10500</v>
      </c>
      <c r="CK2" s="230">
        <v>4500</v>
      </c>
      <c r="CL2" s="230">
        <v>6000</v>
      </c>
      <c r="CM2" s="229">
        <v>1.3332999999999999</v>
      </c>
      <c r="CN2" s="230">
        <v>380500</v>
      </c>
      <c r="CO2" s="230">
        <v>923000</v>
      </c>
      <c r="CP2" s="230">
        <v>-542500</v>
      </c>
      <c r="CQ2" s="229">
        <v>-0.58779999999999999</v>
      </c>
      <c r="CR2" s="230">
        <v>180500</v>
      </c>
      <c r="CS2" s="230">
        <v>909000</v>
      </c>
      <c r="CT2" s="230">
        <v>-728500</v>
      </c>
      <c r="CU2" s="229">
        <v>-0.8014</v>
      </c>
      <c r="CV2" s="230">
        <v>5321000</v>
      </c>
      <c r="CW2" s="230">
        <v>7181000</v>
      </c>
      <c r="CX2" s="230">
        <v>-1860000</v>
      </c>
      <c r="CY2" s="229">
        <v>-0.25900000000000001</v>
      </c>
      <c r="CZ2" s="228">
        <v>31.44</v>
      </c>
      <c r="DA2" s="228">
        <v>31.91</v>
      </c>
      <c r="DB2" s="228">
        <v>-0.47</v>
      </c>
      <c r="DC2" s="228">
        <v>-0.47</v>
      </c>
      <c r="DD2" s="228">
        <v>41.13</v>
      </c>
      <c r="DE2" s="228">
        <v>41.19</v>
      </c>
      <c r="DF2" s="228">
        <v>-9.69</v>
      </c>
      <c r="DG2" s="228">
        <v>-0.06</v>
      </c>
      <c r="DH2" s="228">
        <v>31.46</v>
      </c>
      <c r="DI2" s="228">
        <v>31.66</v>
      </c>
      <c r="DJ2" s="228">
        <v>-0.2</v>
      </c>
      <c r="DK2" s="228">
        <v>-0.2</v>
      </c>
      <c r="DL2" s="228">
        <v>31.34</v>
      </c>
      <c r="DM2" s="228">
        <v>32.64</v>
      </c>
      <c r="DN2" s="228">
        <v>-1.3</v>
      </c>
      <c r="DO2" s="228">
        <v>-1.3</v>
      </c>
      <c r="DP2" s="228">
        <v>0.47</v>
      </c>
      <c r="DQ2" s="228">
        <v>0.98</v>
      </c>
      <c r="DR2" s="228">
        <v>-0.51</v>
      </c>
      <c r="DS2" s="229">
        <v>-0.52039999999999997</v>
      </c>
      <c r="DT2" s="231">
        <v>1100</v>
      </c>
      <c r="DU2" s="231">
        <v>1000</v>
      </c>
      <c r="DV2" s="228">
        <v>0.56000000000000005</v>
      </c>
      <c r="DW2" s="228">
        <v>0.74</v>
      </c>
      <c r="DX2" s="228">
        <v>-0.18</v>
      </c>
      <c r="DY2" s="229">
        <v>-0.2432</v>
      </c>
      <c r="DZ2" s="229">
        <v>0.96870000000000001</v>
      </c>
      <c r="EA2" s="230">
        <v>4327500</v>
      </c>
      <c r="EB2" s="229">
        <v>7.9000000000000008E-3</v>
      </c>
      <c r="EC2" s="229">
        <v>0.96870000000000001</v>
      </c>
      <c r="ED2" s="228">
        <v>6.9</v>
      </c>
      <c r="EE2" s="229">
        <v>6.1000000000000004E-3</v>
      </c>
      <c r="EF2" s="230">
        <v>352501</v>
      </c>
      <c r="EG2" s="230">
        <v>508689</v>
      </c>
      <c r="EH2" s="229">
        <v>-0.307</v>
      </c>
      <c r="EI2" s="229">
        <v>0.4476</v>
      </c>
      <c r="EJ2" s="231">
        <v>12925.91</v>
      </c>
      <c r="EK2" s="231">
        <v>6699.72</v>
      </c>
      <c r="EL2" s="231">
        <v>35390.660000000003</v>
      </c>
      <c r="EM2" s="231">
        <v>4761</v>
      </c>
      <c r="EN2" s="231">
        <v>55016.29</v>
      </c>
      <c r="EO2" s="231">
        <v>76457.929999999993</v>
      </c>
      <c r="EP2" s="231">
        <v>-21441.64</v>
      </c>
      <c r="EQ2" s="229">
        <v>-0.28039999999999998</v>
      </c>
      <c r="ER2" s="231">
        <v>4410</v>
      </c>
      <c r="ES2" s="231">
        <v>1982</v>
      </c>
      <c r="ET2" s="231">
        <v>53979</v>
      </c>
      <c r="EU2" s="231">
        <v>37756901</v>
      </c>
      <c r="EV2" s="231">
        <v>60371</v>
      </c>
      <c r="EW2" s="231">
        <v>81598</v>
      </c>
      <c r="EX2" s="231">
        <v>-21227</v>
      </c>
      <c r="EY2" s="229">
        <v>-0.2601</v>
      </c>
      <c r="EZ2" s="229">
        <v>0.1409</v>
      </c>
      <c r="FA2" s="227" t="s">
        <v>567</v>
      </c>
      <c r="FB2" s="161">
        <f>BX2-CB2</f>
        <v>4606000</v>
      </c>
    </row>
    <row r="3" spans="1:158" ht="17.25" thickBot="1" x14ac:dyDescent="0.3">
      <c r="A3" s="226">
        <v>46168</v>
      </c>
      <c r="B3" s="227" t="s">
        <v>184</v>
      </c>
      <c r="C3" s="227" t="s">
        <v>553</v>
      </c>
      <c r="D3" s="228">
        <v>125</v>
      </c>
      <c r="E3" s="231">
        <v>6784.5</v>
      </c>
      <c r="F3" s="231">
        <v>6692</v>
      </c>
      <c r="G3" s="228">
        <v>92.5</v>
      </c>
      <c r="H3" s="229">
        <v>1.38E-2</v>
      </c>
      <c r="I3" s="231">
        <v>6804</v>
      </c>
      <c r="J3" s="231">
        <v>6755</v>
      </c>
      <c r="K3" s="228">
        <v>49</v>
      </c>
      <c r="L3" s="229">
        <v>7.3000000000000001E-3</v>
      </c>
      <c r="M3" s="231">
        <v>6805.5</v>
      </c>
      <c r="N3" s="231">
        <v>6760.5</v>
      </c>
      <c r="O3" s="228">
        <v>45</v>
      </c>
      <c r="P3" s="229">
        <v>6.7000000000000002E-3</v>
      </c>
      <c r="Q3" s="231">
        <v>6784.5</v>
      </c>
      <c r="R3" s="231">
        <v>6692</v>
      </c>
      <c r="S3" s="228">
        <v>92.5</v>
      </c>
      <c r="T3" s="229">
        <v>1.38E-2</v>
      </c>
      <c r="U3" s="231">
        <v>6757</v>
      </c>
      <c r="V3" s="231">
        <v>6683</v>
      </c>
      <c r="W3" s="228">
        <v>74</v>
      </c>
      <c r="X3" s="229">
        <v>1.11E-2</v>
      </c>
      <c r="Y3" s="228">
        <v>-19.5</v>
      </c>
      <c r="Z3" s="228">
        <v>5.5</v>
      </c>
      <c r="AA3" s="228">
        <v>-25</v>
      </c>
      <c r="AB3" s="229">
        <v>-2.8999999999999998E-3</v>
      </c>
      <c r="AC3" s="228">
        <v>1.5</v>
      </c>
      <c r="AD3" s="228">
        <v>5.5</v>
      </c>
      <c r="AE3" s="228">
        <v>-4</v>
      </c>
      <c r="AF3" s="229">
        <v>2.0000000000000001E-4</v>
      </c>
      <c r="AG3" s="228">
        <v>-19.5</v>
      </c>
      <c r="AH3" s="228">
        <v>-63</v>
      </c>
      <c r="AI3" s="228">
        <v>43.5</v>
      </c>
      <c r="AJ3" s="229">
        <v>-2.8999999999999998E-3</v>
      </c>
      <c r="AK3" s="228">
        <v>-47</v>
      </c>
      <c r="AL3" s="228">
        <v>-72</v>
      </c>
      <c r="AM3" s="228">
        <v>25</v>
      </c>
      <c r="AN3" s="229">
        <v>-6.8999999999999999E-3</v>
      </c>
      <c r="AO3" s="231">
        <v>6773.23</v>
      </c>
      <c r="AP3" s="231">
        <v>6734.2</v>
      </c>
      <c r="AQ3" s="228">
        <v>0</v>
      </c>
      <c r="AR3" s="230">
        <v>753250</v>
      </c>
      <c r="AS3" s="230">
        <v>1855375</v>
      </c>
      <c r="AT3" s="230">
        <v>-1102125</v>
      </c>
      <c r="AU3" s="229">
        <v>-0.59399999999999997</v>
      </c>
      <c r="AV3" s="230">
        <v>323125</v>
      </c>
      <c r="AW3" s="230">
        <v>864750</v>
      </c>
      <c r="AX3" s="230">
        <v>-541625</v>
      </c>
      <c r="AY3" s="229">
        <v>-0.62629999999999997</v>
      </c>
      <c r="AZ3" s="230">
        <v>409625</v>
      </c>
      <c r="BA3" s="230">
        <v>969625</v>
      </c>
      <c r="BB3" s="230">
        <v>-560000</v>
      </c>
      <c r="BC3" s="229">
        <v>-0.57750000000000001</v>
      </c>
      <c r="BD3" s="230">
        <v>20500</v>
      </c>
      <c r="BE3" s="230">
        <v>21000</v>
      </c>
      <c r="BF3" s="228">
        <v>-500</v>
      </c>
      <c r="BG3" s="229">
        <v>-2.3800000000000002E-2</v>
      </c>
      <c r="BH3" s="230">
        <v>1675625</v>
      </c>
      <c r="BI3" s="230">
        <v>3930375</v>
      </c>
      <c r="BJ3" s="230">
        <v>-2254750</v>
      </c>
      <c r="BK3" s="229">
        <v>-0.57369999999999999</v>
      </c>
      <c r="BL3" s="230">
        <v>897125</v>
      </c>
      <c r="BM3" s="230">
        <v>1874375</v>
      </c>
      <c r="BN3" s="230">
        <v>-977250</v>
      </c>
      <c r="BO3" s="229">
        <v>-0.52139999999999997</v>
      </c>
      <c r="BP3" s="230">
        <v>3326000</v>
      </c>
      <c r="BQ3" s="230">
        <v>7660125</v>
      </c>
      <c r="BR3" s="230">
        <v>-4334125</v>
      </c>
      <c r="BS3" s="229">
        <v>-0.56579999999999997</v>
      </c>
      <c r="BT3" s="230">
        <v>205283</v>
      </c>
      <c r="BU3" s="230">
        <v>286452</v>
      </c>
      <c r="BV3" s="230">
        <v>-81169</v>
      </c>
      <c r="BW3" s="229">
        <v>-0.28339999999999999</v>
      </c>
      <c r="BX3" s="230">
        <v>2493625</v>
      </c>
      <c r="BY3" s="230">
        <v>2893250</v>
      </c>
      <c r="BZ3" s="230">
        <v>-399625</v>
      </c>
      <c r="CA3" s="229">
        <v>-0.1381</v>
      </c>
      <c r="CB3" s="230">
        <v>341875</v>
      </c>
      <c r="CC3" s="230">
        <v>433500</v>
      </c>
      <c r="CD3" s="230">
        <v>-91625</v>
      </c>
      <c r="CE3" s="229">
        <v>-0.2114</v>
      </c>
      <c r="CF3" s="230">
        <v>2454375</v>
      </c>
      <c r="CG3" s="230">
        <v>2422625</v>
      </c>
      <c r="CH3" s="230">
        <v>31750</v>
      </c>
      <c r="CI3" s="229">
        <v>1.3100000000000001E-2</v>
      </c>
      <c r="CJ3" s="230">
        <v>39250</v>
      </c>
      <c r="CK3" s="230">
        <v>37125</v>
      </c>
      <c r="CL3" s="230">
        <v>2125</v>
      </c>
      <c r="CM3" s="229">
        <v>5.7200000000000001E-2</v>
      </c>
      <c r="CN3" s="230">
        <v>537000</v>
      </c>
      <c r="CO3" s="230">
        <v>1842625</v>
      </c>
      <c r="CP3" s="230">
        <v>-1305625</v>
      </c>
      <c r="CQ3" s="229">
        <v>-0.70860000000000001</v>
      </c>
      <c r="CR3" s="230">
        <v>471125</v>
      </c>
      <c r="CS3" s="230">
        <v>1147625</v>
      </c>
      <c r="CT3" s="230">
        <v>-676500</v>
      </c>
      <c r="CU3" s="229">
        <v>-0.58950000000000002</v>
      </c>
      <c r="CV3" s="230">
        <v>3501750</v>
      </c>
      <c r="CW3" s="230">
        <v>5883500</v>
      </c>
      <c r="CX3" s="230">
        <v>-2381750</v>
      </c>
      <c r="CY3" s="229">
        <v>-0.40479999999999999</v>
      </c>
      <c r="CZ3" s="228">
        <v>28.34</v>
      </c>
      <c r="DA3" s="228">
        <v>30.55</v>
      </c>
      <c r="DB3" s="228">
        <v>-2.21</v>
      </c>
      <c r="DC3" s="228">
        <v>-2.21</v>
      </c>
      <c r="DD3" s="228">
        <v>38.76</v>
      </c>
      <c r="DE3" s="228">
        <v>38.82</v>
      </c>
      <c r="DF3" s="228">
        <v>-10.42</v>
      </c>
      <c r="DG3" s="228">
        <v>-0.06</v>
      </c>
      <c r="DH3" s="228">
        <v>28.33</v>
      </c>
      <c r="DI3" s="228">
        <v>30.59</v>
      </c>
      <c r="DJ3" s="228">
        <v>-2.2599999999999998</v>
      </c>
      <c r="DK3" s="228">
        <v>-2.2599999999999998</v>
      </c>
      <c r="DL3" s="228">
        <v>28.36</v>
      </c>
      <c r="DM3" s="228">
        <v>30.48</v>
      </c>
      <c r="DN3" s="228">
        <v>-2.12</v>
      </c>
      <c r="DO3" s="228">
        <v>-2.12</v>
      </c>
      <c r="DP3" s="228">
        <v>0.88</v>
      </c>
      <c r="DQ3" s="228">
        <v>0.62</v>
      </c>
      <c r="DR3" s="228">
        <v>0.26</v>
      </c>
      <c r="DS3" s="229">
        <v>0.4194</v>
      </c>
      <c r="DT3" s="231">
        <v>7000</v>
      </c>
      <c r="DU3" s="231">
        <v>6500</v>
      </c>
      <c r="DV3" s="228">
        <v>0.54</v>
      </c>
      <c r="DW3" s="228">
        <v>0.48</v>
      </c>
      <c r="DX3" s="228">
        <v>0.06</v>
      </c>
      <c r="DY3" s="229">
        <v>0.125</v>
      </c>
      <c r="DZ3" s="229">
        <v>0.87939999999999996</v>
      </c>
      <c r="EA3" s="230">
        <v>2459750</v>
      </c>
      <c r="EB3" s="229">
        <v>-3.0999999999999999E-3</v>
      </c>
      <c r="EC3" s="229">
        <v>0.87939999999999996</v>
      </c>
      <c r="ED3" s="228">
        <v>-39.03</v>
      </c>
      <c r="EE3" s="229">
        <v>-5.7999999999999996E-3</v>
      </c>
      <c r="EF3" s="230">
        <v>88602</v>
      </c>
      <c r="EG3" s="230">
        <v>117008</v>
      </c>
      <c r="EH3" s="229">
        <v>-0.24279999999999999</v>
      </c>
      <c r="EI3" s="229">
        <v>0.43159999999999998</v>
      </c>
      <c r="EJ3" s="231">
        <v>118886.53</v>
      </c>
      <c r="EK3" s="231">
        <v>60677.26</v>
      </c>
      <c r="EL3" s="231">
        <v>50846.83</v>
      </c>
      <c r="EM3" s="231">
        <v>12563</v>
      </c>
      <c r="EN3" s="231">
        <v>230410.62</v>
      </c>
      <c r="EO3" s="231">
        <v>523919.89</v>
      </c>
      <c r="EP3" s="231">
        <v>-293509.27</v>
      </c>
      <c r="EQ3" s="229">
        <v>-0.56020000000000003</v>
      </c>
      <c r="ER3" s="231">
        <v>37580</v>
      </c>
      <c r="ES3" s="231">
        <v>30457</v>
      </c>
      <c r="ET3" s="231">
        <v>169169</v>
      </c>
      <c r="EU3" s="231">
        <v>7946564</v>
      </c>
      <c r="EV3" s="231">
        <v>237206</v>
      </c>
      <c r="EW3" s="231">
        <v>399081</v>
      </c>
      <c r="EX3" s="231">
        <v>-161875</v>
      </c>
      <c r="EY3" s="229">
        <v>-0.40560000000000002</v>
      </c>
      <c r="EZ3" s="229">
        <v>0.44069999999999998</v>
      </c>
      <c r="FA3" s="227" t="s">
        <v>691</v>
      </c>
      <c r="FB3" s="161">
        <f t="shared" ref="FB3:FB66" si="0">BX3-CB3</f>
        <v>2151750</v>
      </c>
    </row>
    <row r="4" spans="1:158" ht="17.25" thickBot="1" x14ac:dyDescent="0.3">
      <c r="A4" s="226">
        <v>46168</v>
      </c>
      <c r="B4" s="227" t="s">
        <v>175</v>
      </c>
      <c r="C4" s="227" t="s">
        <v>544</v>
      </c>
      <c r="D4" s="228">
        <v>3100</v>
      </c>
      <c r="E4" s="228">
        <v>364.8</v>
      </c>
      <c r="F4" s="228">
        <v>366.6</v>
      </c>
      <c r="G4" s="228">
        <v>-1.8</v>
      </c>
      <c r="H4" s="229">
        <v>-4.8999999999999998E-3</v>
      </c>
      <c r="I4" s="228">
        <v>363.05</v>
      </c>
      <c r="J4" s="228">
        <v>363.65</v>
      </c>
      <c r="K4" s="228">
        <v>-0.6</v>
      </c>
      <c r="L4" s="229">
        <v>-1.6000000000000001E-3</v>
      </c>
      <c r="M4" s="228">
        <v>362.1</v>
      </c>
      <c r="N4" s="228">
        <v>364.35</v>
      </c>
      <c r="O4" s="228">
        <v>-2.25</v>
      </c>
      <c r="P4" s="229">
        <v>-6.1999999999999998E-3</v>
      </c>
      <c r="Q4" s="228">
        <v>364.8</v>
      </c>
      <c r="R4" s="228">
        <v>366.6</v>
      </c>
      <c r="S4" s="228">
        <v>-1.8</v>
      </c>
      <c r="T4" s="229">
        <v>-4.8999999999999998E-3</v>
      </c>
      <c r="U4" s="228">
        <v>367.05</v>
      </c>
      <c r="V4" s="228">
        <v>368.35</v>
      </c>
      <c r="W4" s="228">
        <v>-1.3</v>
      </c>
      <c r="X4" s="229">
        <v>-3.5000000000000001E-3</v>
      </c>
      <c r="Y4" s="228">
        <v>1.75</v>
      </c>
      <c r="Z4" s="228">
        <v>0.7</v>
      </c>
      <c r="AA4" s="228">
        <v>1.05</v>
      </c>
      <c r="AB4" s="229">
        <v>4.7999999999999996E-3</v>
      </c>
      <c r="AC4" s="228">
        <v>-0.95</v>
      </c>
      <c r="AD4" s="228">
        <v>0.7</v>
      </c>
      <c r="AE4" s="228">
        <v>-1.65</v>
      </c>
      <c r="AF4" s="229">
        <v>-2.5999999999999999E-3</v>
      </c>
      <c r="AG4" s="228">
        <v>1.75</v>
      </c>
      <c r="AH4" s="228">
        <v>2.95</v>
      </c>
      <c r="AI4" s="228">
        <v>-1.2</v>
      </c>
      <c r="AJ4" s="229">
        <v>4.7999999999999996E-3</v>
      </c>
      <c r="AK4" s="228">
        <v>4</v>
      </c>
      <c r="AL4" s="228">
        <v>4.7</v>
      </c>
      <c r="AM4" s="228">
        <v>-0.7</v>
      </c>
      <c r="AN4" s="229">
        <v>1.0999999999999999E-2</v>
      </c>
      <c r="AO4" s="228">
        <v>363.46</v>
      </c>
      <c r="AP4" s="228">
        <v>365.88</v>
      </c>
      <c r="AQ4" s="228">
        <v>0</v>
      </c>
      <c r="AR4" s="230">
        <v>20261600</v>
      </c>
      <c r="AS4" s="230">
        <v>32497300</v>
      </c>
      <c r="AT4" s="230">
        <v>-12235700</v>
      </c>
      <c r="AU4" s="229">
        <v>-0.3765</v>
      </c>
      <c r="AV4" s="230">
        <v>8921800</v>
      </c>
      <c r="AW4" s="230">
        <v>15314000</v>
      </c>
      <c r="AX4" s="230">
        <v>-6392200</v>
      </c>
      <c r="AY4" s="229">
        <v>-0.41739999999999999</v>
      </c>
      <c r="AZ4" s="230">
        <v>11200300</v>
      </c>
      <c r="BA4" s="230">
        <v>17081000</v>
      </c>
      <c r="BB4" s="230">
        <v>-5880700</v>
      </c>
      <c r="BC4" s="229">
        <v>-0.34429999999999999</v>
      </c>
      <c r="BD4" s="230">
        <v>139500</v>
      </c>
      <c r="BE4" s="230">
        <v>102300</v>
      </c>
      <c r="BF4" s="230">
        <v>37200</v>
      </c>
      <c r="BG4" s="229">
        <v>0.36359999999999998</v>
      </c>
      <c r="BH4" s="230">
        <v>8190200</v>
      </c>
      <c r="BI4" s="230">
        <v>21216400</v>
      </c>
      <c r="BJ4" s="230">
        <v>-13026200</v>
      </c>
      <c r="BK4" s="229">
        <v>-0.61399999999999999</v>
      </c>
      <c r="BL4" s="230">
        <v>4160200</v>
      </c>
      <c r="BM4" s="230">
        <v>13609000</v>
      </c>
      <c r="BN4" s="230">
        <v>-9448800</v>
      </c>
      <c r="BO4" s="229">
        <v>-0.69430000000000003</v>
      </c>
      <c r="BP4" s="230">
        <v>32612000</v>
      </c>
      <c r="BQ4" s="230">
        <v>67322700</v>
      </c>
      <c r="BR4" s="230">
        <v>-34710700</v>
      </c>
      <c r="BS4" s="229">
        <v>-0.51559999999999995</v>
      </c>
      <c r="BT4" s="230">
        <v>5405116</v>
      </c>
      <c r="BU4" s="230">
        <v>2924877</v>
      </c>
      <c r="BV4" s="230">
        <v>2480239</v>
      </c>
      <c r="BW4" s="229">
        <v>0.84799999999999998</v>
      </c>
      <c r="BX4" s="230">
        <v>55982900</v>
      </c>
      <c r="BY4" s="230">
        <v>58602400</v>
      </c>
      <c r="BZ4" s="230">
        <v>-2619500</v>
      </c>
      <c r="CA4" s="229">
        <v>-4.4699999999999997E-2</v>
      </c>
      <c r="CB4" s="230">
        <v>939300</v>
      </c>
      <c r="CC4" s="230">
        <v>7582600</v>
      </c>
      <c r="CD4" s="230">
        <v>-6643300</v>
      </c>
      <c r="CE4" s="229">
        <v>-0.87609999999999999</v>
      </c>
      <c r="CF4" s="230">
        <v>54364700</v>
      </c>
      <c r="CG4" s="230">
        <v>49441900</v>
      </c>
      <c r="CH4" s="230">
        <v>4922800</v>
      </c>
      <c r="CI4" s="229">
        <v>9.9599999999999994E-2</v>
      </c>
      <c r="CJ4" s="230">
        <v>1618200</v>
      </c>
      <c r="CK4" s="230">
        <v>1577900</v>
      </c>
      <c r="CL4" s="230">
        <v>40300</v>
      </c>
      <c r="CM4" s="229">
        <v>2.5499999999999998E-2</v>
      </c>
      <c r="CN4" s="230">
        <v>5719500</v>
      </c>
      <c r="CO4" s="230">
        <v>15881300</v>
      </c>
      <c r="CP4" s="230">
        <v>-10161800</v>
      </c>
      <c r="CQ4" s="229">
        <v>-0.63990000000000002</v>
      </c>
      <c r="CR4" s="230">
        <v>4938300</v>
      </c>
      <c r="CS4" s="230">
        <v>12787500</v>
      </c>
      <c r="CT4" s="230">
        <v>-7849200</v>
      </c>
      <c r="CU4" s="229">
        <v>-0.61380000000000001</v>
      </c>
      <c r="CV4" s="230">
        <v>66640700</v>
      </c>
      <c r="CW4" s="230">
        <v>87271200</v>
      </c>
      <c r="CX4" s="230">
        <v>-20630500</v>
      </c>
      <c r="CY4" s="229">
        <v>-0.2364</v>
      </c>
      <c r="CZ4" s="228">
        <v>29.39</v>
      </c>
      <c r="DA4" s="228">
        <v>29.55</v>
      </c>
      <c r="DB4" s="228">
        <v>-0.16</v>
      </c>
      <c r="DC4" s="228">
        <v>-0.16</v>
      </c>
      <c r="DD4" s="228">
        <v>40.83</v>
      </c>
      <c r="DE4" s="228">
        <v>40.92</v>
      </c>
      <c r="DF4" s="228">
        <v>-11.44</v>
      </c>
      <c r="DG4" s="228">
        <v>-0.09</v>
      </c>
      <c r="DH4" s="228">
        <v>29.08</v>
      </c>
      <c r="DI4" s="228">
        <v>29.25</v>
      </c>
      <c r="DJ4" s="228">
        <v>-0.17</v>
      </c>
      <c r="DK4" s="228">
        <v>-0.17</v>
      </c>
      <c r="DL4" s="228">
        <v>29.84</v>
      </c>
      <c r="DM4" s="228">
        <v>29.96</v>
      </c>
      <c r="DN4" s="228">
        <v>-0.12</v>
      </c>
      <c r="DO4" s="228">
        <v>-0.12</v>
      </c>
      <c r="DP4" s="228">
        <v>0.86</v>
      </c>
      <c r="DQ4" s="228">
        <v>0.81</v>
      </c>
      <c r="DR4" s="228">
        <v>0.05</v>
      </c>
      <c r="DS4" s="229">
        <v>6.1699999999999998E-2</v>
      </c>
      <c r="DT4" s="228">
        <v>400</v>
      </c>
      <c r="DU4" s="228">
        <v>300</v>
      </c>
      <c r="DV4" s="228">
        <v>0.51</v>
      </c>
      <c r="DW4" s="228">
        <v>0.64</v>
      </c>
      <c r="DX4" s="228">
        <v>-0.13</v>
      </c>
      <c r="DY4" s="229">
        <v>-0.2031</v>
      </c>
      <c r="DZ4" s="229">
        <v>0.98350000000000004</v>
      </c>
      <c r="EA4" s="230">
        <v>51019800</v>
      </c>
      <c r="EB4" s="229">
        <v>7.4999999999999997E-3</v>
      </c>
      <c r="EC4" s="229">
        <v>0.98350000000000004</v>
      </c>
      <c r="ED4" s="228">
        <v>2.42</v>
      </c>
      <c r="EE4" s="229">
        <v>6.7000000000000002E-3</v>
      </c>
      <c r="EF4" s="230">
        <v>3538735</v>
      </c>
      <c r="EG4" s="230">
        <v>1361288</v>
      </c>
      <c r="EH4" s="229">
        <v>1.5994999999999999</v>
      </c>
      <c r="EI4" s="229">
        <v>0.65469999999999995</v>
      </c>
      <c r="EJ4" s="231">
        <v>31131.25</v>
      </c>
      <c r="EK4" s="231">
        <v>14623.33</v>
      </c>
      <c r="EL4" s="231">
        <v>73919.539999999994</v>
      </c>
      <c r="EM4" s="231">
        <v>9539</v>
      </c>
      <c r="EN4" s="231">
        <v>119674.12</v>
      </c>
      <c r="EO4" s="231">
        <v>245819.58</v>
      </c>
      <c r="EP4" s="231">
        <v>-126145.46</v>
      </c>
      <c r="EQ4" s="229">
        <v>-0.51319999999999999</v>
      </c>
      <c r="ER4" s="231">
        <v>21309</v>
      </c>
      <c r="ES4" s="231">
        <v>16926</v>
      </c>
      <c r="ET4" s="231">
        <v>204262</v>
      </c>
      <c r="EU4" s="231">
        <v>123369777</v>
      </c>
      <c r="EV4" s="231">
        <v>242498</v>
      </c>
      <c r="EW4" s="231">
        <v>317752</v>
      </c>
      <c r="EX4" s="231">
        <v>-75254</v>
      </c>
      <c r="EY4" s="229">
        <v>-0.23680000000000001</v>
      </c>
      <c r="EZ4" s="229">
        <v>0.54020000000000001</v>
      </c>
      <c r="FA4" s="227" t="s">
        <v>567</v>
      </c>
      <c r="FB4" s="161">
        <f t="shared" si="0"/>
        <v>55043600</v>
      </c>
    </row>
    <row r="5" spans="1:158" ht="17.25" thickBot="1" x14ac:dyDescent="0.3">
      <c r="A5" s="226">
        <v>46168</v>
      </c>
      <c r="B5" s="227" t="s">
        <v>161</v>
      </c>
      <c r="C5" s="227" t="s">
        <v>578</v>
      </c>
      <c r="D5" s="228">
        <v>675</v>
      </c>
      <c r="E5" s="231">
        <v>1469.3</v>
      </c>
      <c r="F5" s="231">
        <v>1413.8</v>
      </c>
      <c r="G5" s="228">
        <v>55.5</v>
      </c>
      <c r="H5" s="229">
        <v>3.9300000000000002E-2</v>
      </c>
      <c r="I5" s="231">
        <v>1463.3</v>
      </c>
      <c r="J5" s="231">
        <v>1404.3</v>
      </c>
      <c r="K5" s="228">
        <v>59</v>
      </c>
      <c r="L5" s="229">
        <v>4.2000000000000003E-2</v>
      </c>
      <c r="M5" s="231">
        <v>1455.5</v>
      </c>
      <c r="N5" s="231">
        <v>1404.5</v>
      </c>
      <c r="O5" s="228">
        <v>51</v>
      </c>
      <c r="P5" s="229">
        <v>3.6299999999999999E-2</v>
      </c>
      <c r="Q5" s="231">
        <v>1469.3</v>
      </c>
      <c r="R5" s="231">
        <v>1413.8</v>
      </c>
      <c r="S5" s="228">
        <v>55.5</v>
      </c>
      <c r="T5" s="229">
        <v>3.9300000000000002E-2</v>
      </c>
      <c r="U5" s="231">
        <v>1479.8</v>
      </c>
      <c r="V5" s="231">
        <v>1420.5</v>
      </c>
      <c r="W5" s="228">
        <v>59.3</v>
      </c>
      <c r="X5" s="229">
        <v>4.1700000000000001E-2</v>
      </c>
      <c r="Y5" s="228">
        <v>6</v>
      </c>
      <c r="Z5" s="228">
        <v>0.2</v>
      </c>
      <c r="AA5" s="228">
        <v>5.8</v>
      </c>
      <c r="AB5" s="229">
        <v>4.1000000000000003E-3</v>
      </c>
      <c r="AC5" s="228">
        <v>-7.8</v>
      </c>
      <c r="AD5" s="228">
        <v>0.2</v>
      </c>
      <c r="AE5" s="228">
        <v>-8</v>
      </c>
      <c r="AF5" s="229">
        <v>-5.3E-3</v>
      </c>
      <c r="AG5" s="228">
        <v>6</v>
      </c>
      <c r="AH5" s="228">
        <v>9.5</v>
      </c>
      <c r="AI5" s="228">
        <v>-3.5</v>
      </c>
      <c r="AJ5" s="229">
        <v>4.1000000000000003E-3</v>
      </c>
      <c r="AK5" s="228">
        <v>16.5</v>
      </c>
      <c r="AL5" s="228">
        <v>16.2</v>
      </c>
      <c r="AM5" s="228">
        <v>0.3</v>
      </c>
      <c r="AN5" s="229">
        <v>1.1299999999999999E-2</v>
      </c>
      <c r="AO5" s="231">
        <v>1423.24</v>
      </c>
      <c r="AP5" s="231">
        <v>1440.1</v>
      </c>
      <c r="AQ5" s="228">
        <v>0</v>
      </c>
      <c r="AR5" s="230">
        <v>13223925</v>
      </c>
      <c r="AS5" s="230">
        <v>13996125</v>
      </c>
      <c r="AT5" s="230">
        <v>-772200</v>
      </c>
      <c r="AU5" s="229">
        <v>-5.5199999999999999E-2</v>
      </c>
      <c r="AV5" s="230">
        <v>5056425</v>
      </c>
      <c r="AW5" s="230">
        <v>6596100</v>
      </c>
      <c r="AX5" s="230">
        <v>-1539675</v>
      </c>
      <c r="AY5" s="229">
        <v>-0.2334</v>
      </c>
      <c r="AZ5" s="230">
        <v>8113500</v>
      </c>
      <c r="BA5" s="230">
        <v>7337250</v>
      </c>
      <c r="BB5" s="230">
        <v>776250</v>
      </c>
      <c r="BC5" s="229">
        <v>0.10580000000000001</v>
      </c>
      <c r="BD5" s="230">
        <v>54000</v>
      </c>
      <c r="BE5" s="230">
        <v>62775</v>
      </c>
      <c r="BF5" s="230">
        <v>-8775</v>
      </c>
      <c r="BG5" s="229">
        <v>-0.13980000000000001</v>
      </c>
      <c r="BH5" s="230">
        <v>13149675</v>
      </c>
      <c r="BI5" s="230">
        <v>20210850</v>
      </c>
      <c r="BJ5" s="230">
        <v>-7061175</v>
      </c>
      <c r="BK5" s="229">
        <v>-0.34939999999999999</v>
      </c>
      <c r="BL5" s="230">
        <v>4607550</v>
      </c>
      <c r="BM5" s="230">
        <v>7000425</v>
      </c>
      <c r="BN5" s="230">
        <v>-2392875</v>
      </c>
      <c r="BO5" s="229">
        <v>-0.34179999999999999</v>
      </c>
      <c r="BP5" s="230">
        <v>30981150</v>
      </c>
      <c r="BQ5" s="230">
        <v>41207400</v>
      </c>
      <c r="BR5" s="230">
        <v>-10226250</v>
      </c>
      <c r="BS5" s="229">
        <v>-0.2482</v>
      </c>
      <c r="BT5" s="230">
        <v>6604481</v>
      </c>
      <c r="BU5" s="230">
        <v>3328941</v>
      </c>
      <c r="BV5" s="230">
        <v>3275540</v>
      </c>
      <c r="BW5" s="229">
        <v>0.98399999999999999</v>
      </c>
      <c r="BX5" s="230">
        <v>19869300</v>
      </c>
      <c r="BY5" s="230">
        <v>20930400</v>
      </c>
      <c r="BZ5" s="230">
        <v>-1061100</v>
      </c>
      <c r="CA5" s="229">
        <v>-5.0700000000000002E-2</v>
      </c>
      <c r="CB5" s="230">
        <v>2085750</v>
      </c>
      <c r="CC5" s="230">
        <v>3241350</v>
      </c>
      <c r="CD5" s="230">
        <v>-1155600</v>
      </c>
      <c r="CE5" s="229">
        <v>-0.35649999999999998</v>
      </c>
      <c r="CF5" s="230">
        <v>19793700</v>
      </c>
      <c r="CG5" s="230">
        <v>17615475</v>
      </c>
      <c r="CH5" s="230">
        <v>2178225</v>
      </c>
      <c r="CI5" s="229">
        <v>0.1237</v>
      </c>
      <c r="CJ5" s="230">
        <v>75600</v>
      </c>
      <c r="CK5" s="230">
        <v>73575</v>
      </c>
      <c r="CL5" s="230">
        <v>2025</v>
      </c>
      <c r="CM5" s="229">
        <v>2.75E-2</v>
      </c>
      <c r="CN5" s="230">
        <v>2636550</v>
      </c>
      <c r="CO5" s="230">
        <v>6565050</v>
      </c>
      <c r="CP5" s="230">
        <v>-3928500</v>
      </c>
      <c r="CQ5" s="229">
        <v>-0.59840000000000004</v>
      </c>
      <c r="CR5" s="230">
        <v>1825200</v>
      </c>
      <c r="CS5" s="230">
        <v>3795525</v>
      </c>
      <c r="CT5" s="230">
        <v>-1970325</v>
      </c>
      <c r="CU5" s="229">
        <v>-0.51910000000000001</v>
      </c>
      <c r="CV5" s="230">
        <v>24331050</v>
      </c>
      <c r="CW5" s="230">
        <v>31290975</v>
      </c>
      <c r="CX5" s="230">
        <v>-6959925</v>
      </c>
      <c r="CY5" s="229">
        <v>-0.22239999999999999</v>
      </c>
      <c r="CZ5" s="228">
        <v>48.7</v>
      </c>
      <c r="DA5" s="228">
        <v>49.56</v>
      </c>
      <c r="DB5" s="228">
        <v>-0.86</v>
      </c>
      <c r="DC5" s="228">
        <v>-0.86</v>
      </c>
      <c r="DD5" s="228">
        <v>55.25</v>
      </c>
      <c r="DE5" s="228">
        <v>55.14</v>
      </c>
      <c r="DF5" s="228">
        <v>-6.55</v>
      </c>
      <c r="DG5" s="228">
        <v>0.11</v>
      </c>
      <c r="DH5" s="228">
        <v>48.02</v>
      </c>
      <c r="DI5" s="228">
        <v>49.88</v>
      </c>
      <c r="DJ5" s="228">
        <v>-1.86</v>
      </c>
      <c r="DK5" s="228">
        <v>-1.86</v>
      </c>
      <c r="DL5" s="228">
        <v>50.66</v>
      </c>
      <c r="DM5" s="228">
        <v>48.56</v>
      </c>
      <c r="DN5" s="228">
        <v>2.1</v>
      </c>
      <c r="DO5" s="228">
        <v>2.1</v>
      </c>
      <c r="DP5" s="228">
        <v>0.69</v>
      </c>
      <c r="DQ5" s="228">
        <v>0.57999999999999996</v>
      </c>
      <c r="DR5" s="228">
        <v>0.11</v>
      </c>
      <c r="DS5" s="229">
        <v>0.18970000000000001</v>
      </c>
      <c r="DT5" s="231">
        <v>1500</v>
      </c>
      <c r="DU5" s="231">
        <v>1400</v>
      </c>
      <c r="DV5" s="228">
        <v>0.35</v>
      </c>
      <c r="DW5" s="228">
        <v>0.35</v>
      </c>
      <c r="DX5" s="228">
        <v>0</v>
      </c>
      <c r="DY5" s="229">
        <v>0</v>
      </c>
      <c r="DZ5" s="229">
        <v>0.90500000000000003</v>
      </c>
      <c r="EA5" s="230">
        <v>17689050</v>
      </c>
      <c r="EB5" s="229">
        <v>9.4999999999999998E-3</v>
      </c>
      <c r="EC5" s="229">
        <v>0.90500000000000003</v>
      </c>
      <c r="ED5" s="228">
        <v>16.86</v>
      </c>
      <c r="EE5" s="229">
        <v>1.18E-2</v>
      </c>
      <c r="EF5" s="230">
        <v>2818288</v>
      </c>
      <c r="EG5" s="230">
        <v>1428368</v>
      </c>
      <c r="EH5" s="229">
        <v>0.97309999999999997</v>
      </c>
      <c r="EI5" s="229">
        <v>0.42670000000000002</v>
      </c>
      <c r="EJ5" s="231">
        <v>197047.61</v>
      </c>
      <c r="EK5" s="231">
        <v>63116.42</v>
      </c>
      <c r="EL5" s="231">
        <v>189598.29</v>
      </c>
      <c r="EM5" s="231">
        <v>15705</v>
      </c>
      <c r="EN5" s="231">
        <v>449762.32</v>
      </c>
      <c r="EO5" s="231">
        <v>581137.69999999995</v>
      </c>
      <c r="EP5" s="231">
        <v>-131375.38</v>
      </c>
      <c r="EQ5" s="229">
        <v>-0.2261</v>
      </c>
      <c r="ER5" s="231">
        <v>36945</v>
      </c>
      <c r="ES5" s="231">
        <v>23832</v>
      </c>
      <c r="ET5" s="231">
        <v>291948</v>
      </c>
      <c r="EU5" s="231">
        <v>35196587</v>
      </c>
      <c r="EV5" s="231">
        <v>352724</v>
      </c>
      <c r="EW5" s="231">
        <v>436999</v>
      </c>
      <c r="EX5" s="231">
        <v>-84275</v>
      </c>
      <c r="EY5" s="229">
        <v>-0.1928</v>
      </c>
      <c r="EZ5" s="229">
        <v>0.69130000000000003</v>
      </c>
      <c r="FA5" s="227" t="s">
        <v>691</v>
      </c>
      <c r="FB5" s="161">
        <f t="shared" si="0"/>
        <v>17783550</v>
      </c>
    </row>
    <row r="6" spans="1:158" ht="17.25" thickBot="1" x14ac:dyDescent="0.3">
      <c r="A6" s="226">
        <v>46168</v>
      </c>
      <c r="B6" s="227" t="s">
        <v>215</v>
      </c>
      <c r="C6" s="227" t="s">
        <v>159</v>
      </c>
      <c r="D6" s="228">
        <v>309</v>
      </c>
      <c r="E6" s="231">
        <v>2986</v>
      </c>
      <c r="F6" s="231">
        <v>2865.7</v>
      </c>
      <c r="G6" s="228">
        <v>120.3</v>
      </c>
      <c r="H6" s="229">
        <v>4.2000000000000003E-2</v>
      </c>
      <c r="I6" s="231">
        <v>2969.3</v>
      </c>
      <c r="J6" s="231">
        <v>2849.7</v>
      </c>
      <c r="K6" s="228">
        <v>119.6</v>
      </c>
      <c r="L6" s="229">
        <v>4.2000000000000003E-2</v>
      </c>
      <c r="M6" s="231">
        <v>2963.6</v>
      </c>
      <c r="N6" s="231">
        <v>2848.3</v>
      </c>
      <c r="O6" s="228">
        <v>115.3</v>
      </c>
      <c r="P6" s="229">
        <v>4.0500000000000001E-2</v>
      </c>
      <c r="Q6" s="231">
        <v>2986</v>
      </c>
      <c r="R6" s="231">
        <v>2865.7</v>
      </c>
      <c r="S6" s="228">
        <v>120.3</v>
      </c>
      <c r="T6" s="229">
        <v>4.2000000000000003E-2</v>
      </c>
      <c r="U6" s="231">
        <v>3002.4</v>
      </c>
      <c r="V6" s="231">
        <v>2881.1</v>
      </c>
      <c r="W6" s="228">
        <v>121.3</v>
      </c>
      <c r="X6" s="229">
        <v>4.2099999999999999E-2</v>
      </c>
      <c r="Y6" s="228">
        <v>16.7</v>
      </c>
      <c r="Z6" s="228">
        <v>-1.4</v>
      </c>
      <c r="AA6" s="228">
        <v>18.100000000000001</v>
      </c>
      <c r="AB6" s="229">
        <v>5.5999999999999999E-3</v>
      </c>
      <c r="AC6" s="228">
        <v>-5.7</v>
      </c>
      <c r="AD6" s="228">
        <v>-1.4</v>
      </c>
      <c r="AE6" s="228">
        <v>-4.3</v>
      </c>
      <c r="AF6" s="229">
        <v>-1.9E-3</v>
      </c>
      <c r="AG6" s="228">
        <v>16.7</v>
      </c>
      <c r="AH6" s="228">
        <v>16</v>
      </c>
      <c r="AI6" s="228">
        <v>0.7</v>
      </c>
      <c r="AJ6" s="229">
        <v>5.5999999999999999E-3</v>
      </c>
      <c r="AK6" s="228">
        <v>33.1</v>
      </c>
      <c r="AL6" s="228">
        <v>31.4</v>
      </c>
      <c r="AM6" s="228">
        <v>1.7</v>
      </c>
      <c r="AN6" s="229">
        <v>1.11E-2</v>
      </c>
      <c r="AO6" s="231">
        <v>2910.2</v>
      </c>
      <c r="AP6" s="231">
        <v>2941.52</v>
      </c>
      <c r="AQ6" s="228">
        <v>0</v>
      </c>
      <c r="AR6" s="230">
        <v>12914655</v>
      </c>
      <c r="AS6" s="230">
        <v>15647451</v>
      </c>
      <c r="AT6" s="230">
        <v>-2732796</v>
      </c>
      <c r="AU6" s="229">
        <v>-0.17460000000000001</v>
      </c>
      <c r="AV6" s="230">
        <v>4058715</v>
      </c>
      <c r="AW6" s="230">
        <v>7255938</v>
      </c>
      <c r="AX6" s="230">
        <v>-3197223</v>
      </c>
      <c r="AY6" s="229">
        <v>-0.44059999999999999</v>
      </c>
      <c r="AZ6" s="230">
        <v>8684445</v>
      </c>
      <c r="BA6" s="230">
        <v>8258643</v>
      </c>
      <c r="BB6" s="230">
        <v>425802</v>
      </c>
      <c r="BC6" s="229">
        <v>5.16E-2</v>
      </c>
      <c r="BD6" s="230">
        <v>171495</v>
      </c>
      <c r="BE6" s="230">
        <v>132870</v>
      </c>
      <c r="BF6" s="230">
        <v>38625</v>
      </c>
      <c r="BG6" s="229">
        <v>0.29070000000000001</v>
      </c>
      <c r="BH6" s="230">
        <v>30523947</v>
      </c>
      <c r="BI6" s="230">
        <v>50113620</v>
      </c>
      <c r="BJ6" s="230">
        <v>-19589673</v>
      </c>
      <c r="BK6" s="229">
        <v>-0.39090000000000003</v>
      </c>
      <c r="BL6" s="230">
        <v>14137368</v>
      </c>
      <c r="BM6" s="230">
        <v>18118215</v>
      </c>
      <c r="BN6" s="230">
        <v>-3980847</v>
      </c>
      <c r="BO6" s="229">
        <v>-0.21970000000000001</v>
      </c>
      <c r="BP6" s="230">
        <v>57575970</v>
      </c>
      <c r="BQ6" s="230">
        <v>83879286</v>
      </c>
      <c r="BR6" s="230">
        <v>-26303316</v>
      </c>
      <c r="BS6" s="229">
        <v>-0.31359999999999999</v>
      </c>
      <c r="BT6" s="230">
        <v>5167154</v>
      </c>
      <c r="BU6" s="230">
        <v>3568459</v>
      </c>
      <c r="BV6" s="230">
        <v>1598695</v>
      </c>
      <c r="BW6" s="229">
        <v>0.44800000000000001</v>
      </c>
      <c r="BX6" s="230">
        <v>19965417</v>
      </c>
      <c r="BY6" s="230">
        <v>20378241</v>
      </c>
      <c r="BZ6" s="230">
        <v>-412824</v>
      </c>
      <c r="CA6" s="229">
        <v>-2.0299999999999999E-2</v>
      </c>
      <c r="CB6" s="230">
        <v>1815066</v>
      </c>
      <c r="CC6" s="230">
        <v>4071384</v>
      </c>
      <c r="CD6" s="230">
        <v>-2256318</v>
      </c>
      <c r="CE6" s="229">
        <v>-0.55420000000000003</v>
      </c>
      <c r="CF6" s="230">
        <v>19477506</v>
      </c>
      <c r="CG6" s="230">
        <v>15856026</v>
      </c>
      <c r="CH6" s="230">
        <v>3621480</v>
      </c>
      <c r="CI6" s="229">
        <v>0.22839999999999999</v>
      </c>
      <c r="CJ6" s="230">
        <v>487911</v>
      </c>
      <c r="CK6" s="230">
        <v>450831</v>
      </c>
      <c r="CL6" s="230">
        <v>37080</v>
      </c>
      <c r="CM6" s="229">
        <v>8.2199999999999995E-2</v>
      </c>
      <c r="CN6" s="230">
        <v>4455780</v>
      </c>
      <c r="CO6" s="230">
        <v>10297734</v>
      </c>
      <c r="CP6" s="230">
        <v>-5841954</v>
      </c>
      <c r="CQ6" s="229">
        <v>-0.56730000000000003</v>
      </c>
      <c r="CR6" s="230">
        <v>3993825</v>
      </c>
      <c r="CS6" s="230">
        <v>8820096</v>
      </c>
      <c r="CT6" s="230">
        <v>-4826271</v>
      </c>
      <c r="CU6" s="229">
        <v>-0.54720000000000002</v>
      </c>
      <c r="CV6" s="230">
        <v>28415022</v>
      </c>
      <c r="CW6" s="230">
        <v>39496071</v>
      </c>
      <c r="CX6" s="230">
        <v>-11081049</v>
      </c>
      <c r="CY6" s="229">
        <v>-0.28060000000000002</v>
      </c>
      <c r="CZ6" s="228">
        <v>35.130000000000003</v>
      </c>
      <c r="DA6" s="228">
        <v>35.96</v>
      </c>
      <c r="DB6" s="228">
        <v>-0.83</v>
      </c>
      <c r="DC6" s="228">
        <v>-0.83</v>
      </c>
      <c r="DD6" s="228">
        <v>49.71</v>
      </c>
      <c r="DE6" s="228">
        <v>49.52</v>
      </c>
      <c r="DF6" s="228">
        <v>-14.58</v>
      </c>
      <c r="DG6" s="228">
        <v>0.19</v>
      </c>
      <c r="DH6" s="228">
        <v>34.86</v>
      </c>
      <c r="DI6" s="228">
        <v>35.69</v>
      </c>
      <c r="DJ6" s="228">
        <v>-0.83</v>
      </c>
      <c r="DK6" s="228">
        <v>-0.83</v>
      </c>
      <c r="DL6" s="228">
        <v>35.69</v>
      </c>
      <c r="DM6" s="228">
        <v>36.520000000000003</v>
      </c>
      <c r="DN6" s="228">
        <v>-0.83</v>
      </c>
      <c r="DO6" s="228">
        <v>-0.83</v>
      </c>
      <c r="DP6" s="228">
        <v>0.9</v>
      </c>
      <c r="DQ6" s="228">
        <v>0.86</v>
      </c>
      <c r="DR6" s="228">
        <v>0.04</v>
      </c>
      <c r="DS6" s="229">
        <v>4.65E-2</v>
      </c>
      <c r="DT6" s="231">
        <v>3000</v>
      </c>
      <c r="DU6" s="231">
        <v>2800</v>
      </c>
      <c r="DV6" s="228">
        <v>0.46</v>
      </c>
      <c r="DW6" s="228">
        <v>0.36</v>
      </c>
      <c r="DX6" s="228">
        <v>0.1</v>
      </c>
      <c r="DY6" s="229">
        <v>0.27779999999999999</v>
      </c>
      <c r="DZ6" s="229">
        <v>0.91669999999999996</v>
      </c>
      <c r="EA6" s="230">
        <v>16306857</v>
      </c>
      <c r="EB6" s="229">
        <v>7.6E-3</v>
      </c>
      <c r="EC6" s="229">
        <v>0.91669999999999996</v>
      </c>
      <c r="ED6" s="228">
        <v>31.32</v>
      </c>
      <c r="EE6" s="229">
        <v>1.0800000000000001E-2</v>
      </c>
      <c r="EF6" s="230">
        <v>1362187</v>
      </c>
      <c r="EG6" s="230">
        <v>1152082</v>
      </c>
      <c r="EH6" s="229">
        <v>0.18240000000000001</v>
      </c>
      <c r="EI6" s="229">
        <v>0.2636</v>
      </c>
      <c r="EJ6" s="231">
        <v>921493.54</v>
      </c>
      <c r="EK6" s="231">
        <v>398552.56</v>
      </c>
      <c r="EL6" s="231">
        <v>378656.82</v>
      </c>
      <c r="EM6" s="231">
        <v>29557</v>
      </c>
      <c r="EN6" s="231">
        <v>1698702.92</v>
      </c>
      <c r="EO6" s="231">
        <v>2390687.6</v>
      </c>
      <c r="EP6" s="231">
        <v>-691984.68</v>
      </c>
      <c r="EQ6" s="229">
        <v>-0.28949999999999998</v>
      </c>
      <c r="ER6" s="231">
        <v>128853</v>
      </c>
      <c r="ES6" s="231">
        <v>108481</v>
      </c>
      <c r="ET6" s="231">
        <v>596247</v>
      </c>
      <c r="EU6" s="231">
        <v>33645895</v>
      </c>
      <c r="EV6" s="231">
        <v>833582</v>
      </c>
      <c r="EW6" s="231">
        <v>1085713</v>
      </c>
      <c r="EX6" s="231">
        <v>-252131</v>
      </c>
      <c r="EY6" s="229">
        <v>-0.23219999999999999</v>
      </c>
      <c r="EZ6" s="229">
        <v>0.84450000000000003</v>
      </c>
      <c r="FA6" s="227" t="s">
        <v>691</v>
      </c>
      <c r="FB6" s="161">
        <f t="shared" si="0"/>
        <v>18150351</v>
      </c>
    </row>
    <row r="7" spans="1:158" ht="17.25" thickBot="1" x14ac:dyDescent="0.3">
      <c r="A7" s="226">
        <v>46168</v>
      </c>
      <c r="B7" s="227" t="s">
        <v>161</v>
      </c>
      <c r="C7" s="227" t="s">
        <v>605</v>
      </c>
      <c r="D7" s="228">
        <v>600</v>
      </c>
      <c r="E7" s="231">
        <v>1468.4</v>
      </c>
      <c r="F7" s="231">
        <v>1422.3</v>
      </c>
      <c r="G7" s="228">
        <v>46.1</v>
      </c>
      <c r="H7" s="229">
        <v>3.2399999999999998E-2</v>
      </c>
      <c r="I7" s="231">
        <v>1457.4</v>
      </c>
      <c r="J7" s="231">
        <v>1411.1</v>
      </c>
      <c r="K7" s="228">
        <v>46.3</v>
      </c>
      <c r="L7" s="229">
        <v>3.2800000000000003E-2</v>
      </c>
      <c r="M7" s="231">
        <v>1455</v>
      </c>
      <c r="N7" s="231">
        <v>1413.6</v>
      </c>
      <c r="O7" s="228">
        <v>41.4</v>
      </c>
      <c r="P7" s="229">
        <v>2.93E-2</v>
      </c>
      <c r="Q7" s="231">
        <v>1468.4</v>
      </c>
      <c r="R7" s="231">
        <v>1422.3</v>
      </c>
      <c r="S7" s="228">
        <v>46.1</v>
      </c>
      <c r="T7" s="229">
        <v>3.2399999999999998E-2</v>
      </c>
      <c r="U7" s="231">
        <v>1474.8</v>
      </c>
      <c r="V7" s="231">
        <v>1430</v>
      </c>
      <c r="W7" s="228">
        <v>44.8</v>
      </c>
      <c r="X7" s="229">
        <v>3.1300000000000001E-2</v>
      </c>
      <c r="Y7" s="228">
        <v>11</v>
      </c>
      <c r="Z7" s="228">
        <v>2.5</v>
      </c>
      <c r="AA7" s="228">
        <v>8.5</v>
      </c>
      <c r="AB7" s="229">
        <v>7.4999999999999997E-3</v>
      </c>
      <c r="AC7" s="228">
        <v>-2.4</v>
      </c>
      <c r="AD7" s="228">
        <v>2.5</v>
      </c>
      <c r="AE7" s="228">
        <v>-4.9000000000000004</v>
      </c>
      <c r="AF7" s="229">
        <v>-1.6000000000000001E-3</v>
      </c>
      <c r="AG7" s="228">
        <v>11</v>
      </c>
      <c r="AH7" s="228">
        <v>11.2</v>
      </c>
      <c r="AI7" s="228">
        <v>-0.2</v>
      </c>
      <c r="AJ7" s="229">
        <v>7.4999999999999997E-3</v>
      </c>
      <c r="AK7" s="228">
        <v>17.399999999999999</v>
      </c>
      <c r="AL7" s="228">
        <v>18.899999999999999</v>
      </c>
      <c r="AM7" s="228">
        <v>-1.5</v>
      </c>
      <c r="AN7" s="229">
        <v>1.1900000000000001E-2</v>
      </c>
      <c r="AO7" s="231">
        <v>1433.88</v>
      </c>
      <c r="AP7" s="231">
        <v>1447.24</v>
      </c>
      <c r="AQ7" s="228">
        <v>0</v>
      </c>
      <c r="AR7" s="230">
        <v>16316400</v>
      </c>
      <c r="AS7" s="230">
        <v>16501200</v>
      </c>
      <c r="AT7" s="230">
        <v>-184800</v>
      </c>
      <c r="AU7" s="229">
        <v>-1.12E-2</v>
      </c>
      <c r="AV7" s="230">
        <v>6411600</v>
      </c>
      <c r="AW7" s="230">
        <v>7641000</v>
      </c>
      <c r="AX7" s="230">
        <v>-1229400</v>
      </c>
      <c r="AY7" s="229">
        <v>-0.16089999999999999</v>
      </c>
      <c r="AZ7" s="230">
        <v>9805200</v>
      </c>
      <c r="BA7" s="230">
        <v>8697000</v>
      </c>
      <c r="BB7" s="230">
        <v>1108200</v>
      </c>
      <c r="BC7" s="229">
        <v>0.12740000000000001</v>
      </c>
      <c r="BD7" s="230">
        <v>99600</v>
      </c>
      <c r="BE7" s="230">
        <v>163200</v>
      </c>
      <c r="BF7" s="230">
        <v>-63600</v>
      </c>
      <c r="BG7" s="229">
        <v>-0.38969999999999999</v>
      </c>
      <c r="BH7" s="230">
        <v>22137000</v>
      </c>
      <c r="BI7" s="230">
        <v>32129400</v>
      </c>
      <c r="BJ7" s="230">
        <v>-9992400</v>
      </c>
      <c r="BK7" s="229">
        <v>-0.311</v>
      </c>
      <c r="BL7" s="230">
        <v>8085600</v>
      </c>
      <c r="BM7" s="230">
        <v>11709000</v>
      </c>
      <c r="BN7" s="230">
        <v>-3623400</v>
      </c>
      <c r="BO7" s="229">
        <v>-0.3095</v>
      </c>
      <c r="BP7" s="230">
        <v>46539000</v>
      </c>
      <c r="BQ7" s="230">
        <v>60339600</v>
      </c>
      <c r="BR7" s="230">
        <v>-13800600</v>
      </c>
      <c r="BS7" s="229">
        <v>-0.22869999999999999</v>
      </c>
      <c r="BT7" s="230">
        <v>5511031</v>
      </c>
      <c r="BU7" s="230">
        <v>4563826</v>
      </c>
      <c r="BV7" s="230">
        <v>947205</v>
      </c>
      <c r="BW7" s="229">
        <v>0.20749999999999999</v>
      </c>
      <c r="BX7" s="230">
        <v>21261000</v>
      </c>
      <c r="BY7" s="230">
        <v>22944000</v>
      </c>
      <c r="BZ7" s="230">
        <v>-1683000</v>
      </c>
      <c r="CA7" s="229">
        <v>-7.3400000000000007E-2</v>
      </c>
      <c r="CB7" s="230">
        <v>1516800</v>
      </c>
      <c r="CC7" s="230">
        <v>5881800</v>
      </c>
      <c r="CD7" s="230">
        <v>-4365000</v>
      </c>
      <c r="CE7" s="229">
        <v>-0.74209999999999998</v>
      </c>
      <c r="CF7" s="230">
        <v>20995200</v>
      </c>
      <c r="CG7" s="230">
        <v>16812000</v>
      </c>
      <c r="CH7" s="230">
        <v>4183200</v>
      </c>
      <c r="CI7" s="229">
        <v>0.24879999999999999</v>
      </c>
      <c r="CJ7" s="230">
        <v>265800</v>
      </c>
      <c r="CK7" s="230">
        <v>250200</v>
      </c>
      <c r="CL7" s="230">
        <v>15600</v>
      </c>
      <c r="CM7" s="229">
        <v>6.2399999999999997E-2</v>
      </c>
      <c r="CN7" s="230">
        <v>4041000</v>
      </c>
      <c r="CO7" s="230">
        <v>9843600</v>
      </c>
      <c r="CP7" s="230">
        <v>-5802600</v>
      </c>
      <c r="CQ7" s="229">
        <v>-0.58950000000000002</v>
      </c>
      <c r="CR7" s="230">
        <v>2894400</v>
      </c>
      <c r="CS7" s="230">
        <v>7770000</v>
      </c>
      <c r="CT7" s="230">
        <v>-4875600</v>
      </c>
      <c r="CU7" s="229">
        <v>-0.62749999999999995</v>
      </c>
      <c r="CV7" s="230">
        <v>28196400</v>
      </c>
      <c r="CW7" s="230">
        <v>40557600</v>
      </c>
      <c r="CX7" s="230">
        <v>-12361200</v>
      </c>
      <c r="CY7" s="229">
        <v>-0.30480000000000002</v>
      </c>
      <c r="CZ7" s="228">
        <v>46.47</v>
      </c>
      <c r="DA7" s="228">
        <v>47.33</v>
      </c>
      <c r="DB7" s="228">
        <v>-0.86</v>
      </c>
      <c r="DC7" s="228">
        <v>-0.86</v>
      </c>
      <c r="DD7" s="228">
        <v>58.09</v>
      </c>
      <c r="DE7" s="228">
        <v>58.07</v>
      </c>
      <c r="DF7" s="228">
        <v>-11.62</v>
      </c>
      <c r="DG7" s="228">
        <v>0.02</v>
      </c>
      <c r="DH7" s="228">
        <v>45.34</v>
      </c>
      <c r="DI7" s="228">
        <v>47.02</v>
      </c>
      <c r="DJ7" s="228">
        <v>-1.68</v>
      </c>
      <c r="DK7" s="228">
        <v>-1.68</v>
      </c>
      <c r="DL7" s="228">
        <v>48.89</v>
      </c>
      <c r="DM7" s="228">
        <v>48.11</v>
      </c>
      <c r="DN7" s="228">
        <v>0.78</v>
      </c>
      <c r="DO7" s="228">
        <v>0.78</v>
      </c>
      <c r="DP7" s="228">
        <v>0.72</v>
      </c>
      <c r="DQ7" s="228">
        <v>0.79</v>
      </c>
      <c r="DR7" s="228">
        <v>-7.0000000000000007E-2</v>
      </c>
      <c r="DS7" s="229">
        <v>-8.8599999999999998E-2</v>
      </c>
      <c r="DT7" s="231">
        <v>1400</v>
      </c>
      <c r="DU7" s="231">
        <v>1250</v>
      </c>
      <c r="DV7" s="228">
        <v>0.37</v>
      </c>
      <c r="DW7" s="228">
        <v>0.36</v>
      </c>
      <c r="DX7" s="228">
        <v>0.01</v>
      </c>
      <c r="DY7" s="229">
        <v>2.7799999999999998E-2</v>
      </c>
      <c r="DZ7" s="229">
        <v>0.93340000000000001</v>
      </c>
      <c r="EA7" s="230">
        <v>17062200</v>
      </c>
      <c r="EB7" s="229">
        <v>9.1999999999999998E-3</v>
      </c>
      <c r="EC7" s="229">
        <v>0.93340000000000001</v>
      </c>
      <c r="ED7" s="228">
        <v>13.36</v>
      </c>
      <c r="EE7" s="229">
        <v>9.2999999999999992E-3</v>
      </c>
      <c r="EF7" s="230">
        <v>1660695</v>
      </c>
      <c r="EG7" s="230">
        <v>1254228</v>
      </c>
      <c r="EH7" s="229">
        <v>0.3241</v>
      </c>
      <c r="EI7" s="229">
        <v>0.30130000000000001</v>
      </c>
      <c r="EJ7" s="231">
        <v>330596.78000000003</v>
      </c>
      <c r="EK7" s="231">
        <v>110197.06</v>
      </c>
      <c r="EL7" s="231">
        <v>235291.31</v>
      </c>
      <c r="EM7" s="231">
        <v>17024</v>
      </c>
      <c r="EN7" s="231">
        <v>676085.15</v>
      </c>
      <c r="EO7" s="231">
        <v>853845.42</v>
      </c>
      <c r="EP7" s="231">
        <v>-177760.27</v>
      </c>
      <c r="EQ7" s="229">
        <v>-0.2082</v>
      </c>
      <c r="ER7" s="231">
        <v>59008</v>
      </c>
      <c r="ES7" s="231">
        <v>38223</v>
      </c>
      <c r="ET7" s="231">
        <v>312214</v>
      </c>
      <c r="EU7" s="231">
        <v>64724093</v>
      </c>
      <c r="EV7" s="231">
        <v>409444</v>
      </c>
      <c r="EW7" s="231">
        <v>560597</v>
      </c>
      <c r="EX7" s="231">
        <v>-151153</v>
      </c>
      <c r="EY7" s="229">
        <v>-0.26960000000000001</v>
      </c>
      <c r="EZ7" s="229">
        <v>0.43559999999999999</v>
      </c>
      <c r="FA7" s="227" t="s">
        <v>691</v>
      </c>
      <c r="FB7" s="161">
        <f t="shared" si="0"/>
        <v>19744200</v>
      </c>
    </row>
    <row r="8" spans="1:158" ht="17.25" thickBot="1" x14ac:dyDescent="0.3">
      <c r="A8" s="226">
        <v>46168</v>
      </c>
      <c r="B8" s="227" t="s">
        <v>215</v>
      </c>
      <c r="C8" s="227" t="s">
        <v>160</v>
      </c>
      <c r="D8" s="228">
        <v>475</v>
      </c>
      <c r="E8" s="231">
        <v>1816.6</v>
      </c>
      <c r="F8" s="231">
        <v>1808.6</v>
      </c>
      <c r="G8" s="228">
        <v>8</v>
      </c>
      <c r="H8" s="229">
        <v>4.4000000000000003E-3</v>
      </c>
      <c r="I8" s="231">
        <v>1811.2</v>
      </c>
      <c r="J8" s="231">
        <v>1802.9</v>
      </c>
      <c r="K8" s="228">
        <v>8.3000000000000007</v>
      </c>
      <c r="L8" s="229">
        <v>4.5999999999999999E-3</v>
      </c>
      <c r="M8" s="231">
        <v>1814.9</v>
      </c>
      <c r="N8" s="231">
        <v>1804.8</v>
      </c>
      <c r="O8" s="228">
        <v>10.1</v>
      </c>
      <c r="P8" s="229">
        <v>5.5999999999999999E-3</v>
      </c>
      <c r="Q8" s="231">
        <v>1816.6</v>
      </c>
      <c r="R8" s="231">
        <v>1808.6</v>
      </c>
      <c r="S8" s="228">
        <v>8</v>
      </c>
      <c r="T8" s="229">
        <v>4.4000000000000003E-3</v>
      </c>
      <c r="U8" s="231">
        <v>1828.5</v>
      </c>
      <c r="V8" s="231">
        <v>1821.2</v>
      </c>
      <c r="W8" s="228">
        <v>7.3</v>
      </c>
      <c r="X8" s="229">
        <v>4.0000000000000001E-3</v>
      </c>
      <c r="Y8" s="228">
        <v>5.4</v>
      </c>
      <c r="Z8" s="228">
        <v>1.9</v>
      </c>
      <c r="AA8" s="228">
        <v>3.5</v>
      </c>
      <c r="AB8" s="229">
        <v>3.0000000000000001E-3</v>
      </c>
      <c r="AC8" s="228">
        <v>3.7</v>
      </c>
      <c r="AD8" s="228">
        <v>1.9</v>
      </c>
      <c r="AE8" s="228">
        <v>1.8</v>
      </c>
      <c r="AF8" s="229">
        <v>2E-3</v>
      </c>
      <c r="AG8" s="228">
        <v>5.4</v>
      </c>
      <c r="AH8" s="228">
        <v>5.7</v>
      </c>
      <c r="AI8" s="228">
        <v>-0.3</v>
      </c>
      <c r="AJ8" s="229">
        <v>3.0000000000000001E-3</v>
      </c>
      <c r="AK8" s="228">
        <v>17.3</v>
      </c>
      <c r="AL8" s="228">
        <v>18.3</v>
      </c>
      <c r="AM8" s="228">
        <v>-1</v>
      </c>
      <c r="AN8" s="229">
        <v>9.5999999999999992E-3</v>
      </c>
      <c r="AO8" s="231">
        <v>1812.21</v>
      </c>
      <c r="AP8" s="231">
        <v>1815.62</v>
      </c>
      <c r="AQ8" s="228">
        <v>0</v>
      </c>
      <c r="AR8" s="230">
        <v>6771125</v>
      </c>
      <c r="AS8" s="230">
        <v>12951350</v>
      </c>
      <c r="AT8" s="230">
        <v>-6180225</v>
      </c>
      <c r="AU8" s="229">
        <v>-0.47720000000000001</v>
      </c>
      <c r="AV8" s="230">
        <v>2816275</v>
      </c>
      <c r="AW8" s="230">
        <v>6446700</v>
      </c>
      <c r="AX8" s="230">
        <v>-3630425</v>
      </c>
      <c r="AY8" s="229">
        <v>-0.56310000000000004</v>
      </c>
      <c r="AZ8" s="230">
        <v>3900700</v>
      </c>
      <c r="BA8" s="230">
        <v>6422475</v>
      </c>
      <c r="BB8" s="230">
        <v>-2521775</v>
      </c>
      <c r="BC8" s="229">
        <v>-0.3926</v>
      </c>
      <c r="BD8" s="230">
        <v>54150</v>
      </c>
      <c r="BE8" s="230">
        <v>82175</v>
      </c>
      <c r="BF8" s="230">
        <v>-28025</v>
      </c>
      <c r="BG8" s="229">
        <v>-0.34100000000000003</v>
      </c>
      <c r="BH8" s="230">
        <v>11226625</v>
      </c>
      <c r="BI8" s="230">
        <v>21776375</v>
      </c>
      <c r="BJ8" s="230">
        <v>-10549750</v>
      </c>
      <c r="BK8" s="229">
        <v>-0.48449999999999999</v>
      </c>
      <c r="BL8" s="230">
        <v>5071100</v>
      </c>
      <c r="BM8" s="230">
        <v>11818475</v>
      </c>
      <c r="BN8" s="230">
        <v>-6747375</v>
      </c>
      <c r="BO8" s="229">
        <v>-0.57089999999999996</v>
      </c>
      <c r="BP8" s="230">
        <v>23068850</v>
      </c>
      <c r="BQ8" s="230">
        <v>46546200</v>
      </c>
      <c r="BR8" s="230">
        <v>-23477350</v>
      </c>
      <c r="BS8" s="229">
        <v>-0.50439999999999996</v>
      </c>
      <c r="BT8" s="230">
        <v>2267357</v>
      </c>
      <c r="BU8" s="230">
        <v>1597638</v>
      </c>
      <c r="BV8" s="230">
        <v>669719</v>
      </c>
      <c r="BW8" s="229">
        <v>0.41920000000000002</v>
      </c>
      <c r="BX8" s="230">
        <v>21572600</v>
      </c>
      <c r="BY8" s="230">
        <v>24715200</v>
      </c>
      <c r="BZ8" s="230">
        <v>-3142600</v>
      </c>
      <c r="CA8" s="229">
        <v>-0.12720000000000001</v>
      </c>
      <c r="CB8" s="230">
        <v>3183450</v>
      </c>
      <c r="CC8" s="230">
        <v>4795600</v>
      </c>
      <c r="CD8" s="230">
        <v>-1612150</v>
      </c>
      <c r="CE8" s="229">
        <v>-0.3362</v>
      </c>
      <c r="CF8" s="230">
        <v>20352800</v>
      </c>
      <c r="CG8" s="230">
        <v>18722600</v>
      </c>
      <c r="CH8" s="230">
        <v>1630200</v>
      </c>
      <c r="CI8" s="229">
        <v>8.7099999999999997E-2</v>
      </c>
      <c r="CJ8" s="230">
        <v>1219800</v>
      </c>
      <c r="CK8" s="230">
        <v>1197000</v>
      </c>
      <c r="CL8" s="230">
        <v>22800</v>
      </c>
      <c r="CM8" s="229">
        <v>1.9E-2</v>
      </c>
      <c r="CN8" s="230">
        <v>3743950</v>
      </c>
      <c r="CO8" s="230">
        <v>9457250</v>
      </c>
      <c r="CP8" s="230">
        <v>-5713300</v>
      </c>
      <c r="CQ8" s="229">
        <v>-0.60409999999999997</v>
      </c>
      <c r="CR8" s="230">
        <v>1993575</v>
      </c>
      <c r="CS8" s="230">
        <v>6840475</v>
      </c>
      <c r="CT8" s="230">
        <v>-4846900</v>
      </c>
      <c r="CU8" s="229">
        <v>-0.70860000000000001</v>
      </c>
      <c r="CV8" s="230">
        <v>27310125</v>
      </c>
      <c r="CW8" s="230">
        <v>41012925</v>
      </c>
      <c r="CX8" s="230">
        <v>-13702800</v>
      </c>
      <c r="CY8" s="229">
        <v>-0.33410000000000001</v>
      </c>
      <c r="CZ8" s="228">
        <v>25.35</v>
      </c>
      <c r="DA8" s="228">
        <v>27.2</v>
      </c>
      <c r="DB8" s="228">
        <v>-1.85</v>
      </c>
      <c r="DC8" s="228">
        <v>-1.85</v>
      </c>
      <c r="DD8" s="228">
        <v>39.619999999999997</v>
      </c>
      <c r="DE8" s="228">
        <v>39.71</v>
      </c>
      <c r="DF8" s="228">
        <v>-14.27</v>
      </c>
      <c r="DG8" s="228">
        <v>-0.09</v>
      </c>
      <c r="DH8" s="228">
        <v>25.17</v>
      </c>
      <c r="DI8" s="228">
        <v>26.94</v>
      </c>
      <c r="DJ8" s="228">
        <v>-1.77</v>
      </c>
      <c r="DK8" s="228">
        <v>-1.77</v>
      </c>
      <c r="DL8" s="228">
        <v>25.81</v>
      </c>
      <c r="DM8" s="228">
        <v>27.64</v>
      </c>
      <c r="DN8" s="228">
        <v>-1.83</v>
      </c>
      <c r="DO8" s="228">
        <v>-1.83</v>
      </c>
      <c r="DP8" s="228">
        <v>0.53</v>
      </c>
      <c r="DQ8" s="228">
        <v>0.72</v>
      </c>
      <c r="DR8" s="228">
        <v>-0.19</v>
      </c>
      <c r="DS8" s="229">
        <v>-0.26390000000000002</v>
      </c>
      <c r="DT8" s="231">
        <v>1900</v>
      </c>
      <c r="DU8" s="231">
        <v>1600</v>
      </c>
      <c r="DV8" s="228">
        <v>0.45</v>
      </c>
      <c r="DW8" s="228">
        <v>0.54</v>
      </c>
      <c r="DX8" s="228">
        <v>-0.09</v>
      </c>
      <c r="DY8" s="229">
        <v>-0.16669999999999999</v>
      </c>
      <c r="DZ8" s="229">
        <v>0.87139999999999995</v>
      </c>
      <c r="EA8" s="230">
        <v>19919600</v>
      </c>
      <c r="EB8" s="229">
        <v>8.9999999999999998E-4</v>
      </c>
      <c r="EC8" s="229">
        <v>0.87139999999999995</v>
      </c>
      <c r="ED8" s="228">
        <v>3.41</v>
      </c>
      <c r="EE8" s="229">
        <v>1.9E-3</v>
      </c>
      <c r="EF8" s="230">
        <v>1053547</v>
      </c>
      <c r="EG8" s="230">
        <v>751774</v>
      </c>
      <c r="EH8" s="229">
        <v>0.40139999999999998</v>
      </c>
      <c r="EI8" s="229">
        <v>0.4647</v>
      </c>
      <c r="EJ8" s="231">
        <v>209525.21</v>
      </c>
      <c r="EK8" s="231">
        <v>88694.92</v>
      </c>
      <c r="EL8" s="231">
        <v>122848.31</v>
      </c>
      <c r="EM8" s="231">
        <v>20134</v>
      </c>
      <c r="EN8" s="231">
        <v>421068.44</v>
      </c>
      <c r="EO8" s="231">
        <v>843859.38</v>
      </c>
      <c r="EP8" s="231">
        <v>-422790.94</v>
      </c>
      <c r="EQ8" s="229">
        <v>-0.501</v>
      </c>
      <c r="ER8" s="231">
        <v>68708</v>
      </c>
      <c r="ES8" s="231">
        <v>34223</v>
      </c>
      <c r="ET8" s="231">
        <v>392033</v>
      </c>
      <c r="EU8" s="231">
        <v>88142691</v>
      </c>
      <c r="EV8" s="231">
        <v>494965</v>
      </c>
      <c r="EW8" s="231">
        <v>729586</v>
      </c>
      <c r="EX8" s="231">
        <v>-234621</v>
      </c>
      <c r="EY8" s="229">
        <v>-0.3216</v>
      </c>
      <c r="EZ8" s="229">
        <v>0.30980000000000002</v>
      </c>
      <c r="FA8" s="227" t="s">
        <v>691</v>
      </c>
      <c r="FB8" s="161">
        <f t="shared" si="0"/>
        <v>18389150</v>
      </c>
    </row>
    <row r="9" spans="1:158" ht="17.25" thickBot="1" x14ac:dyDescent="0.3">
      <c r="A9" s="226">
        <v>46168</v>
      </c>
      <c r="B9" s="227" t="s">
        <v>161</v>
      </c>
      <c r="C9" s="227" t="s">
        <v>693</v>
      </c>
      <c r="D9" s="228">
        <v>3550</v>
      </c>
      <c r="E9" s="228">
        <v>246.49</v>
      </c>
      <c r="F9" s="228">
        <v>235.26</v>
      </c>
      <c r="G9" s="228">
        <v>11.23</v>
      </c>
      <c r="H9" s="229">
        <v>4.7699999999999999E-2</v>
      </c>
      <c r="I9" s="228">
        <v>244.53</v>
      </c>
      <c r="J9" s="228">
        <v>233.38</v>
      </c>
      <c r="K9" s="228">
        <v>11.15</v>
      </c>
      <c r="L9" s="229">
        <v>4.7800000000000002E-2</v>
      </c>
      <c r="M9" s="228">
        <v>244.31</v>
      </c>
      <c r="N9" s="228">
        <v>233.81</v>
      </c>
      <c r="O9" s="228">
        <v>10.5</v>
      </c>
      <c r="P9" s="229">
        <v>4.4900000000000002E-2</v>
      </c>
      <c r="Q9" s="228">
        <v>246.49</v>
      </c>
      <c r="R9" s="228">
        <v>235.26</v>
      </c>
      <c r="S9" s="228">
        <v>11.23</v>
      </c>
      <c r="T9" s="229">
        <v>4.7699999999999999E-2</v>
      </c>
      <c r="U9" s="228">
        <v>248.05</v>
      </c>
      <c r="V9" s="228">
        <v>236.67</v>
      </c>
      <c r="W9" s="228">
        <v>11.38</v>
      </c>
      <c r="X9" s="229">
        <v>4.8099999999999997E-2</v>
      </c>
      <c r="Y9" s="228">
        <v>1.96</v>
      </c>
      <c r="Z9" s="228">
        <v>0.43</v>
      </c>
      <c r="AA9" s="228">
        <v>1.53</v>
      </c>
      <c r="AB9" s="229">
        <v>8.0000000000000002E-3</v>
      </c>
      <c r="AC9" s="228">
        <v>-0.22</v>
      </c>
      <c r="AD9" s="228">
        <v>0.43</v>
      </c>
      <c r="AE9" s="228">
        <v>-0.65</v>
      </c>
      <c r="AF9" s="229">
        <v>-8.9999999999999998E-4</v>
      </c>
      <c r="AG9" s="228">
        <v>1.96</v>
      </c>
      <c r="AH9" s="228">
        <v>1.88</v>
      </c>
      <c r="AI9" s="228">
        <v>0.08</v>
      </c>
      <c r="AJ9" s="229">
        <v>8.0000000000000002E-3</v>
      </c>
      <c r="AK9" s="228">
        <v>3.52</v>
      </c>
      <c r="AL9" s="228">
        <v>3.29</v>
      </c>
      <c r="AM9" s="228">
        <v>0.23</v>
      </c>
      <c r="AN9" s="229">
        <v>1.44E-2</v>
      </c>
      <c r="AO9" s="228">
        <v>241.68</v>
      </c>
      <c r="AP9" s="228">
        <v>243.2</v>
      </c>
      <c r="AQ9" s="228">
        <v>0</v>
      </c>
      <c r="AR9" s="230">
        <v>86314700</v>
      </c>
      <c r="AS9" s="230">
        <v>109077300</v>
      </c>
      <c r="AT9" s="230">
        <v>-22762600</v>
      </c>
      <c r="AU9" s="229">
        <v>-0.2087</v>
      </c>
      <c r="AV9" s="230">
        <v>22489250</v>
      </c>
      <c r="AW9" s="230">
        <v>43118300</v>
      </c>
      <c r="AX9" s="230">
        <v>-20629050</v>
      </c>
      <c r="AY9" s="229">
        <v>-0.47839999999999999</v>
      </c>
      <c r="AZ9" s="230">
        <v>61762900</v>
      </c>
      <c r="BA9" s="230">
        <v>64645500</v>
      </c>
      <c r="BB9" s="230">
        <v>-2882600</v>
      </c>
      <c r="BC9" s="229">
        <v>-4.4600000000000001E-2</v>
      </c>
      <c r="BD9" s="230">
        <v>2062550</v>
      </c>
      <c r="BE9" s="230">
        <v>1313500</v>
      </c>
      <c r="BF9" s="230">
        <v>749050</v>
      </c>
      <c r="BG9" s="229">
        <v>0.57030000000000003</v>
      </c>
      <c r="BH9" s="230">
        <v>217249350</v>
      </c>
      <c r="BI9" s="230">
        <v>263324800</v>
      </c>
      <c r="BJ9" s="230">
        <v>-46075450</v>
      </c>
      <c r="BK9" s="229">
        <v>-0.17499999999999999</v>
      </c>
      <c r="BL9" s="230">
        <v>68156450</v>
      </c>
      <c r="BM9" s="230">
        <v>76939150</v>
      </c>
      <c r="BN9" s="230">
        <v>-8782700</v>
      </c>
      <c r="BO9" s="229">
        <v>-0.1142</v>
      </c>
      <c r="BP9" s="230">
        <v>371720500</v>
      </c>
      <c r="BQ9" s="230">
        <v>449341250</v>
      </c>
      <c r="BR9" s="230">
        <v>-77620750</v>
      </c>
      <c r="BS9" s="229">
        <v>-0.17269999999999999</v>
      </c>
      <c r="BT9" s="230">
        <v>98025071</v>
      </c>
      <c r="BU9" s="230">
        <v>77012768</v>
      </c>
      <c r="BV9" s="230">
        <v>21012303</v>
      </c>
      <c r="BW9" s="229">
        <v>0.27279999999999999</v>
      </c>
      <c r="BX9" s="230">
        <v>101054300</v>
      </c>
      <c r="BY9" s="230">
        <v>101682650</v>
      </c>
      <c r="BZ9" s="230">
        <v>-628350</v>
      </c>
      <c r="CA9" s="229">
        <v>-6.1999999999999998E-3</v>
      </c>
      <c r="CB9" s="230">
        <v>2921650</v>
      </c>
      <c r="CC9" s="230">
        <v>16312250</v>
      </c>
      <c r="CD9" s="230">
        <v>-13390600</v>
      </c>
      <c r="CE9" s="229">
        <v>-0.82089999999999996</v>
      </c>
      <c r="CF9" s="230">
        <v>93531850</v>
      </c>
      <c r="CG9" s="230">
        <v>78032550</v>
      </c>
      <c r="CH9" s="230">
        <v>15499300</v>
      </c>
      <c r="CI9" s="229">
        <v>0.1986</v>
      </c>
      <c r="CJ9" s="230">
        <v>7522450</v>
      </c>
      <c r="CK9" s="230">
        <v>7337850</v>
      </c>
      <c r="CL9" s="230">
        <v>184600</v>
      </c>
      <c r="CM9" s="229">
        <v>2.52E-2</v>
      </c>
      <c r="CN9" s="230">
        <v>22624150</v>
      </c>
      <c r="CO9" s="230">
        <v>41123200</v>
      </c>
      <c r="CP9" s="230">
        <v>-18499050</v>
      </c>
      <c r="CQ9" s="229">
        <v>-0.44979999999999998</v>
      </c>
      <c r="CR9" s="230">
        <v>16070850</v>
      </c>
      <c r="CS9" s="230">
        <v>25744600</v>
      </c>
      <c r="CT9" s="230">
        <v>-9673750</v>
      </c>
      <c r="CU9" s="229">
        <v>-0.37580000000000002</v>
      </c>
      <c r="CV9" s="230">
        <v>139749300</v>
      </c>
      <c r="CW9" s="230">
        <v>168550450</v>
      </c>
      <c r="CX9" s="230">
        <v>-28801150</v>
      </c>
      <c r="CY9" s="229">
        <v>-0.1709</v>
      </c>
      <c r="CZ9" s="228">
        <v>44.76</v>
      </c>
      <c r="DA9" s="228">
        <v>45.58</v>
      </c>
      <c r="DB9" s="228">
        <v>-0.82</v>
      </c>
      <c r="DC9" s="228">
        <v>-0.82</v>
      </c>
      <c r="DD9" s="228">
        <v>52.65</v>
      </c>
      <c r="DE9" s="228">
        <v>52.41</v>
      </c>
      <c r="DF9" s="228">
        <v>-7.89</v>
      </c>
      <c r="DG9" s="228">
        <v>0.24</v>
      </c>
      <c r="DH9" s="228">
        <v>44.18</v>
      </c>
      <c r="DI9" s="228">
        <v>45.65</v>
      </c>
      <c r="DJ9" s="228">
        <v>-1.47</v>
      </c>
      <c r="DK9" s="228">
        <v>-1.47</v>
      </c>
      <c r="DL9" s="228">
        <v>46.46</v>
      </c>
      <c r="DM9" s="228">
        <v>45.37</v>
      </c>
      <c r="DN9" s="228">
        <v>1.0900000000000001</v>
      </c>
      <c r="DO9" s="228">
        <v>1.0900000000000001</v>
      </c>
      <c r="DP9" s="228">
        <v>0.71</v>
      </c>
      <c r="DQ9" s="228">
        <v>0.63</v>
      </c>
      <c r="DR9" s="228">
        <v>0.08</v>
      </c>
      <c r="DS9" s="229">
        <v>0.127</v>
      </c>
      <c r="DT9" s="228">
        <v>250</v>
      </c>
      <c r="DU9" s="228">
        <v>220</v>
      </c>
      <c r="DV9" s="228">
        <v>0.31</v>
      </c>
      <c r="DW9" s="228">
        <v>0.28999999999999998</v>
      </c>
      <c r="DX9" s="228">
        <v>0.02</v>
      </c>
      <c r="DY9" s="229">
        <v>6.9000000000000006E-2</v>
      </c>
      <c r="DZ9" s="229">
        <v>0.97189999999999999</v>
      </c>
      <c r="EA9" s="230">
        <v>85370400</v>
      </c>
      <c r="EB9" s="229">
        <v>8.8999999999999999E-3</v>
      </c>
      <c r="EC9" s="229">
        <v>0.97189999999999999</v>
      </c>
      <c r="ED9" s="228">
        <v>1.52</v>
      </c>
      <c r="EE9" s="229">
        <v>6.3E-3</v>
      </c>
      <c r="EF9" s="230">
        <v>19182407</v>
      </c>
      <c r="EG9" s="230">
        <v>26249067</v>
      </c>
      <c r="EH9" s="229">
        <v>-0.26919999999999999</v>
      </c>
      <c r="EI9" s="229">
        <v>0.19570000000000001</v>
      </c>
      <c r="EJ9" s="231">
        <v>546602.80000000005</v>
      </c>
      <c r="EK9" s="231">
        <v>157411.09</v>
      </c>
      <c r="EL9" s="231">
        <v>209604.48000000001</v>
      </c>
      <c r="EM9" s="231">
        <v>13926</v>
      </c>
      <c r="EN9" s="231">
        <v>913618.37</v>
      </c>
      <c r="EO9" s="231">
        <v>1051914.8400000001</v>
      </c>
      <c r="EP9" s="231">
        <v>-138296.47</v>
      </c>
      <c r="EQ9" s="229">
        <v>-0.13150000000000001</v>
      </c>
      <c r="ER9" s="231">
        <v>55708</v>
      </c>
      <c r="ES9" s="231">
        <v>35549</v>
      </c>
      <c r="ET9" s="231">
        <v>249206</v>
      </c>
      <c r="EU9" s="231">
        <v>482906787</v>
      </c>
      <c r="EV9" s="231">
        <v>340463</v>
      </c>
      <c r="EW9" s="231">
        <v>390592</v>
      </c>
      <c r="EX9" s="231">
        <v>-50129</v>
      </c>
      <c r="EY9" s="229">
        <v>-0.1283</v>
      </c>
      <c r="EZ9" s="229">
        <v>0.28939999999999999</v>
      </c>
      <c r="FA9" s="227" t="s">
        <v>691</v>
      </c>
      <c r="FB9" s="161">
        <f t="shared" si="0"/>
        <v>98132650</v>
      </c>
    </row>
    <row r="10" spans="1:158" ht="17.25" thickBot="1" x14ac:dyDescent="0.3">
      <c r="A10" s="226">
        <v>46168</v>
      </c>
      <c r="B10" s="227" t="s">
        <v>170</v>
      </c>
      <c r="C10" s="227" t="s">
        <v>497</v>
      </c>
      <c r="D10" s="228">
        <v>125</v>
      </c>
      <c r="E10" s="231">
        <v>5420.5</v>
      </c>
      <c r="F10" s="231">
        <v>5422.5</v>
      </c>
      <c r="G10" s="228">
        <v>-2</v>
      </c>
      <c r="H10" s="229">
        <v>-4.0000000000000002E-4</v>
      </c>
      <c r="I10" s="231">
        <v>5380</v>
      </c>
      <c r="J10" s="231">
        <v>5400.5</v>
      </c>
      <c r="K10" s="228">
        <v>-20.5</v>
      </c>
      <c r="L10" s="229">
        <v>-3.8E-3</v>
      </c>
      <c r="M10" s="231">
        <v>5380.5</v>
      </c>
      <c r="N10" s="231">
        <v>5422</v>
      </c>
      <c r="O10" s="228">
        <v>-41.5</v>
      </c>
      <c r="P10" s="229">
        <v>-7.7000000000000002E-3</v>
      </c>
      <c r="Q10" s="231">
        <v>5420.5</v>
      </c>
      <c r="R10" s="231">
        <v>5422.5</v>
      </c>
      <c r="S10" s="228">
        <v>-2</v>
      </c>
      <c r="T10" s="229">
        <v>-4.0000000000000002E-4</v>
      </c>
      <c r="U10" s="231">
        <v>5430</v>
      </c>
      <c r="V10" s="231">
        <v>5432</v>
      </c>
      <c r="W10" s="228">
        <v>-2</v>
      </c>
      <c r="X10" s="229">
        <v>-4.0000000000000002E-4</v>
      </c>
      <c r="Y10" s="228">
        <v>40.5</v>
      </c>
      <c r="Z10" s="228">
        <v>21.5</v>
      </c>
      <c r="AA10" s="228">
        <v>19</v>
      </c>
      <c r="AB10" s="229">
        <v>7.4999999999999997E-3</v>
      </c>
      <c r="AC10" s="228">
        <v>0.5</v>
      </c>
      <c r="AD10" s="228">
        <v>21.5</v>
      </c>
      <c r="AE10" s="228">
        <v>-21</v>
      </c>
      <c r="AF10" s="229">
        <v>1E-4</v>
      </c>
      <c r="AG10" s="228">
        <v>40.5</v>
      </c>
      <c r="AH10" s="228">
        <v>22</v>
      </c>
      <c r="AI10" s="228">
        <v>18.5</v>
      </c>
      <c r="AJ10" s="229">
        <v>7.4999999999999997E-3</v>
      </c>
      <c r="AK10" s="228">
        <v>50</v>
      </c>
      <c r="AL10" s="228">
        <v>31.5</v>
      </c>
      <c r="AM10" s="228">
        <v>18.5</v>
      </c>
      <c r="AN10" s="229">
        <v>9.2999999999999992E-3</v>
      </c>
      <c r="AO10" s="231">
        <v>5361.55</v>
      </c>
      <c r="AP10" s="231">
        <v>5394.43</v>
      </c>
      <c r="AQ10" s="228">
        <v>0</v>
      </c>
      <c r="AR10" s="230">
        <v>363250</v>
      </c>
      <c r="AS10" s="230">
        <v>494625</v>
      </c>
      <c r="AT10" s="230">
        <v>-131375</v>
      </c>
      <c r="AU10" s="229">
        <v>-0.2656</v>
      </c>
      <c r="AV10" s="230">
        <v>142375</v>
      </c>
      <c r="AW10" s="230">
        <v>230625</v>
      </c>
      <c r="AX10" s="230">
        <v>-88250</v>
      </c>
      <c r="AY10" s="229">
        <v>-0.38269999999999998</v>
      </c>
      <c r="AZ10" s="230">
        <v>218625</v>
      </c>
      <c r="BA10" s="230">
        <v>263625</v>
      </c>
      <c r="BB10" s="230">
        <v>-45000</v>
      </c>
      <c r="BC10" s="229">
        <v>-0.17069999999999999</v>
      </c>
      <c r="BD10" s="230">
        <v>2250</v>
      </c>
      <c r="BE10" s="228">
        <v>375</v>
      </c>
      <c r="BF10" s="230">
        <v>1875</v>
      </c>
      <c r="BG10" s="229">
        <v>5</v>
      </c>
      <c r="BH10" s="230">
        <v>439750</v>
      </c>
      <c r="BI10" s="230">
        <v>777500</v>
      </c>
      <c r="BJ10" s="230">
        <v>-337750</v>
      </c>
      <c r="BK10" s="229">
        <v>-0.43440000000000001</v>
      </c>
      <c r="BL10" s="230">
        <v>801500</v>
      </c>
      <c r="BM10" s="230">
        <v>324750</v>
      </c>
      <c r="BN10" s="230">
        <v>476750</v>
      </c>
      <c r="BO10" s="229">
        <v>1.4681</v>
      </c>
      <c r="BP10" s="230">
        <v>1604500</v>
      </c>
      <c r="BQ10" s="230">
        <v>1596875</v>
      </c>
      <c r="BR10" s="230">
        <v>7625</v>
      </c>
      <c r="BS10" s="229">
        <v>4.7999999999999996E-3</v>
      </c>
      <c r="BT10" s="230">
        <v>64322</v>
      </c>
      <c r="BU10" s="230">
        <v>42442</v>
      </c>
      <c r="BV10" s="230">
        <v>21880</v>
      </c>
      <c r="BW10" s="229">
        <v>0.51549999999999996</v>
      </c>
      <c r="BX10" s="230">
        <v>1231125</v>
      </c>
      <c r="BY10" s="230">
        <v>1264250</v>
      </c>
      <c r="BZ10" s="230">
        <v>-33125</v>
      </c>
      <c r="CA10" s="229">
        <v>-2.6200000000000001E-2</v>
      </c>
      <c r="CB10" s="230">
        <v>24500</v>
      </c>
      <c r="CC10" s="230">
        <v>88250</v>
      </c>
      <c r="CD10" s="230">
        <v>-63750</v>
      </c>
      <c r="CE10" s="229">
        <v>-0.72240000000000004</v>
      </c>
      <c r="CF10" s="230">
        <v>1226250</v>
      </c>
      <c r="CG10" s="230">
        <v>1172625</v>
      </c>
      <c r="CH10" s="230">
        <v>53625</v>
      </c>
      <c r="CI10" s="229">
        <v>4.5699999999999998E-2</v>
      </c>
      <c r="CJ10" s="230">
        <v>4875</v>
      </c>
      <c r="CK10" s="230">
        <v>3375</v>
      </c>
      <c r="CL10" s="230">
        <v>1500</v>
      </c>
      <c r="CM10" s="229">
        <v>0.44440000000000002</v>
      </c>
      <c r="CN10" s="230">
        <v>110000</v>
      </c>
      <c r="CO10" s="230">
        <v>400250</v>
      </c>
      <c r="CP10" s="230">
        <v>-290250</v>
      </c>
      <c r="CQ10" s="229">
        <v>-0.72519999999999996</v>
      </c>
      <c r="CR10" s="230">
        <v>86000</v>
      </c>
      <c r="CS10" s="230">
        <v>205000</v>
      </c>
      <c r="CT10" s="230">
        <v>-119000</v>
      </c>
      <c r="CU10" s="229">
        <v>-0.58050000000000002</v>
      </c>
      <c r="CV10" s="230">
        <v>1427125</v>
      </c>
      <c r="CW10" s="230">
        <v>1869500</v>
      </c>
      <c r="CX10" s="230">
        <v>-442375</v>
      </c>
      <c r="CY10" s="229">
        <v>-0.2366</v>
      </c>
      <c r="CZ10" s="228">
        <v>27.33</v>
      </c>
      <c r="DA10" s="228">
        <v>28.79</v>
      </c>
      <c r="DB10" s="228">
        <v>-1.46</v>
      </c>
      <c r="DC10" s="228">
        <v>-1.46</v>
      </c>
      <c r="DD10" s="228">
        <v>28.71</v>
      </c>
      <c r="DE10" s="228">
        <v>28.78</v>
      </c>
      <c r="DF10" s="228">
        <v>-1.38</v>
      </c>
      <c r="DG10" s="228">
        <v>-7.0000000000000007E-2</v>
      </c>
      <c r="DH10" s="228">
        <v>28.11</v>
      </c>
      <c r="DI10" s="228">
        <v>29.24</v>
      </c>
      <c r="DJ10" s="228">
        <v>-1.1299999999999999</v>
      </c>
      <c r="DK10" s="228">
        <v>-1.1299999999999999</v>
      </c>
      <c r="DL10" s="228">
        <v>26.41</v>
      </c>
      <c r="DM10" s="228">
        <v>28.25</v>
      </c>
      <c r="DN10" s="228">
        <v>-1.84</v>
      </c>
      <c r="DO10" s="228">
        <v>-1.84</v>
      </c>
      <c r="DP10" s="228">
        <v>0.78</v>
      </c>
      <c r="DQ10" s="228">
        <v>0.51</v>
      </c>
      <c r="DR10" s="228">
        <v>0.27</v>
      </c>
      <c r="DS10" s="229">
        <v>0.52939999999999998</v>
      </c>
      <c r="DT10" s="231">
        <v>6000</v>
      </c>
      <c r="DU10" s="231">
        <v>5200</v>
      </c>
      <c r="DV10" s="228">
        <v>1.82</v>
      </c>
      <c r="DW10" s="228">
        <v>0.42</v>
      </c>
      <c r="DX10" s="228">
        <v>1.4</v>
      </c>
      <c r="DY10" s="229">
        <v>3.3332999999999999</v>
      </c>
      <c r="DZ10" s="229">
        <v>0.98050000000000004</v>
      </c>
      <c r="EA10" s="230">
        <v>1176000</v>
      </c>
      <c r="EB10" s="229">
        <v>7.4000000000000003E-3</v>
      </c>
      <c r="EC10" s="229">
        <v>0.98050000000000004</v>
      </c>
      <c r="ED10" s="228">
        <v>32.880000000000003</v>
      </c>
      <c r="EE10" s="229">
        <v>6.1000000000000004E-3</v>
      </c>
      <c r="EF10" s="230">
        <v>22501</v>
      </c>
      <c r="EG10" s="230">
        <v>19550</v>
      </c>
      <c r="EH10" s="229">
        <v>0.15090000000000001</v>
      </c>
      <c r="EI10" s="229">
        <v>0.3498</v>
      </c>
      <c r="EJ10" s="231">
        <v>24551.47</v>
      </c>
      <c r="EK10" s="231">
        <v>42638.58</v>
      </c>
      <c r="EL10" s="231">
        <v>19548.939999999999</v>
      </c>
      <c r="EM10" s="231">
        <v>6122</v>
      </c>
      <c r="EN10" s="231">
        <v>86738.99</v>
      </c>
      <c r="EO10" s="231">
        <v>88348.32</v>
      </c>
      <c r="EP10" s="231">
        <v>-1609.33</v>
      </c>
      <c r="EQ10" s="229">
        <v>-1.8200000000000001E-2</v>
      </c>
      <c r="ER10" s="231">
        <v>6349</v>
      </c>
      <c r="ES10" s="231">
        <v>4544</v>
      </c>
      <c r="ET10" s="231">
        <v>66734</v>
      </c>
      <c r="EU10" s="231">
        <v>5873365</v>
      </c>
      <c r="EV10" s="231">
        <v>77626</v>
      </c>
      <c r="EW10" s="231">
        <v>102501</v>
      </c>
      <c r="EX10" s="231">
        <v>-24875</v>
      </c>
      <c r="EY10" s="229">
        <v>-0.2427</v>
      </c>
      <c r="EZ10" s="229">
        <v>0.24299999999999999</v>
      </c>
      <c r="FA10" s="227" t="s">
        <v>567</v>
      </c>
      <c r="FB10" s="161">
        <f t="shared" si="0"/>
        <v>1206625</v>
      </c>
    </row>
    <row r="11" spans="1:158" ht="17.25" thickBot="1" x14ac:dyDescent="0.3">
      <c r="A11" s="226">
        <v>46168</v>
      </c>
      <c r="B11" s="227" t="s">
        <v>184</v>
      </c>
      <c r="C11" s="227" t="s">
        <v>677</v>
      </c>
      <c r="D11" s="228">
        <v>100</v>
      </c>
      <c r="E11" s="231">
        <v>7377</v>
      </c>
      <c r="F11" s="231">
        <v>7524.5</v>
      </c>
      <c r="G11" s="228">
        <v>-147.5</v>
      </c>
      <c r="H11" s="229">
        <v>-1.9599999999999999E-2</v>
      </c>
      <c r="I11" s="231">
        <v>7312</v>
      </c>
      <c r="J11" s="231">
        <v>7461.5</v>
      </c>
      <c r="K11" s="228">
        <v>-149.5</v>
      </c>
      <c r="L11" s="229">
        <v>-0.02</v>
      </c>
      <c r="M11" s="231">
        <v>7321.5</v>
      </c>
      <c r="N11" s="231">
        <v>7480</v>
      </c>
      <c r="O11" s="228">
        <v>-158.5</v>
      </c>
      <c r="P11" s="229">
        <v>-2.12E-2</v>
      </c>
      <c r="Q11" s="231">
        <v>7377</v>
      </c>
      <c r="R11" s="231">
        <v>7524.5</v>
      </c>
      <c r="S11" s="228">
        <v>-147.5</v>
      </c>
      <c r="T11" s="229">
        <v>-1.9599999999999999E-2</v>
      </c>
      <c r="U11" s="231">
        <v>7384.5</v>
      </c>
      <c r="V11" s="231">
        <v>7494</v>
      </c>
      <c r="W11" s="228">
        <v>-109.5</v>
      </c>
      <c r="X11" s="229">
        <v>-1.46E-2</v>
      </c>
      <c r="Y11" s="228">
        <v>65</v>
      </c>
      <c r="Z11" s="228">
        <v>18.5</v>
      </c>
      <c r="AA11" s="228">
        <v>46.5</v>
      </c>
      <c r="AB11" s="229">
        <v>8.8999999999999999E-3</v>
      </c>
      <c r="AC11" s="228">
        <v>9.5</v>
      </c>
      <c r="AD11" s="228">
        <v>18.5</v>
      </c>
      <c r="AE11" s="228">
        <v>-9</v>
      </c>
      <c r="AF11" s="229">
        <v>1.2999999999999999E-3</v>
      </c>
      <c r="AG11" s="228">
        <v>65</v>
      </c>
      <c r="AH11" s="228">
        <v>63</v>
      </c>
      <c r="AI11" s="228">
        <v>2</v>
      </c>
      <c r="AJ11" s="229">
        <v>8.8999999999999999E-3</v>
      </c>
      <c r="AK11" s="228">
        <v>72.5</v>
      </c>
      <c r="AL11" s="228">
        <v>32.5</v>
      </c>
      <c r="AM11" s="228">
        <v>40</v>
      </c>
      <c r="AN11" s="229">
        <v>9.9000000000000008E-3</v>
      </c>
      <c r="AO11" s="231">
        <v>7392.76</v>
      </c>
      <c r="AP11" s="231">
        <v>7436.94</v>
      </c>
      <c r="AQ11" s="228">
        <v>0</v>
      </c>
      <c r="AR11" s="230">
        <v>1474400</v>
      </c>
      <c r="AS11" s="230">
        <v>1716300</v>
      </c>
      <c r="AT11" s="230">
        <v>-241900</v>
      </c>
      <c r="AU11" s="229">
        <v>-0.1409</v>
      </c>
      <c r="AV11" s="230">
        <v>614300</v>
      </c>
      <c r="AW11" s="230">
        <v>734000</v>
      </c>
      <c r="AX11" s="230">
        <v>-119700</v>
      </c>
      <c r="AY11" s="229">
        <v>-0.16309999999999999</v>
      </c>
      <c r="AZ11" s="230">
        <v>857500</v>
      </c>
      <c r="BA11" s="230">
        <v>980000</v>
      </c>
      <c r="BB11" s="230">
        <v>-122500</v>
      </c>
      <c r="BC11" s="229">
        <v>-0.125</v>
      </c>
      <c r="BD11" s="230">
        <v>2600</v>
      </c>
      <c r="BE11" s="230">
        <v>2300</v>
      </c>
      <c r="BF11" s="228">
        <v>300</v>
      </c>
      <c r="BG11" s="229">
        <v>0.13039999999999999</v>
      </c>
      <c r="BH11" s="230">
        <v>3667300</v>
      </c>
      <c r="BI11" s="230">
        <v>5972300</v>
      </c>
      <c r="BJ11" s="230">
        <v>-2305000</v>
      </c>
      <c r="BK11" s="229">
        <v>-0.38590000000000002</v>
      </c>
      <c r="BL11" s="230">
        <v>1909500</v>
      </c>
      <c r="BM11" s="230">
        <v>4676500</v>
      </c>
      <c r="BN11" s="230">
        <v>-2767000</v>
      </c>
      <c r="BO11" s="229">
        <v>-0.5917</v>
      </c>
      <c r="BP11" s="230">
        <v>7051200</v>
      </c>
      <c r="BQ11" s="230">
        <v>12365100</v>
      </c>
      <c r="BR11" s="230">
        <v>-5313900</v>
      </c>
      <c r="BS11" s="229">
        <v>-0.42970000000000003</v>
      </c>
      <c r="BT11" s="230">
        <v>323136</v>
      </c>
      <c r="BU11" s="230">
        <v>401709</v>
      </c>
      <c r="BV11" s="230">
        <v>-78573</v>
      </c>
      <c r="BW11" s="229">
        <v>-0.1956</v>
      </c>
      <c r="BX11" s="230">
        <v>2729600</v>
      </c>
      <c r="BY11" s="230">
        <v>2900600</v>
      </c>
      <c r="BZ11" s="230">
        <v>-171000</v>
      </c>
      <c r="CA11" s="229">
        <v>-5.8999999999999997E-2</v>
      </c>
      <c r="CB11" s="230">
        <v>275300</v>
      </c>
      <c r="CC11" s="230">
        <v>644000</v>
      </c>
      <c r="CD11" s="230">
        <v>-368700</v>
      </c>
      <c r="CE11" s="229">
        <v>-0.57250000000000001</v>
      </c>
      <c r="CF11" s="230">
        <v>2714900</v>
      </c>
      <c r="CG11" s="230">
        <v>2243500</v>
      </c>
      <c r="CH11" s="230">
        <v>471400</v>
      </c>
      <c r="CI11" s="229">
        <v>0.21010000000000001</v>
      </c>
      <c r="CJ11" s="230">
        <v>14700</v>
      </c>
      <c r="CK11" s="230">
        <v>13100</v>
      </c>
      <c r="CL11" s="230">
        <v>1600</v>
      </c>
      <c r="CM11" s="229">
        <v>0.1221</v>
      </c>
      <c r="CN11" s="230">
        <v>1133800</v>
      </c>
      <c r="CO11" s="230">
        <v>3383700</v>
      </c>
      <c r="CP11" s="230">
        <v>-2249900</v>
      </c>
      <c r="CQ11" s="229">
        <v>-0.66490000000000005</v>
      </c>
      <c r="CR11" s="230">
        <v>1100500</v>
      </c>
      <c r="CS11" s="230">
        <v>1959600</v>
      </c>
      <c r="CT11" s="230">
        <v>-859100</v>
      </c>
      <c r="CU11" s="229">
        <v>-0.43840000000000001</v>
      </c>
      <c r="CV11" s="230">
        <v>4963900</v>
      </c>
      <c r="CW11" s="230">
        <v>8243900</v>
      </c>
      <c r="CX11" s="230">
        <v>-3280000</v>
      </c>
      <c r="CY11" s="229">
        <v>-0.39789999999999998</v>
      </c>
      <c r="CZ11" s="228">
        <v>34.15</v>
      </c>
      <c r="DA11" s="228">
        <v>36.840000000000003</v>
      </c>
      <c r="DB11" s="228">
        <v>-2.69</v>
      </c>
      <c r="DC11" s="228">
        <v>-2.69</v>
      </c>
      <c r="DD11" s="228">
        <v>58.56</v>
      </c>
      <c r="DE11" s="228">
        <v>58.65</v>
      </c>
      <c r="DF11" s="228">
        <v>-24.41</v>
      </c>
      <c r="DG11" s="228">
        <v>-0.09</v>
      </c>
      <c r="DH11" s="228">
        <v>36.130000000000003</v>
      </c>
      <c r="DI11" s="228">
        <v>38.83</v>
      </c>
      <c r="DJ11" s="228">
        <v>-2.7</v>
      </c>
      <c r="DK11" s="228">
        <v>-2.7</v>
      </c>
      <c r="DL11" s="228">
        <v>32.200000000000003</v>
      </c>
      <c r="DM11" s="228">
        <v>34.51</v>
      </c>
      <c r="DN11" s="228">
        <v>-2.31</v>
      </c>
      <c r="DO11" s="228">
        <v>-2.31</v>
      </c>
      <c r="DP11" s="228">
        <v>0.97</v>
      </c>
      <c r="DQ11" s="228">
        <v>0.57999999999999996</v>
      </c>
      <c r="DR11" s="228">
        <v>0.39</v>
      </c>
      <c r="DS11" s="229">
        <v>0.6724</v>
      </c>
      <c r="DT11" s="231">
        <v>8000</v>
      </c>
      <c r="DU11" s="231">
        <v>7000</v>
      </c>
      <c r="DV11" s="228">
        <v>0.52</v>
      </c>
      <c r="DW11" s="228">
        <v>0.78</v>
      </c>
      <c r="DX11" s="228">
        <v>-0.26</v>
      </c>
      <c r="DY11" s="229">
        <v>-0.33329999999999999</v>
      </c>
      <c r="DZ11" s="229">
        <v>0.90839999999999999</v>
      </c>
      <c r="EA11" s="230">
        <v>2256600</v>
      </c>
      <c r="EB11" s="229">
        <v>7.6E-3</v>
      </c>
      <c r="EC11" s="229">
        <v>0.90839999999999999</v>
      </c>
      <c r="ED11" s="228">
        <v>44.18</v>
      </c>
      <c r="EE11" s="229">
        <v>6.0000000000000001E-3</v>
      </c>
      <c r="EF11" s="230">
        <v>112980</v>
      </c>
      <c r="EG11" s="230">
        <v>124740</v>
      </c>
      <c r="EH11" s="229">
        <v>-9.4299999999999995E-2</v>
      </c>
      <c r="EI11" s="229">
        <v>0.34960000000000002</v>
      </c>
      <c r="EJ11" s="231">
        <v>292482.58</v>
      </c>
      <c r="EK11" s="231">
        <v>139131.85999999999</v>
      </c>
      <c r="EL11" s="231">
        <v>109379.33</v>
      </c>
      <c r="EM11" s="231">
        <v>19706</v>
      </c>
      <c r="EN11" s="231">
        <v>540993.77</v>
      </c>
      <c r="EO11" s="231">
        <v>936946.02</v>
      </c>
      <c r="EP11" s="231">
        <v>-395952.25</v>
      </c>
      <c r="EQ11" s="229">
        <v>-0.42259999999999998</v>
      </c>
      <c r="ER11" s="231">
        <v>89603</v>
      </c>
      <c r="ES11" s="231">
        <v>77799</v>
      </c>
      <c r="ET11" s="231">
        <v>201364</v>
      </c>
      <c r="EU11" s="231">
        <v>3260820</v>
      </c>
      <c r="EV11" s="231">
        <v>368766</v>
      </c>
      <c r="EW11" s="231">
        <v>635797</v>
      </c>
      <c r="EX11" s="231">
        <v>-267031</v>
      </c>
      <c r="EY11" s="229">
        <v>-0.42</v>
      </c>
      <c r="EZ11" s="229">
        <v>1.5223</v>
      </c>
      <c r="FA11" s="227" t="s">
        <v>567</v>
      </c>
      <c r="FB11" s="161">
        <f t="shared" si="0"/>
        <v>2454300</v>
      </c>
    </row>
    <row r="12" spans="1:158" ht="17.25" thickBot="1" x14ac:dyDescent="0.3">
      <c r="A12" s="226">
        <v>46168</v>
      </c>
      <c r="B12" s="227" t="s">
        <v>157</v>
      </c>
      <c r="C12" s="227" t="s">
        <v>164</v>
      </c>
      <c r="D12" s="228">
        <v>1050</v>
      </c>
      <c r="E12" s="228">
        <v>451.25</v>
      </c>
      <c r="F12" s="228">
        <v>443.55</v>
      </c>
      <c r="G12" s="228">
        <v>7.7</v>
      </c>
      <c r="H12" s="229">
        <v>1.7399999999999999E-2</v>
      </c>
      <c r="I12" s="228">
        <v>449.7</v>
      </c>
      <c r="J12" s="228">
        <v>441.95</v>
      </c>
      <c r="K12" s="228">
        <v>7.75</v>
      </c>
      <c r="L12" s="229">
        <v>1.7500000000000002E-2</v>
      </c>
      <c r="M12" s="228">
        <v>448.75</v>
      </c>
      <c r="N12" s="228">
        <v>443.15</v>
      </c>
      <c r="O12" s="228">
        <v>5.6</v>
      </c>
      <c r="P12" s="229">
        <v>1.26E-2</v>
      </c>
      <c r="Q12" s="228">
        <v>451.25</v>
      </c>
      <c r="R12" s="228">
        <v>443.55</v>
      </c>
      <c r="S12" s="228">
        <v>7.7</v>
      </c>
      <c r="T12" s="229">
        <v>1.7399999999999999E-2</v>
      </c>
      <c r="U12" s="228">
        <v>453.65</v>
      </c>
      <c r="V12" s="228">
        <v>446.2</v>
      </c>
      <c r="W12" s="228">
        <v>7.45</v>
      </c>
      <c r="X12" s="229">
        <v>1.67E-2</v>
      </c>
      <c r="Y12" s="228">
        <v>1.55</v>
      </c>
      <c r="Z12" s="228">
        <v>1.2</v>
      </c>
      <c r="AA12" s="228">
        <v>0.35</v>
      </c>
      <c r="AB12" s="229">
        <v>3.3999999999999998E-3</v>
      </c>
      <c r="AC12" s="228">
        <v>-0.95</v>
      </c>
      <c r="AD12" s="228">
        <v>1.2</v>
      </c>
      <c r="AE12" s="228">
        <v>-2.15</v>
      </c>
      <c r="AF12" s="229">
        <v>-2.0999999999999999E-3</v>
      </c>
      <c r="AG12" s="228">
        <v>1.55</v>
      </c>
      <c r="AH12" s="228">
        <v>1.6</v>
      </c>
      <c r="AI12" s="228">
        <v>-0.05</v>
      </c>
      <c r="AJ12" s="229">
        <v>3.3999999999999998E-3</v>
      </c>
      <c r="AK12" s="228">
        <v>3.95</v>
      </c>
      <c r="AL12" s="228">
        <v>4.25</v>
      </c>
      <c r="AM12" s="228">
        <v>-0.3</v>
      </c>
      <c r="AN12" s="229">
        <v>8.8000000000000005E-3</v>
      </c>
      <c r="AO12" s="228">
        <v>447.98</v>
      </c>
      <c r="AP12" s="228">
        <v>449.79</v>
      </c>
      <c r="AQ12" s="228">
        <v>0</v>
      </c>
      <c r="AR12" s="230">
        <v>28458150</v>
      </c>
      <c r="AS12" s="230">
        <v>31321500</v>
      </c>
      <c r="AT12" s="230">
        <v>-2863350</v>
      </c>
      <c r="AU12" s="229">
        <v>-9.1399999999999995E-2</v>
      </c>
      <c r="AV12" s="230">
        <v>11893350</v>
      </c>
      <c r="AW12" s="230">
        <v>14586600</v>
      </c>
      <c r="AX12" s="230">
        <v>-2693250</v>
      </c>
      <c r="AY12" s="229">
        <v>-0.18459999999999999</v>
      </c>
      <c r="AZ12" s="230">
        <v>16328550</v>
      </c>
      <c r="BA12" s="230">
        <v>16299150</v>
      </c>
      <c r="BB12" s="230">
        <v>29400</v>
      </c>
      <c r="BC12" s="229">
        <v>1.8E-3</v>
      </c>
      <c r="BD12" s="230">
        <v>236250</v>
      </c>
      <c r="BE12" s="230">
        <v>435750</v>
      </c>
      <c r="BF12" s="230">
        <v>-199500</v>
      </c>
      <c r="BG12" s="229">
        <v>-0.45779999999999998</v>
      </c>
      <c r="BH12" s="230">
        <v>29805300</v>
      </c>
      <c r="BI12" s="230">
        <v>19891200</v>
      </c>
      <c r="BJ12" s="230">
        <v>9914100</v>
      </c>
      <c r="BK12" s="229">
        <v>0.49840000000000001</v>
      </c>
      <c r="BL12" s="230">
        <v>13096650</v>
      </c>
      <c r="BM12" s="230">
        <v>10280550</v>
      </c>
      <c r="BN12" s="230">
        <v>2816100</v>
      </c>
      <c r="BO12" s="229">
        <v>0.27389999999999998</v>
      </c>
      <c r="BP12" s="230">
        <v>71360100</v>
      </c>
      <c r="BQ12" s="230">
        <v>61493250</v>
      </c>
      <c r="BR12" s="230">
        <v>9866850</v>
      </c>
      <c r="BS12" s="229">
        <v>0.1605</v>
      </c>
      <c r="BT12" s="230">
        <v>4638055</v>
      </c>
      <c r="BU12" s="230">
        <v>3114055</v>
      </c>
      <c r="BV12" s="230">
        <v>1524000</v>
      </c>
      <c r="BW12" s="229">
        <v>0.4894</v>
      </c>
      <c r="BX12" s="230">
        <v>72301050</v>
      </c>
      <c r="BY12" s="230">
        <v>74571450</v>
      </c>
      <c r="BZ12" s="230">
        <v>-2270400</v>
      </c>
      <c r="CA12" s="229">
        <v>-3.04E-2</v>
      </c>
      <c r="CB12" s="230">
        <v>5070450</v>
      </c>
      <c r="CC12" s="230">
        <v>10792950</v>
      </c>
      <c r="CD12" s="230">
        <v>-5722500</v>
      </c>
      <c r="CE12" s="229">
        <v>-0.5302</v>
      </c>
      <c r="CF12" s="230">
        <v>67537050</v>
      </c>
      <c r="CG12" s="230">
        <v>59087700</v>
      </c>
      <c r="CH12" s="230">
        <v>8449350</v>
      </c>
      <c r="CI12" s="229">
        <v>0.14299999999999999</v>
      </c>
      <c r="CJ12" s="230">
        <v>4764000</v>
      </c>
      <c r="CK12" s="230">
        <v>4690800</v>
      </c>
      <c r="CL12" s="230">
        <v>73200</v>
      </c>
      <c r="CM12" s="229">
        <v>1.5599999999999999E-2</v>
      </c>
      <c r="CN12" s="230">
        <v>7417200</v>
      </c>
      <c r="CO12" s="230">
        <v>17251500</v>
      </c>
      <c r="CP12" s="230">
        <v>-9834300</v>
      </c>
      <c r="CQ12" s="229">
        <v>-0.57010000000000005</v>
      </c>
      <c r="CR12" s="230">
        <v>7200000</v>
      </c>
      <c r="CS12" s="230">
        <v>10903350</v>
      </c>
      <c r="CT12" s="230">
        <v>-3703350</v>
      </c>
      <c r="CU12" s="229">
        <v>-0.3397</v>
      </c>
      <c r="CV12" s="230">
        <v>86918250</v>
      </c>
      <c r="CW12" s="230">
        <v>102726300</v>
      </c>
      <c r="CX12" s="230">
        <v>-15808050</v>
      </c>
      <c r="CY12" s="229">
        <v>-0.15390000000000001</v>
      </c>
      <c r="CZ12" s="228">
        <v>26.5</v>
      </c>
      <c r="DA12" s="228">
        <v>27.96</v>
      </c>
      <c r="DB12" s="228">
        <v>-1.46</v>
      </c>
      <c r="DC12" s="228">
        <v>-1.46</v>
      </c>
      <c r="DD12" s="228">
        <v>36.18</v>
      </c>
      <c r="DE12" s="228">
        <v>36.19</v>
      </c>
      <c r="DF12" s="228">
        <v>-9.68</v>
      </c>
      <c r="DG12" s="228">
        <v>-0.01</v>
      </c>
      <c r="DH12" s="228">
        <v>27.24</v>
      </c>
      <c r="DI12" s="228">
        <v>28.45</v>
      </c>
      <c r="DJ12" s="228">
        <v>-1.21</v>
      </c>
      <c r="DK12" s="228">
        <v>-1.21</v>
      </c>
      <c r="DL12" s="228">
        <v>24.67</v>
      </c>
      <c r="DM12" s="228">
        <v>26.99</v>
      </c>
      <c r="DN12" s="228">
        <v>-2.3199999999999998</v>
      </c>
      <c r="DO12" s="228">
        <v>-2.3199999999999998</v>
      </c>
      <c r="DP12" s="228">
        <v>0.97</v>
      </c>
      <c r="DQ12" s="228">
        <v>0.63</v>
      </c>
      <c r="DR12" s="228">
        <v>0.34</v>
      </c>
      <c r="DS12" s="229">
        <v>0.53969999999999996</v>
      </c>
      <c r="DT12" s="228">
        <v>500</v>
      </c>
      <c r="DU12" s="228">
        <v>510</v>
      </c>
      <c r="DV12" s="228">
        <v>0.44</v>
      </c>
      <c r="DW12" s="228">
        <v>0.52</v>
      </c>
      <c r="DX12" s="228">
        <v>-0.08</v>
      </c>
      <c r="DY12" s="229">
        <v>-0.15379999999999999</v>
      </c>
      <c r="DZ12" s="229">
        <v>0.9345</v>
      </c>
      <c r="EA12" s="230">
        <v>63778500</v>
      </c>
      <c r="EB12" s="229">
        <v>5.5999999999999999E-3</v>
      </c>
      <c r="EC12" s="229">
        <v>0.9345</v>
      </c>
      <c r="ED12" s="228">
        <v>1.81</v>
      </c>
      <c r="EE12" s="229">
        <v>4.0000000000000001E-3</v>
      </c>
      <c r="EF12" s="230">
        <v>1572808</v>
      </c>
      <c r="EG12" s="230">
        <v>1383700</v>
      </c>
      <c r="EH12" s="229">
        <v>0.13669999999999999</v>
      </c>
      <c r="EI12" s="229">
        <v>0.33910000000000001</v>
      </c>
      <c r="EJ12" s="231">
        <v>140330.5</v>
      </c>
      <c r="EK12" s="231">
        <v>62679.44</v>
      </c>
      <c r="EL12" s="231">
        <v>127947.1</v>
      </c>
      <c r="EM12" s="231">
        <v>30010</v>
      </c>
      <c r="EN12" s="231">
        <v>330957.03999999998</v>
      </c>
      <c r="EO12" s="231">
        <v>275493.03999999998</v>
      </c>
      <c r="EP12" s="231">
        <v>55464</v>
      </c>
      <c r="EQ12" s="229">
        <v>0.20130000000000001</v>
      </c>
      <c r="ER12" s="231">
        <v>34710</v>
      </c>
      <c r="ES12" s="231">
        <v>33422</v>
      </c>
      <c r="ET12" s="231">
        <v>326373</v>
      </c>
      <c r="EU12" s="231">
        <v>97233107</v>
      </c>
      <c r="EV12" s="231">
        <v>394505</v>
      </c>
      <c r="EW12" s="231">
        <v>460832</v>
      </c>
      <c r="EX12" s="231">
        <v>-66327</v>
      </c>
      <c r="EY12" s="229">
        <v>-0.1439</v>
      </c>
      <c r="EZ12" s="229">
        <v>0.89390000000000003</v>
      </c>
      <c r="FA12" s="227" t="s">
        <v>691</v>
      </c>
      <c r="FB12" s="161">
        <f t="shared" si="0"/>
        <v>67230600</v>
      </c>
    </row>
    <row r="13" spans="1:158" ht="17.25" thickBot="1" x14ac:dyDescent="0.3">
      <c r="A13" s="226">
        <v>46168</v>
      </c>
      <c r="B13" s="227" t="s">
        <v>175</v>
      </c>
      <c r="C13" s="227" t="s">
        <v>608</v>
      </c>
      <c r="D13" s="228">
        <v>2500</v>
      </c>
      <c r="E13" s="228">
        <v>346.2</v>
      </c>
      <c r="F13" s="228">
        <v>349.1</v>
      </c>
      <c r="G13" s="228">
        <v>-2.9</v>
      </c>
      <c r="H13" s="229">
        <v>-8.3000000000000001E-3</v>
      </c>
      <c r="I13" s="228">
        <v>344.45</v>
      </c>
      <c r="J13" s="228">
        <v>346.45</v>
      </c>
      <c r="K13" s="228">
        <v>-2</v>
      </c>
      <c r="L13" s="229">
        <v>-5.7999999999999996E-3</v>
      </c>
      <c r="M13" s="228">
        <v>344.6</v>
      </c>
      <c r="N13" s="228">
        <v>347.1</v>
      </c>
      <c r="O13" s="228">
        <v>-2.5</v>
      </c>
      <c r="P13" s="229">
        <v>-7.1999999999999998E-3</v>
      </c>
      <c r="Q13" s="228">
        <v>346.2</v>
      </c>
      <c r="R13" s="228">
        <v>349.1</v>
      </c>
      <c r="S13" s="228">
        <v>-2.9</v>
      </c>
      <c r="T13" s="229">
        <v>-8.3000000000000001E-3</v>
      </c>
      <c r="U13" s="228">
        <v>346.9</v>
      </c>
      <c r="V13" s="228">
        <v>349.8</v>
      </c>
      <c r="W13" s="228">
        <v>-2.9</v>
      </c>
      <c r="X13" s="229">
        <v>-8.3000000000000001E-3</v>
      </c>
      <c r="Y13" s="228">
        <v>1.75</v>
      </c>
      <c r="Z13" s="228">
        <v>0.65</v>
      </c>
      <c r="AA13" s="228">
        <v>1.1000000000000001</v>
      </c>
      <c r="AB13" s="229">
        <v>5.1000000000000004E-3</v>
      </c>
      <c r="AC13" s="228">
        <v>0.15</v>
      </c>
      <c r="AD13" s="228">
        <v>0.65</v>
      </c>
      <c r="AE13" s="228">
        <v>-0.5</v>
      </c>
      <c r="AF13" s="229">
        <v>4.0000000000000002E-4</v>
      </c>
      <c r="AG13" s="228">
        <v>1.75</v>
      </c>
      <c r="AH13" s="228">
        <v>2.65</v>
      </c>
      <c r="AI13" s="228">
        <v>-0.9</v>
      </c>
      <c r="AJ13" s="229">
        <v>5.1000000000000004E-3</v>
      </c>
      <c r="AK13" s="228">
        <v>2.4500000000000002</v>
      </c>
      <c r="AL13" s="228">
        <v>3.35</v>
      </c>
      <c r="AM13" s="228">
        <v>-0.9</v>
      </c>
      <c r="AN13" s="229">
        <v>7.1000000000000004E-3</v>
      </c>
      <c r="AO13" s="228">
        <v>346.19</v>
      </c>
      <c r="AP13" s="228">
        <v>347.78</v>
      </c>
      <c r="AQ13" s="228">
        <v>0</v>
      </c>
      <c r="AR13" s="230">
        <v>20002500</v>
      </c>
      <c r="AS13" s="230">
        <v>22737500</v>
      </c>
      <c r="AT13" s="230">
        <v>-2735000</v>
      </c>
      <c r="AU13" s="229">
        <v>-0.1203</v>
      </c>
      <c r="AV13" s="230">
        <v>7655000</v>
      </c>
      <c r="AW13" s="230">
        <v>9932500</v>
      </c>
      <c r="AX13" s="230">
        <v>-2277500</v>
      </c>
      <c r="AY13" s="229">
        <v>-0.2293</v>
      </c>
      <c r="AZ13" s="230">
        <v>12112500</v>
      </c>
      <c r="BA13" s="230">
        <v>12572500</v>
      </c>
      <c r="BB13" s="230">
        <v>-460000</v>
      </c>
      <c r="BC13" s="229">
        <v>-3.6600000000000001E-2</v>
      </c>
      <c r="BD13" s="230">
        <v>235000</v>
      </c>
      <c r="BE13" s="230">
        <v>232500</v>
      </c>
      <c r="BF13" s="230">
        <v>2500</v>
      </c>
      <c r="BG13" s="229">
        <v>1.0800000000000001E-2</v>
      </c>
      <c r="BH13" s="230">
        <v>24832500</v>
      </c>
      <c r="BI13" s="230">
        <v>60000000</v>
      </c>
      <c r="BJ13" s="230">
        <v>-35167500</v>
      </c>
      <c r="BK13" s="229">
        <v>-0.58609999999999995</v>
      </c>
      <c r="BL13" s="230">
        <v>18642500</v>
      </c>
      <c r="BM13" s="230">
        <v>34607500</v>
      </c>
      <c r="BN13" s="230">
        <v>-15965000</v>
      </c>
      <c r="BO13" s="229">
        <v>-0.46129999999999999</v>
      </c>
      <c r="BP13" s="230">
        <v>63477500</v>
      </c>
      <c r="BQ13" s="230">
        <v>117345000</v>
      </c>
      <c r="BR13" s="230">
        <v>-53867500</v>
      </c>
      <c r="BS13" s="229">
        <v>-0.45910000000000001</v>
      </c>
      <c r="BT13" s="230">
        <v>7273024</v>
      </c>
      <c r="BU13" s="230">
        <v>9027428</v>
      </c>
      <c r="BV13" s="230">
        <v>-1754404</v>
      </c>
      <c r="BW13" s="229">
        <v>-0.1943</v>
      </c>
      <c r="BX13" s="230">
        <v>21192500</v>
      </c>
      <c r="BY13" s="230">
        <v>29700000</v>
      </c>
      <c r="BZ13" s="230">
        <v>-8507500</v>
      </c>
      <c r="CA13" s="229">
        <v>-0.28639999999999999</v>
      </c>
      <c r="CB13" s="230">
        <v>6325000</v>
      </c>
      <c r="CC13" s="230">
        <v>10192500</v>
      </c>
      <c r="CD13" s="230">
        <v>-3867500</v>
      </c>
      <c r="CE13" s="229">
        <v>-0.37940000000000002</v>
      </c>
      <c r="CF13" s="230">
        <v>20692500</v>
      </c>
      <c r="CG13" s="230">
        <v>19100000</v>
      </c>
      <c r="CH13" s="230">
        <v>1592500</v>
      </c>
      <c r="CI13" s="229">
        <v>8.3400000000000002E-2</v>
      </c>
      <c r="CJ13" s="230">
        <v>500000</v>
      </c>
      <c r="CK13" s="230">
        <v>407500</v>
      </c>
      <c r="CL13" s="230">
        <v>92500</v>
      </c>
      <c r="CM13" s="229">
        <v>0.22700000000000001</v>
      </c>
      <c r="CN13" s="230">
        <v>9327500</v>
      </c>
      <c r="CO13" s="230">
        <v>20807500</v>
      </c>
      <c r="CP13" s="230">
        <v>-11480000</v>
      </c>
      <c r="CQ13" s="229">
        <v>-0.55169999999999997</v>
      </c>
      <c r="CR13" s="230">
        <v>8297500</v>
      </c>
      <c r="CS13" s="230">
        <v>18830000</v>
      </c>
      <c r="CT13" s="230">
        <v>-10532500</v>
      </c>
      <c r="CU13" s="229">
        <v>-0.55930000000000002</v>
      </c>
      <c r="CV13" s="230">
        <v>38817500</v>
      </c>
      <c r="CW13" s="230">
        <v>69337500</v>
      </c>
      <c r="CX13" s="230">
        <v>-30520000</v>
      </c>
      <c r="CY13" s="229">
        <v>-0.44019999999999998</v>
      </c>
      <c r="CZ13" s="228">
        <v>38.94</v>
      </c>
      <c r="DA13" s="228">
        <v>41.15</v>
      </c>
      <c r="DB13" s="228">
        <v>-2.21</v>
      </c>
      <c r="DC13" s="228">
        <v>-2.21</v>
      </c>
      <c r="DD13" s="228">
        <v>56.4</v>
      </c>
      <c r="DE13" s="228">
        <v>56.53</v>
      </c>
      <c r="DF13" s="228">
        <v>-17.46</v>
      </c>
      <c r="DG13" s="228">
        <v>-0.13</v>
      </c>
      <c r="DH13" s="228">
        <v>38.11</v>
      </c>
      <c r="DI13" s="228">
        <v>40.64</v>
      </c>
      <c r="DJ13" s="228">
        <v>-2.5299999999999998</v>
      </c>
      <c r="DK13" s="228">
        <v>-2.5299999999999998</v>
      </c>
      <c r="DL13" s="228">
        <v>39.880000000000003</v>
      </c>
      <c r="DM13" s="228">
        <v>42.29</v>
      </c>
      <c r="DN13" s="228">
        <v>-2.41</v>
      </c>
      <c r="DO13" s="228">
        <v>-2.41</v>
      </c>
      <c r="DP13" s="228">
        <v>0.89</v>
      </c>
      <c r="DQ13" s="228">
        <v>0.9</v>
      </c>
      <c r="DR13" s="228">
        <v>-0.01</v>
      </c>
      <c r="DS13" s="229">
        <v>-1.11E-2</v>
      </c>
      <c r="DT13" s="228">
        <v>350</v>
      </c>
      <c r="DU13" s="228">
        <v>300</v>
      </c>
      <c r="DV13" s="228">
        <v>0.75</v>
      </c>
      <c r="DW13" s="228">
        <v>0.57999999999999996</v>
      </c>
      <c r="DX13" s="228">
        <v>0.17</v>
      </c>
      <c r="DY13" s="229">
        <v>0.29310000000000003</v>
      </c>
      <c r="DZ13" s="229">
        <v>0.77010000000000001</v>
      </c>
      <c r="EA13" s="230">
        <v>19507500</v>
      </c>
      <c r="EB13" s="229">
        <v>4.5999999999999999E-3</v>
      </c>
      <c r="EC13" s="229">
        <v>0.77010000000000001</v>
      </c>
      <c r="ED13" s="228">
        <v>1.59</v>
      </c>
      <c r="EE13" s="229">
        <v>4.5999999999999999E-3</v>
      </c>
      <c r="EF13" s="230">
        <v>2688649</v>
      </c>
      <c r="EG13" s="230">
        <v>3399852</v>
      </c>
      <c r="EH13" s="229">
        <v>-0.2092</v>
      </c>
      <c r="EI13" s="229">
        <v>0.36969999999999997</v>
      </c>
      <c r="EJ13" s="231">
        <v>89345.51</v>
      </c>
      <c r="EK13" s="231">
        <v>61858.98</v>
      </c>
      <c r="EL13" s="231">
        <v>69444.87</v>
      </c>
      <c r="EM13" s="231">
        <v>8920</v>
      </c>
      <c r="EN13" s="231">
        <v>220649.36</v>
      </c>
      <c r="EO13" s="231">
        <v>408383.67</v>
      </c>
      <c r="EP13" s="231">
        <v>-187734.31</v>
      </c>
      <c r="EQ13" s="229">
        <v>-0.4597</v>
      </c>
      <c r="ER13" s="231">
        <v>32918</v>
      </c>
      <c r="ES13" s="231">
        <v>26352</v>
      </c>
      <c r="ET13" s="231">
        <v>73372</v>
      </c>
      <c r="EU13" s="231">
        <v>96940911</v>
      </c>
      <c r="EV13" s="231">
        <v>132642</v>
      </c>
      <c r="EW13" s="231">
        <v>234298</v>
      </c>
      <c r="EX13" s="231">
        <v>-101656</v>
      </c>
      <c r="EY13" s="229">
        <v>-0.43390000000000001</v>
      </c>
      <c r="EZ13" s="229">
        <v>0.40039999999999998</v>
      </c>
      <c r="FA13" s="227" t="s">
        <v>567</v>
      </c>
      <c r="FB13" s="161">
        <f t="shared" si="0"/>
        <v>14867500</v>
      </c>
    </row>
    <row r="14" spans="1:158" ht="17.25" thickBot="1" x14ac:dyDescent="0.3">
      <c r="A14" s="226">
        <v>46168</v>
      </c>
      <c r="B14" s="227" t="s">
        <v>227</v>
      </c>
      <c r="C14" s="227" t="s">
        <v>597</v>
      </c>
      <c r="D14" s="228">
        <v>350</v>
      </c>
      <c r="E14" s="231">
        <v>1884</v>
      </c>
      <c r="F14" s="231">
        <v>1908.7</v>
      </c>
      <c r="G14" s="228">
        <v>-24.7</v>
      </c>
      <c r="H14" s="229">
        <v>-1.29E-2</v>
      </c>
      <c r="I14" s="231">
        <v>1874.1</v>
      </c>
      <c r="J14" s="231">
        <v>1898.6</v>
      </c>
      <c r="K14" s="228">
        <v>-24.5</v>
      </c>
      <c r="L14" s="229">
        <v>-1.29E-2</v>
      </c>
      <c r="M14" s="231">
        <v>1869.5</v>
      </c>
      <c r="N14" s="231">
        <v>1896.9</v>
      </c>
      <c r="O14" s="228">
        <v>-27.4</v>
      </c>
      <c r="P14" s="229">
        <v>-1.44E-2</v>
      </c>
      <c r="Q14" s="231">
        <v>1884</v>
      </c>
      <c r="R14" s="231">
        <v>1908.7</v>
      </c>
      <c r="S14" s="228">
        <v>-24.7</v>
      </c>
      <c r="T14" s="229">
        <v>-1.29E-2</v>
      </c>
      <c r="U14" s="231">
        <v>1894.5</v>
      </c>
      <c r="V14" s="231">
        <v>1921.4</v>
      </c>
      <c r="W14" s="228">
        <v>-26.9</v>
      </c>
      <c r="X14" s="229">
        <v>-1.4E-2</v>
      </c>
      <c r="Y14" s="228">
        <v>9.9</v>
      </c>
      <c r="Z14" s="228">
        <v>-1.7</v>
      </c>
      <c r="AA14" s="228">
        <v>11.6</v>
      </c>
      <c r="AB14" s="229">
        <v>5.3E-3</v>
      </c>
      <c r="AC14" s="228">
        <v>-4.5999999999999996</v>
      </c>
      <c r="AD14" s="228">
        <v>-1.7</v>
      </c>
      <c r="AE14" s="228">
        <v>-2.9</v>
      </c>
      <c r="AF14" s="229">
        <v>-2.5000000000000001E-3</v>
      </c>
      <c r="AG14" s="228">
        <v>9.9</v>
      </c>
      <c r="AH14" s="228">
        <v>10.1</v>
      </c>
      <c r="AI14" s="228">
        <v>-0.2</v>
      </c>
      <c r="AJ14" s="229">
        <v>5.3E-3</v>
      </c>
      <c r="AK14" s="228">
        <v>20.399999999999999</v>
      </c>
      <c r="AL14" s="228">
        <v>22.8</v>
      </c>
      <c r="AM14" s="228">
        <v>-2.4</v>
      </c>
      <c r="AN14" s="229">
        <v>1.09E-2</v>
      </c>
      <c r="AO14" s="231">
        <v>1873.43</v>
      </c>
      <c r="AP14" s="231">
        <v>1885.39</v>
      </c>
      <c r="AQ14" s="228">
        <v>0</v>
      </c>
      <c r="AR14" s="230">
        <v>2444750</v>
      </c>
      <c r="AS14" s="230">
        <v>2525600</v>
      </c>
      <c r="AT14" s="230">
        <v>-80850</v>
      </c>
      <c r="AU14" s="229">
        <v>-3.2000000000000001E-2</v>
      </c>
      <c r="AV14" s="230">
        <v>887250</v>
      </c>
      <c r="AW14" s="230">
        <v>1188600</v>
      </c>
      <c r="AX14" s="230">
        <v>-301350</v>
      </c>
      <c r="AY14" s="229">
        <v>-0.2535</v>
      </c>
      <c r="AZ14" s="230">
        <v>1545950</v>
      </c>
      <c r="BA14" s="230">
        <v>1328950</v>
      </c>
      <c r="BB14" s="230">
        <v>217000</v>
      </c>
      <c r="BC14" s="229">
        <v>0.1633</v>
      </c>
      <c r="BD14" s="230">
        <v>11550</v>
      </c>
      <c r="BE14" s="230">
        <v>8050</v>
      </c>
      <c r="BF14" s="230">
        <v>3500</v>
      </c>
      <c r="BG14" s="229">
        <v>0.43480000000000002</v>
      </c>
      <c r="BH14" s="230">
        <v>2174550</v>
      </c>
      <c r="BI14" s="230">
        <v>3014900</v>
      </c>
      <c r="BJ14" s="230">
        <v>-840350</v>
      </c>
      <c r="BK14" s="229">
        <v>-0.2787</v>
      </c>
      <c r="BL14" s="230">
        <v>1906450</v>
      </c>
      <c r="BM14" s="230">
        <v>1401050</v>
      </c>
      <c r="BN14" s="230">
        <v>505400</v>
      </c>
      <c r="BO14" s="229">
        <v>0.36070000000000002</v>
      </c>
      <c r="BP14" s="230">
        <v>6525750</v>
      </c>
      <c r="BQ14" s="230">
        <v>6941550</v>
      </c>
      <c r="BR14" s="230">
        <v>-415800</v>
      </c>
      <c r="BS14" s="229">
        <v>-5.9900000000000002E-2</v>
      </c>
      <c r="BT14" s="230">
        <v>1419356</v>
      </c>
      <c r="BU14" s="230">
        <v>639314</v>
      </c>
      <c r="BV14" s="230">
        <v>780042</v>
      </c>
      <c r="BW14" s="229">
        <v>1.2201</v>
      </c>
      <c r="BX14" s="230">
        <v>5507250</v>
      </c>
      <c r="BY14" s="230">
        <v>5707450</v>
      </c>
      <c r="BZ14" s="230">
        <v>-200200</v>
      </c>
      <c r="CA14" s="229">
        <v>-3.5099999999999999E-2</v>
      </c>
      <c r="CB14" s="230">
        <v>261450</v>
      </c>
      <c r="CC14" s="230">
        <v>696500</v>
      </c>
      <c r="CD14" s="230">
        <v>-435050</v>
      </c>
      <c r="CE14" s="229">
        <v>-0.62460000000000004</v>
      </c>
      <c r="CF14" s="230">
        <v>5455800</v>
      </c>
      <c r="CG14" s="230">
        <v>4968250</v>
      </c>
      <c r="CH14" s="230">
        <v>487550</v>
      </c>
      <c r="CI14" s="229">
        <v>9.8100000000000007E-2</v>
      </c>
      <c r="CJ14" s="230">
        <v>51450</v>
      </c>
      <c r="CK14" s="230">
        <v>42700</v>
      </c>
      <c r="CL14" s="230">
        <v>8750</v>
      </c>
      <c r="CM14" s="229">
        <v>0.2049</v>
      </c>
      <c r="CN14" s="230">
        <v>437850</v>
      </c>
      <c r="CO14" s="230">
        <v>2015300</v>
      </c>
      <c r="CP14" s="230">
        <v>-1577450</v>
      </c>
      <c r="CQ14" s="229">
        <v>-0.78269999999999995</v>
      </c>
      <c r="CR14" s="230">
        <v>514500</v>
      </c>
      <c r="CS14" s="230">
        <v>1202250</v>
      </c>
      <c r="CT14" s="230">
        <v>-687750</v>
      </c>
      <c r="CU14" s="229">
        <v>-0.57210000000000005</v>
      </c>
      <c r="CV14" s="230">
        <v>6459600</v>
      </c>
      <c r="CW14" s="230">
        <v>8925000</v>
      </c>
      <c r="CX14" s="230">
        <v>-2465400</v>
      </c>
      <c r="CY14" s="229">
        <v>-0.2762</v>
      </c>
      <c r="CZ14" s="228">
        <v>25.04</v>
      </c>
      <c r="DA14" s="228">
        <v>25.43</v>
      </c>
      <c r="DB14" s="228">
        <v>-0.39</v>
      </c>
      <c r="DC14" s="228">
        <v>-0.39</v>
      </c>
      <c r="DD14" s="228">
        <v>35.69</v>
      </c>
      <c r="DE14" s="228">
        <v>35.74</v>
      </c>
      <c r="DF14" s="228">
        <v>-10.65</v>
      </c>
      <c r="DG14" s="228">
        <v>-0.05</v>
      </c>
      <c r="DH14" s="228">
        <v>24.95</v>
      </c>
      <c r="DI14" s="228">
        <v>25.43</v>
      </c>
      <c r="DJ14" s="228">
        <v>-0.48</v>
      </c>
      <c r="DK14" s="228">
        <v>-0.48</v>
      </c>
      <c r="DL14" s="228">
        <v>25.14</v>
      </c>
      <c r="DM14" s="228">
        <v>25.42</v>
      </c>
      <c r="DN14" s="228">
        <v>-0.28000000000000003</v>
      </c>
      <c r="DO14" s="228">
        <v>-0.28000000000000003</v>
      </c>
      <c r="DP14" s="228">
        <v>1.18</v>
      </c>
      <c r="DQ14" s="228">
        <v>0.6</v>
      </c>
      <c r="DR14" s="228">
        <v>0.57999999999999996</v>
      </c>
      <c r="DS14" s="229">
        <v>0.9667</v>
      </c>
      <c r="DT14" s="231">
        <v>1900</v>
      </c>
      <c r="DU14" s="231">
        <v>1900</v>
      </c>
      <c r="DV14" s="228">
        <v>0.88</v>
      </c>
      <c r="DW14" s="228">
        <v>0.46</v>
      </c>
      <c r="DX14" s="228">
        <v>0.42</v>
      </c>
      <c r="DY14" s="229">
        <v>0.91300000000000003</v>
      </c>
      <c r="DZ14" s="229">
        <v>0.95469999999999999</v>
      </c>
      <c r="EA14" s="230">
        <v>5010950</v>
      </c>
      <c r="EB14" s="229">
        <v>7.7999999999999996E-3</v>
      </c>
      <c r="EC14" s="229">
        <v>0.95469999999999999</v>
      </c>
      <c r="ED14" s="228">
        <v>11.96</v>
      </c>
      <c r="EE14" s="229">
        <v>6.4000000000000003E-3</v>
      </c>
      <c r="EF14" s="230">
        <v>930664</v>
      </c>
      <c r="EG14" s="230">
        <v>411212</v>
      </c>
      <c r="EH14" s="229">
        <v>1.2632000000000001</v>
      </c>
      <c r="EI14" s="229">
        <v>0.65569999999999995</v>
      </c>
      <c r="EJ14" s="231">
        <v>42537.440000000002</v>
      </c>
      <c r="EK14" s="231">
        <v>35970.75</v>
      </c>
      <c r="EL14" s="231">
        <v>45987.74</v>
      </c>
      <c r="EM14" s="231">
        <v>6258</v>
      </c>
      <c r="EN14" s="231">
        <v>124495.93</v>
      </c>
      <c r="EO14" s="231">
        <v>134431.26</v>
      </c>
      <c r="EP14" s="231">
        <v>-9935.33</v>
      </c>
      <c r="EQ14" s="229">
        <v>-7.3899999999999993E-2</v>
      </c>
      <c r="ER14" s="231">
        <v>8520</v>
      </c>
      <c r="ES14" s="231">
        <v>9753</v>
      </c>
      <c r="ET14" s="231">
        <v>103762</v>
      </c>
      <c r="EU14" s="231">
        <v>29871221</v>
      </c>
      <c r="EV14" s="231">
        <v>122035</v>
      </c>
      <c r="EW14" s="231">
        <v>171623</v>
      </c>
      <c r="EX14" s="231">
        <v>-49588</v>
      </c>
      <c r="EY14" s="229">
        <v>-0.28889999999999999</v>
      </c>
      <c r="EZ14" s="229">
        <v>0.2162</v>
      </c>
      <c r="FA14" s="227" t="s">
        <v>567</v>
      </c>
      <c r="FB14" s="161">
        <f t="shared" si="0"/>
        <v>5245800</v>
      </c>
    </row>
    <row r="15" spans="1:158" ht="17.25" thickBot="1" x14ac:dyDescent="0.3">
      <c r="A15" s="226">
        <v>46168</v>
      </c>
      <c r="B15" s="227" t="s">
        <v>170</v>
      </c>
      <c r="C15" s="227" t="s">
        <v>165</v>
      </c>
      <c r="D15" s="228">
        <v>125</v>
      </c>
      <c r="E15" s="231">
        <v>8315</v>
      </c>
      <c r="F15" s="231">
        <v>8448.5</v>
      </c>
      <c r="G15" s="228">
        <v>-133.5</v>
      </c>
      <c r="H15" s="229">
        <v>-1.5800000000000002E-2</v>
      </c>
      <c r="I15" s="231">
        <v>8258.5</v>
      </c>
      <c r="J15" s="231">
        <v>8404</v>
      </c>
      <c r="K15" s="228">
        <v>-145.5</v>
      </c>
      <c r="L15" s="229">
        <v>-1.7299999999999999E-2</v>
      </c>
      <c r="M15" s="231">
        <v>8268.5</v>
      </c>
      <c r="N15" s="231">
        <v>8398.5</v>
      </c>
      <c r="O15" s="228">
        <v>-130</v>
      </c>
      <c r="P15" s="229">
        <v>-1.55E-2</v>
      </c>
      <c r="Q15" s="231">
        <v>8315</v>
      </c>
      <c r="R15" s="231">
        <v>8448.5</v>
      </c>
      <c r="S15" s="228">
        <v>-133.5</v>
      </c>
      <c r="T15" s="229">
        <v>-1.5800000000000002E-2</v>
      </c>
      <c r="U15" s="231">
        <v>8364</v>
      </c>
      <c r="V15" s="231">
        <v>8506</v>
      </c>
      <c r="W15" s="228">
        <v>-142</v>
      </c>
      <c r="X15" s="229">
        <v>-1.67E-2</v>
      </c>
      <c r="Y15" s="228">
        <v>56.5</v>
      </c>
      <c r="Z15" s="228">
        <v>-5.5</v>
      </c>
      <c r="AA15" s="228">
        <v>62</v>
      </c>
      <c r="AB15" s="229">
        <v>6.7999999999999996E-3</v>
      </c>
      <c r="AC15" s="228">
        <v>10</v>
      </c>
      <c r="AD15" s="228">
        <v>-5.5</v>
      </c>
      <c r="AE15" s="228">
        <v>15.5</v>
      </c>
      <c r="AF15" s="229">
        <v>1.1999999999999999E-3</v>
      </c>
      <c r="AG15" s="228">
        <v>56.5</v>
      </c>
      <c r="AH15" s="228">
        <v>44.5</v>
      </c>
      <c r="AI15" s="228">
        <v>12</v>
      </c>
      <c r="AJ15" s="229">
        <v>6.7999999999999996E-3</v>
      </c>
      <c r="AK15" s="228">
        <v>105.5</v>
      </c>
      <c r="AL15" s="228">
        <v>102</v>
      </c>
      <c r="AM15" s="228">
        <v>3.5</v>
      </c>
      <c r="AN15" s="229">
        <v>1.2800000000000001E-2</v>
      </c>
      <c r="AO15" s="231">
        <v>8285.41</v>
      </c>
      <c r="AP15" s="231">
        <v>8343.17</v>
      </c>
      <c r="AQ15" s="228">
        <v>0</v>
      </c>
      <c r="AR15" s="230">
        <v>612625</v>
      </c>
      <c r="AS15" s="230">
        <v>917750</v>
      </c>
      <c r="AT15" s="230">
        <v>-305125</v>
      </c>
      <c r="AU15" s="229">
        <v>-0.33250000000000002</v>
      </c>
      <c r="AV15" s="230">
        <v>219375</v>
      </c>
      <c r="AW15" s="230">
        <v>450250</v>
      </c>
      <c r="AX15" s="230">
        <v>-230875</v>
      </c>
      <c r="AY15" s="229">
        <v>-0.51280000000000003</v>
      </c>
      <c r="AZ15" s="230">
        <v>383250</v>
      </c>
      <c r="BA15" s="230">
        <v>459125</v>
      </c>
      <c r="BB15" s="230">
        <v>-75875</v>
      </c>
      <c r="BC15" s="229">
        <v>-0.1653</v>
      </c>
      <c r="BD15" s="230">
        <v>10000</v>
      </c>
      <c r="BE15" s="230">
        <v>8375</v>
      </c>
      <c r="BF15" s="230">
        <v>1625</v>
      </c>
      <c r="BG15" s="229">
        <v>0.19400000000000001</v>
      </c>
      <c r="BH15" s="230">
        <v>1482000</v>
      </c>
      <c r="BI15" s="230">
        <v>2749875</v>
      </c>
      <c r="BJ15" s="230">
        <v>-1267875</v>
      </c>
      <c r="BK15" s="229">
        <v>-0.46110000000000001</v>
      </c>
      <c r="BL15" s="230">
        <v>1469375</v>
      </c>
      <c r="BM15" s="230">
        <v>2246125</v>
      </c>
      <c r="BN15" s="230">
        <v>-776750</v>
      </c>
      <c r="BO15" s="229">
        <v>-0.3458</v>
      </c>
      <c r="BP15" s="230">
        <v>3564000</v>
      </c>
      <c r="BQ15" s="230">
        <v>5913750</v>
      </c>
      <c r="BR15" s="230">
        <v>-2349750</v>
      </c>
      <c r="BS15" s="229">
        <v>-0.39729999999999999</v>
      </c>
      <c r="BT15" s="230">
        <v>326826</v>
      </c>
      <c r="BU15" s="230">
        <v>380738</v>
      </c>
      <c r="BV15" s="230">
        <v>-53912</v>
      </c>
      <c r="BW15" s="229">
        <v>-0.1416</v>
      </c>
      <c r="BX15" s="230">
        <v>1852250</v>
      </c>
      <c r="BY15" s="230">
        <v>2226250</v>
      </c>
      <c r="BZ15" s="230">
        <v>-374000</v>
      </c>
      <c r="CA15" s="229">
        <v>-0.16800000000000001</v>
      </c>
      <c r="CB15" s="230">
        <v>304500</v>
      </c>
      <c r="CC15" s="230">
        <v>373875</v>
      </c>
      <c r="CD15" s="230">
        <v>-69375</v>
      </c>
      <c r="CE15" s="229">
        <v>-0.18559999999999999</v>
      </c>
      <c r="CF15" s="230">
        <v>1636500</v>
      </c>
      <c r="CG15" s="230">
        <v>1637125</v>
      </c>
      <c r="CH15" s="228">
        <v>-625</v>
      </c>
      <c r="CI15" s="229">
        <v>-4.0000000000000002E-4</v>
      </c>
      <c r="CJ15" s="230">
        <v>215750</v>
      </c>
      <c r="CK15" s="230">
        <v>215250</v>
      </c>
      <c r="CL15" s="228">
        <v>500</v>
      </c>
      <c r="CM15" s="229">
        <v>2.3E-3</v>
      </c>
      <c r="CN15" s="230">
        <v>541875</v>
      </c>
      <c r="CO15" s="230">
        <v>1277875</v>
      </c>
      <c r="CP15" s="230">
        <v>-736000</v>
      </c>
      <c r="CQ15" s="229">
        <v>-0.57599999999999996</v>
      </c>
      <c r="CR15" s="230">
        <v>339375</v>
      </c>
      <c r="CS15" s="230">
        <v>1381125</v>
      </c>
      <c r="CT15" s="230">
        <v>-1041750</v>
      </c>
      <c r="CU15" s="229">
        <v>-0.75429999999999997</v>
      </c>
      <c r="CV15" s="230">
        <v>2733500</v>
      </c>
      <c r="CW15" s="230">
        <v>4885250</v>
      </c>
      <c r="CX15" s="230">
        <v>-2151750</v>
      </c>
      <c r="CY15" s="229">
        <v>-0.4405</v>
      </c>
      <c r="CZ15" s="228">
        <v>20.21</v>
      </c>
      <c r="DA15" s="228">
        <v>21.4</v>
      </c>
      <c r="DB15" s="228">
        <v>-1.19</v>
      </c>
      <c r="DC15" s="228">
        <v>-1.19</v>
      </c>
      <c r="DD15" s="228">
        <v>24.97</v>
      </c>
      <c r="DE15" s="228">
        <v>24.93</v>
      </c>
      <c r="DF15" s="228">
        <v>-4.76</v>
      </c>
      <c r="DG15" s="228">
        <v>0.04</v>
      </c>
      <c r="DH15" s="228">
        <v>20.010000000000002</v>
      </c>
      <c r="DI15" s="228">
        <v>20.9</v>
      </c>
      <c r="DJ15" s="228">
        <v>-0.89</v>
      </c>
      <c r="DK15" s="228">
        <v>-0.89</v>
      </c>
      <c r="DL15" s="228">
        <v>20.46</v>
      </c>
      <c r="DM15" s="228">
        <v>22.26</v>
      </c>
      <c r="DN15" s="228">
        <v>-1.8</v>
      </c>
      <c r="DO15" s="228">
        <v>-1.8</v>
      </c>
      <c r="DP15" s="228">
        <v>0.63</v>
      </c>
      <c r="DQ15" s="228">
        <v>1.08</v>
      </c>
      <c r="DR15" s="228">
        <v>-0.45</v>
      </c>
      <c r="DS15" s="229">
        <v>-0.41670000000000001</v>
      </c>
      <c r="DT15" s="231">
        <v>8500</v>
      </c>
      <c r="DU15" s="231">
        <v>8000</v>
      </c>
      <c r="DV15" s="228">
        <v>0.99</v>
      </c>
      <c r="DW15" s="228">
        <v>0.82</v>
      </c>
      <c r="DX15" s="228">
        <v>0.17</v>
      </c>
      <c r="DY15" s="229">
        <v>0.20730000000000001</v>
      </c>
      <c r="DZ15" s="229">
        <v>0.85880000000000001</v>
      </c>
      <c r="EA15" s="230">
        <v>1852375</v>
      </c>
      <c r="EB15" s="229">
        <v>5.5999999999999999E-3</v>
      </c>
      <c r="EC15" s="229">
        <v>0.85880000000000001</v>
      </c>
      <c r="ED15" s="228">
        <v>57.76</v>
      </c>
      <c r="EE15" s="229">
        <v>7.0000000000000001E-3</v>
      </c>
      <c r="EF15" s="230">
        <v>176521</v>
      </c>
      <c r="EG15" s="230">
        <v>257347</v>
      </c>
      <c r="EH15" s="229">
        <v>-0.31409999999999999</v>
      </c>
      <c r="EI15" s="229">
        <v>0.54010000000000002</v>
      </c>
      <c r="EJ15" s="231">
        <v>127157.98</v>
      </c>
      <c r="EK15" s="231">
        <v>119811.53</v>
      </c>
      <c r="EL15" s="231">
        <v>50990.57</v>
      </c>
      <c r="EM15" s="231">
        <v>9561</v>
      </c>
      <c r="EN15" s="231">
        <v>297960.08</v>
      </c>
      <c r="EO15" s="231">
        <v>496775.82</v>
      </c>
      <c r="EP15" s="231">
        <v>-198815.74</v>
      </c>
      <c r="EQ15" s="229">
        <v>-0.4002</v>
      </c>
      <c r="ER15" s="231">
        <v>46507</v>
      </c>
      <c r="ES15" s="231">
        <v>27335</v>
      </c>
      <c r="ET15" s="231">
        <v>154120</v>
      </c>
      <c r="EU15" s="231">
        <v>15524629</v>
      </c>
      <c r="EV15" s="231">
        <v>227962</v>
      </c>
      <c r="EW15" s="231">
        <v>404782</v>
      </c>
      <c r="EX15" s="231">
        <v>-176820</v>
      </c>
      <c r="EY15" s="229">
        <v>-0.43680000000000002</v>
      </c>
      <c r="EZ15" s="229">
        <v>0.17610000000000001</v>
      </c>
      <c r="FA15" s="227" t="s">
        <v>567</v>
      </c>
      <c r="FB15" s="161">
        <f t="shared" si="0"/>
        <v>1547750</v>
      </c>
    </row>
    <row r="16" spans="1:158" ht="17.25" thickBot="1" x14ac:dyDescent="0.3">
      <c r="A16" s="226">
        <v>46168</v>
      </c>
      <c r="B16" s="227" t="s">
        <v>162</v>
      </c>
      <c r="C16" s="227" t="s">
        <v>167</v>
      </c>
      <c r="D16" s="228">
        <v>5000</v>
      </c>
      <c r="E16" s="228">
        <v>160.74</v>
      </c>
      <c r="F16" s="228">
        <v>164</v>
      </c>
      <c r="G16" s="228">
        <v>-3.26</v>
      </c>
      <c r="H16" s="229">
        <v>-1.9900000000000001E-2</v>
      </c>
      <c r="I16" s="228">
        <v>160.54</v>
      </c>
      <c r="J16" s="228">
        <v>164.08</v>
      </c>
      <c r="K16" s="228">
        <v>-3.54</v>
      </c>
      <c r="L16" s="229">
        <v>-2.1600000000000001E-2</v>
      </c>
      <c r="M16" s="228">
        <v>160.74</v>
      </c>
      <c r="N16" s="228">
        <v>164.17</v>
      </c>
      <c r="O16" s="228">
        <v>-3.43</v>
      </c>
      <c r="P16" s="229">
        <v>-2.0899999999999998E-2</v>
      </c>
      <c r="Q16" s="228">
        <v>160.74</v>
      </c>
      <c r="R16" s="228">
        <v>164</v>
      </c>
      <c r="S16" s="228">
        <v>-3.26</v>
      </c>
      <c r="T16" s="229">
        <v>-1.9900000000000001E-2</v>
      </c>
      <c r="U16" s="228">
        <v>161</v>
      </c>
      <c r="V16" s="228">
        <v>164.39</v>
      </c>
      <c r="W16" s="228">
        <v>-3.39</v>
      </c>
      <c r="X16" s="229">
        <v>-2.06E-2</v>
      </c>
      <c r="Y16" s="228">
        <v>0.2</v>
      </c>
      <c r="Z16" s="228">
        <v>0.09</v>
      </c>
      <c r="AA16" s="228">
        <v>0.11</v>
      </c>
      <c r="AB16" s="229">
        <v>1.1999999999999999E-3</v>
      </c>
      <c r="AC16" s="228">
        <v>0.2</v>
      </c>
      <c r="AD16" s="228">
        <v>0.09</v>
      </c>
      <c r="AE16" s="228">
        <v>0.11</v>
      </c>
      <c r="AF16" s="229">
        <v>1.1999999999999999E-3</v>
      </c>
      <c r="AG16" s="228">
        <v>0.2</v>
      </c>
      <c r="AH16" s="228">
        <v>-0.08</v>
      </c>
      <c r="AI16" s="228">
        <v>0.28000000000000003</v>
      </c>
      <c r="AJ16" s="229">
        <v>1.1999999999999999E-3</v>
      </c>
      <c r="AK16" s="228">
        <v>0.46</v>
      </c>
      <c r="AL16" s="228">
        <v>0.31</v>
      </c>
      <c r="AM16" s="228">
        <v>0.15</v>
      </c>
      <c r="AN16" s="229">
        <v>2.8999999999999998E-3</v>
      </c>
      <c r="AO16" s="228">
        <v>161.43</v>
      </c>
      <c r="AP16" s="228">
        <v>161.44999999999999</v>
      </c>
      <c r="AQ16" s="228">
        <v>0</v>
      </c>
      <c r="AR16" s="230">
        <v>84965000</v>
      </c>
      <c r="AS16" s="230">
        <v>158585000</v>
      </c>
      <c r="AT16" s="230">
        <v>-73620000</v>
      </c>
      <c r="AU16" s="229">
        <v>-0.4642</v>
      </c>
      <c r="AV16" s="230">
        <v>33895000</v>
      </c>
      <c r="AW16" s="230">
        <v>69370000</v>
      </c>
      <c r="AX16" s="230">
        <v>-35475000</v>
      </c>
      <c r="AY16" s="229">
        <v>-0.51139999999999997</v>
      </c>
      <c r="AZ16" s="230">
        <v>48965000</v>
      </c>
      <c r="BA16" s="230">
        <v>86710000</v>
      </c>
      <c r="BB16" s="230">
        <v>-37745000</v>
      </c>
      <c r="BC16" s="229">
        <v>-0.43530000000000002</v>
      </c>
      <c r="BD16" s="230">
        <v>2105000</v>
      </c>
      <c r="BE16" s="230">
        <v>2505000</v>
      </c>
      <c r="BF16" s="230">
        <v>-400000</v>
      </c>
      <c r="BG16" s="229">
        <v>-0.15970000000000001</v>
      </c>
      <c r="BH16" s="230">
        <v>75615000</v>
      </c>
      <c r="BI16" s="230">
        <v>253875000</v>
      </c>
      <c r="BJ16" s="230">
        <v>-178260000</v>
      </c>
      <c r="BK16" s="229">
        <v>-0.70220000000000005</v>
      </c>
      <c r="BL16" s="230">
        <v>48680000</v>
      </c>
      <c r="BM16" s="230">
        <v>101275000</v>
      </c>
      <c r="BN16" s="230">
        <v>-52595000</v>
      </c>
      <c r="BO16" s="229">
        <v>-0.51929999999999998</v>
      </c>
      <c r="BP16" s="230">
        <v>209260000</v>
      </c>
      <c r="BQ16" s="230">
        <v>513735000</v>
      </c>
      <c r="BR16" s="230">
        <v>-304475000</v>
      </c>
      <c r="BS16" s="229">
        <v>-0.5927</v>
      </c>
      <c r="BT16" s="230">
        <v>25020082</v>
      </c>
      <c r="BU16" s="230">
        <v>31872795</v>
      </c>
      <c r="BV16" s="230">
        <v>-6852713</v>
      </c>
      <c r="BW16" s="229">
        <v>-0.215</v>
      </c>
      <c r="BX16" s="230">
        <v>173570000</v>
      </c>
      <c r="BY16" s="230">
        <v>186155000</v>
      </c>
      <c r="BZ16" s="230">
        <v>-12585000</v>
      </c>
      <c r="CA16" s="229">
        <v>-6.7599999999999993E-2</v>
      </c>
      <c r="CB16" s="230">
        <v>16820000</v>
      </c>
      <c r="CC16" s="230">
        <v>38285000</v>
      </c>
      <c r="CD16" s="230">
        <v>-21465000</v>
      </c>
      <c r="CE16" s="229">
        <v>-0.56069999999999998</v>
      </c>
      <c r="CF16" s="230">
        <v>167700000</v>
      </c>
      <c r="CG16" s="230">
        <v>143290000</v>
      </c>
      <c r="CH16" s="230">
        <v>24410000</v>
      </c>
      <c r="CI16" s="229">
        <v>0.1704</v>
      </c>
      <c r="CJ16" s="230">
        <v>5870000</v>
      </c>
      <c r="CK16" s="230">
        <v>4580000</v>
      </c>
      <c r="CL16" s="230">
        <v>1290000</v>
      </c>
      <c r="CM16" s="229">
        <v>0.28170000000000001</v>
      </c>
      <c r="CN16" s="230">
        <v>47235000</v>
      </c>
      <c r="CO16" s="230">
        <v>101380000</v>
      </c>
      <c r="CP16" s="230">
        <v>-54145000</v>
      </c>
      <c r="CQ16" s="229">
        <v>-0.53410000000000002</v>
      </c>
      <c r="CR16" s="230">
        <v>42400000</v>
      </c>
      <c r="CS16" s="230">
        <v>75775000</v>
      </c>
      <c r="CT16" s="230">
        <v>-33375000</v>
      </c>
      <c r="CU16" s="229">
        <v>-0.44040000000000001</v>
      </c>
      <c r="CV16" s="230">
        <v>263205000</v>
      </c>
      <c r="CW16" s="230">
        <v>363310000</v>
      </c>
      <c r="CX16" s="230">
        <v>-100105000</v>
      </c>
      <c r="CY16" s="229">
        <v>-0.27550000000000002</v>
      </c>
      <c r="CZ16" s="228">
        <v>38.35</v>
      </c>
      <c r="DA16" s="228">
        <v>39.25</v>
      </c>
      <c r="DB16" s="228">
        <v>-0.9</v>
      </c>
      <c r="DC16" s="228">
        <v>-0.9</v>
      </c>
      <c r="DD16" s="228">
        <v>42.46</v>
      </c>
      <c r="DE16" s="228">
        <v>42.46</v>
      </c>
      <c r="DF16" s="228">
        <v>-4.1100000000000003</v>
      </c>
      <c r="DG16" s="228">
        <v>0</v>
      </c>
      <c r="DH16" s="228">
        <v>38.61</v>
      </c>
      <c r="DI16" s="228">
        <v>39.549999999999997</v>
      </c>
      <c r="DJ16" s="228">
        <v>-0.94</v>
      </c>
      <c r="DK16" s="228">
        <v>-0.94</v>
      </c>
      <c r="DL16" s="228">
        <v>37.880000000000003</v>
      </c>
      <c r="DM16" s="228">
        <v>38.630000000000003</v>
      </c>
      <c r="DN16" s="228">
        <v>-0.75</v>
      </c>
      <c r="DO16" s="228">
        <v>-0.75</v>
      </c>
      <c r="DP16" s="228">
        <v>0.9</v>
      </c>
      <c r="DQ16" s="228">
        <v>0.75</v>
      </c>
      <c r="DR16" s="228">
        <v>0.15</v>
      </c>
      <c r="DS16" s="229">
        <v>0.2</v>
      </c>
      <c r="DT16" s="228">
        <v>170</v>
      </c>
      <c r="DU16" s="228">
        <v>160</v>
      </c>
      <c r="DV16" s="228">
        <v>0.64</v>
      </c>
      <c r="DW16" s="228">
        <v>0.4</v>
      </c>
      <c r="DX16" s="228">
        <v>0.24</v>
      </c>
      <c r="DY16" s="229">
        <v>0.6</v>
      </c>
      <c r="DZ16" s="229">
        <v>0.91169999999999995</v>
      </c>
      <c r="EA16" s="230">
        <v>147870000</v>
      </c>
      <c r="EB16" s="229">
        <v>0</v>
      </c>
      <c r="EC16" s="229">
        <v>0.91169999999999995</v>
      </c>
      <c r="ED16" s="228">
        <v>0.02</v>
      </c>
      <c r="EE16" s="229">
        <v>1E-4</v>
      </c>
      <c r="EF16" s="230">
        <v>14189144</v>
      </c>
      <c r="EG16" s="230">
        <v>12981406</v>
      </c>
      <c r="EH16" s="229">
        <v>9.2999999999999999E-2</v>
      </c>
      <c r="EI16" s="229">
        <v>0.56710000000000005</v>
      </c>
      <c r="EJ16" s="231">
        <v>131915</v>
      </c>
      <c r="EK16" s="231">
        <v>80267.289999999994</v>
      </c>
      <c r="EL16" s="231">
        <v>137177.89000000001</v>
      </c>
      <c r="EM16" s="231">
        <v>20401</v>
      </c>
      <c r="EN16" s="231">
        <v>349360.18</v>
      </c>
      <c r="EO16" s="231">
        <v>858519.81</v>
      </c>
      <c r="EP16" s="231">
        <v>-509159.63</v>
      </c>
      <c r="EQ16" s="229">
        <v>-0.59309999999999996</v>
      </c>
      <c r="ER16" s="231">
        <v>81480</v>
      </c>
      <c r="ES16" s="231">
        <v>69300</v>
      </c>
      <c r="ET16" s="231">
        <v>279012</v>
      </c>
      <c r="EU16" s="231">
        <v>423779104</v>
      </c>
      <c r="EV16" s="231">
        <v>429791</v>
      </c>
      <c r="EW16" s="231">
        <v>604019</v>
      </c>
      <c r="EX16" s="231">
        <v>-174228</v>
      </c>
      <c r="EY16" s="229">
        <v>-0.28839999999999999</v>
      </c>
      <c r="EZ16" s="229">
        <v>0.62109999999999999</v>
      </c>
      <c r="FA16" s="227" t="s">
        <v>567</v>
      </c>
      <c r="FB16" s="161">
        <f t="shared" si="0"/>
        <v>156750000</v>
      </c>
    </row>
    <row r="17" spans="1:158" ht="17.25" thickBot="1" x14ac:dyDescent="0.3">
      <c r="A17" s="226">
        <v>46168</v>
      </c>
      <c r="B17" s="227" t="s">
        <v>168</v>
      </c>
      <c r="C17" s="227" t="s">
        <v>169</v>
      </c>
      <c r="D17" s="228">
        <v>250</v>
      </c>
      <c r="E17" s="231">
        <v>2646.4</v>
      </c>
      <c r="F17" s="231">
        <v>2654</v>
      </c>
      <c r="G17" s="228">
        <v>-7.6</v>
      </c>
      <c r="H17" s="229">
        <v>-2.8999999999999998E-3</v>
      </c>
      <c r="I17" s="231">
        <v>2647</v>
      </c>
      <c r="J17" s="231">
        <v>2657.8</v>
      </c>
      <c r="K17" s="228">
        <v>-10.8</v>
      </c>
      <c r="L17" s="229">
        <v>-4.1000000000000003E-3</v>
      </c>
      <c r="M17" s="231">
        <v>2650.2</v>
      </c>
      <c r="N17" s="231">
        <v>2657.8</v>
      </c>
      <c r="O17" s="228">
        <v>-7.6</v>
      </c>
      <c r="P17" s="229">
        <v>-2.8999999999999998E-3</v>
      </c>
      <c r="Q17" s="231">
        <v>2646.4</v>
      </c>
      <c r="R17" s="231">
        <v>2654</v>
      </c>
      <c r="S17" s="228">
        <v>-7.6</v>
      </c>
      <c r="T17" s="229">
        <v>-2.8999999999999998E-3</v>
      </c>
      <c r="U17" s="231">
        <v>2657.9</v>
      </c>
      <c r="V17" s="231">
        <v>2669.5</v>
      </c>
      <c r="W17" s="228">
        <v>-11.6</v>
      </c>
      <c r="X17" s="229">
        <v>-4.3E-3</v>
      </c>
      <c r="Y17" s="228">
        <v>-0.6</v>
      </c>
      <c r="Z17" s="228">
        <v>0</v>
      </c>
      <c r="AA17" s="228">
        <v>-0.6</v>
      </c>
      <c r="AB17" s="229">
        <v>-2.0000000000000001E-4</v>
      </c>
      <c r="AC17" s="228">
        <v>3.2</v>
      </c>
      <c r="AD17" s="228">
        <v>0</v>
      </c>
      <c r="AE17" s="228">
        <v>3.2</v>
      </c>
      <c r="AF17" s="229">
        <v>1.1999999999999999E-3</v>
      </c>
      <c r="AG17" s="228">
        <v>-0.6</v>
      </c>
      <c r="AH17" s="228">
        <v>-3.8</v>
      </c>
      <c r="AI17" s="228">
        <v>3.2</v>
      </c>
      <c r="AJ17" s="229">
        <v>-2.0000000000000001E-4</v>
      </c>
      <c r="AK17" s="228">
        <v>10.9</v>
      </c>
      <c r="AL17" s="228">
        <v>11.7</v>
      </c>
      <c r="AM17" s="228">
        <v>-0.8</v>
      </c>
      <c r="AN17" s="229">
        <v>4.1000000000000003E-3</v>
      </c>
      <c r="AO17" s="231">
        <v>2654.45</v>
      </c>
      <c r="AP17" s="231">
        <v>2653.52</v>
      </c>
      <c r="AQ17" s="228">
        <v>0</v>
      </c>
      <c r="AR17" s="230">
        <v>3897500</v>
      </c>
      <c r="AS17" s="230">
        <v>7166250</v>
      </c>
      <c r="AT17" s="230">
        <v>-3268750</v>
      </c>
      <c r="AU17" s="229">
        <v>-0.45610000000000001</v>
      </c>
      <c r="AV17" s="230">
        <v>1779000</v>
      </c>
      <c r="AW17" s="230">
        <v>3411750</v>
      </c>
      <c r="AX17" s="230">
        <v>-1632750</v>
      </c>
      <c r="AY17" s="229">
        <v>-0.47860000000000003</v>
      </c>
      <c r="AZ17" s="230">
        <v>2100250</v>
      </c>
      <c r="BA17" s="230">
        <v>3728500</v>
      </c>
      <c r="BB17" s="230">
        <v>-1628250</v>
      </c>
      <c r="BC17" s="229">
        <v>-0.43669999999999998</v>
      </c>
      <c r="BD17" s="230">
        <v>18250</v>
      </c>
      <c r="BE17" s="230">
        <v>26000</v>
      </c>
      <c r="BF17" s="230">
        <v>-7750</v>
      </c>
      <c r="BG17" s="229">
        <v>-0.29809999999999998</v>
      </c>
      <c r="BH17" s="230">
        <v>5648500</v>
      </c>
      <c r="BI17" s="230">
        <v>14796250</v>
      </c>
      <c r="BJ17" s="230">
        <v>-9147750</v>
      </c>
      <c r="BK17" s="229">
        <v>-0.61819999999999997</v>
      </c>
      <c r="BL17" s="230">
        <v>3501250</v>
      </c>
      <c r="BM17" s="230">
        <v>8884750</v>
      </c>
      <c r="BN17" s="230">
        <v>-5383500</v>
      </c>
      <c r="BO17" s="229">
        <v>-0.60589999999999999</v>
      </c>
      <c r="BP17" s="230">
        <v>13047250</v>
      </c>
      <c r="BQ17" s="230">
        <v>30847250</v>
      </c>
      <c r="BR17" s="230">
        <v>-17800000</v>
      </c>
      <c r="BS17" s="229">
        <v>-0.57699999999999996</v>
      </c>
      <c r="BT17" s="230">
        <v>498230</v>
      </c>
      <c r="BU17" s="230">
        <v>843872</v>
      </c>
      <c r="BV17" s="230">
        <v>-345642</v>
      </c>
      <c r="BW17" s="229">
        <v>-0.40960000000000002</v>
      </c>
      <c r="BX17" s="230">
        <v>11234000</v>
      </c>
      <c r="BY17" s="230">
        <v>13207750</v>
      </c>
      <c r="BZ17" s="230">
        <v>-1973750</v>
      </c>
      <c r="CA17" s="229">
        <v>-0.14940000000000001</v>
      </c>
      <c r="CB17" s="230">
        <v>2528750</v>
      </c>
      <c r="CC17" s="230">
        <v>3314000</v>
      </c>
      <c r="CD17" s="230">
        <v>-785250</v>
      </c>
      <c r="CE17" s="229">
        <v>-0.2369</v>
      </c>
      <c r="CF17" s="230">
        <v>11044750</v>
      </c>
      <c r="CG17" s="230">
        <v>9711250</v>
      </c>
      <c r="CH17" s="230">
        <v>1333500</v>
      </c>
      <c r="CI17" s="229">
        <v>0.13730000000000001</v>
      </c>
      <c r="CJ17" s="230">
        <v>189250</v>
      </c>
      <c r="CK17" s="230">
        <v>182500</v>
      </c>
      <c r="CL17" s="230">
        <v>6750</v>
      </c>
      <c r="CM17" s="229">
        <v>3.6999999999999998E-2</v>
      </c>
      <c r="CN17" s="230">
        <v>1842750</v>
      </c>
      <c r="CO17" s="230">
        <v>7355000</v>
      </c>
      <c r="CP17" s="230">
        <v>-5512250</v>
      </c>
      <c r="CQ17" s="229">
        <v>-0.74950000000000006</v>
      </c>
      <c r="CR17" s="230">
        <v>1262000</v>
      </c>
      <c r="CS17" s="230">
        <v>4718500</v>
      </c>
      <c r="CT17" s="230">
        <v>-3456500</v>
      </c>
      <c r="CU17" s="229">
        <v>-0.73250000000000004</v>
      </c>
      <c r="CV17" s="230">
        <v>14338750</v>
      </c>
      <c r="CW17" s="230">
        <v>25281250</v>
      </c>
      <c r="CX17" s="230">
        <v>-10942500</v>
      </c>
      <c r="CY17" s="229">
        <v>-0.43280000000000002</v>
      </c>
      <c r="CZ17" s="228">
        <v>29.03</v>
      </c>
      <c r="DA17" s="228">
        <v>29.66</v>
      </c>
      <c r="DB17" s="228">
        <v>-0.63</v>
      </c>
      <c r="DC17" s="228">
        <v>-0.63</v>
      </c>
      <c r="DD17" s="228">
        <v>29.27</v>
      </c>
      <c r="DE17" s="228">
        <v>29.33</v>
      </c>
      <c r="DF17" s="228">
        <v>-0.24</v>
      </c>
      <c r="DG17" s="228">
        <v>-0.06</v>
      </c>
      <c r="DH17" s="228">
        <v>28.71</v>
      </c>
      <c r="DI17" s="228">
        <v>29.58</v>
      </c>
      <c r="DJ17" s="228">
        <v>-0.87</v>
      </c>
      <c r="DK17" s="228">
        <v>-0.87</v>
      </c>
      <c r="DL17" s="228">
        <v>29.5</v>
      </c>
      <c r="DM17" s="228">
        <v>29.83</v>
      </c>
      <c r="DN17" s="228">
        <v>-0.33</v>
      </c>
      <c r="DO17" s="228">
        <v>-0.33</v>
      </c>
      <c r="DP17" s="228">
        <v>0.68</v>
      </c>
      <c r="DQ17" s="228">
        <v>0.64</v>
      </c>
      <c r="DR17" s="228">
        <v>0.04</v>
      </c>
      <c r="DS17" s="229">
        <v>6.25E-2</v>
      </c>
      <c r="DT17" s="231">
        <v>2660</v>
      </c>
      <c r="DU17" s="231">
        <v>2600</v>
      </c>
      <c r="DV17" s="228">
        <v>0.62</v>
      </c>
      <c r="DW17" s="228">
        <v>0.6</v>
      </c>
      <c r="DX17" s="228">
        <v>0.02</v>
      </c>
      <c r="DY17" s="229">
        <v>3.3300000000000003E-2</v>
      </c>
      <c r="DZ17" s="229">
        <v>0.81630000000000003</v>
      </c>
      <c r="EA17" s="230">
        <v>9893750</v>
      </c>
      <c r="EB17" s="229">
        <v>-1.4E-3</v>
      </c>
      <c r="EC17" s="229">
        <v>0.81630000000000003</v>
      </c>
      <c r="ED17" s="228">
        <v>-0.93</v>
      </c>
      <c r="EE17" s="229">
        <v>-4.0000000000000002E-4</v>
      </c>
      <c r="EF17" s="230">
        <v>280153</v>
      </c>
      <c r="EG17" s="230">
        <v>419679</v>
      </c>
      <c r="EH17" s="229">
        <v>-0.33250000000000002</v>
      </c>
      <c r="EI17" s="229">
        <v>0.56230000000000002</v>
      </c>
      <c r="EJ17" s="231">
        <v>154624.41</v>
      </c>
      <c r="EK17" s="231">
        <v>91774.23</v>
      </c>
      <c r="EL17" s="231">
        <v>103438.95</v>
      </c>
      <c r="EM17" s="231">
        <v>18482</v>
      </c>
      <c r="EN17" s="231">
        <v>349837.59</v>
      </c>
      <c r="EO17" s="231">
        <v>826010.79</v>
      </c>
      <c r="EP17" s="231">
        <v>-476173.2</v>
      </c>
      <c r="EQ17" s="229">
        <v>-0.57650000000000001</v>
      </c>
      <c r="ER17" s="231">
        <v>51023</v>
      </c>
      <c r="ES17" s="231">
        <v>31783</v>
      </c>
      <c r="ET17" s="231">
        <v>297318</v>
      </c>
      <c r="EU17" s="231">
        <v>62818628</v>
      </c>
      <c r="EV17" s="231">
        <v>380124</v>
      </c>
      <c r="EW17" s="231">
        <v>662399</v>
      </c>
      <c r="EX17" s="231">
        <v>-282275</v>
      </c>
      <c r="EY17" s="229">
        <v>-0.42609999999999998</v>
      </c>
      <c r="EZ17" s="229">
        <v>0.2283</v>
      </c>
      <c r="FA17" s="227" t="s">
        <v>567</v>
      </c>
      <c r="FB17" s="161">
        <f t="shared" si="0"/>
        <v>8705250</v>
      </c>
    </row>
    <row r="18" spans="1:158" ht="17.25" thickBot="1" x14ac:dyDescent="0.3">
      <c r="A18" s="226">
        <v>46168</v>
      </c>
      <c r="B18" s="227" t="s">
        <v>184</v>
      </c>
      <c r="C18" s="227" t="s">
        <v>503</v>
      </c>
      <c r="D18" s="228">
        <v>425</v>
      </c>
      <c r="E18" s="231">
        <v>1565.7</v>
      </c>
      <c r="F18" s="231">
        <v>1547.9</v>
      </c>
      <c r="G18" s="228">
        <v>17.8</v>
      </c>
      <c r="H18" s="229">
        <v>1.15E-2</v>
      </c>
      <c r="I18" s="231">
        <v>1578.8</v>
      </c>
      <c r="J18" s="231">
        <v>1552.3</v>
      </c>
      <c r="K18" s="228">
        <v>26.5</v>
      </c>
      <c r="L18" s="229">
        <v>1.7100000000000001E-2</v>
      </c>
      <c r="M18" s="231">
        <v>1583.2</v>
      </c>
      <c r="N18" s="231">
        <v>1559.2</v>
      </c>
      <c r="O18" s="228">
        <v>24</v>
      </c>
      <c r="P18" s="229">
        <v>1.54E-2</v>
      </c>
      <c r="Q18" s="231">
        <v>1565.7</v>
      </c>
      <c r="R18" s="231">
        <v>1547.9</v>
      </c>
      <c r="S18" s="228">
        <v>17.8</v>
      </c>
      <c r="T18" s="229">
        <v>1.15E-2</v>
      </c>
      <c r="U18" s="231">
        <v>1545.1</v>
      </c>
      <c r="V18" s="231">
        <v>1526.3</v>
      </c>
      <c r="W18" s="228">
        <v>18.8</v>
      </c>
      <c r="X18" s="229">
        <v>1.23E-2</v>
      </c>
      <c r="Y18" s="228">
        <v>-13.1</v>
      </c>
      <c r="Z18" s="228">
        <v>6.9</v>
      </c>
      <c r="AA18" s="228">
        <v>-20</v>
      </c>
      <c r="AB18" s="229">
        <v>-8.3000000000000001E-3</v>
      </c>
      <c r="AC18" s="228">
        <v>4.4000000000000004</v>
      </c>
      <c r="AD18" s="228">
        <v>6.9</v>
      </c>
      <c r="AE18" s="228">
        <v>-2.5</v>
      </c>
      <c r="AF18" s="229">
        <v>2.8E-3</v>
      </c>
      <c r="AG18" s="228">
        <v>-13.1</v>
      </c>
      <c r="AH18" s="228">
        <v>-4.4000000000000004</v>
      </c>
      <c r="AI18" s="228">
        <v>-8.6999999999999993</v>
      </c>
      <c r="AJ18" s="229">
        <v>-8.3000000000000001E-3</v>
      </c>
      <c r="AK18" s="228">
        <v>-33.700000000000003</v>
      </c>
      <c r="AL18" s="228">
        <v>-26</v>
      </c>
      <c r="AM18" s="228">
        <v>-7.7</v>
      </c>
      <c r="AN18" s="229">
        <v>-2.1299999999999999E-2</v>
      </c>
      <c r="AO18" s="231">
        <v>1571.42</v>
      </c>
      <c r="AP18" s="231">
        <v>1552.11</v>
      </c>
      <c r="AQ18" s="228">
        <v>0</v>
      </c>
      <c r="AR18" s="230">
        <v>4283150</v>
      </c>
      <c r="AS18" s="230">
        <v>4659275</v>
      </c>
      <c r="AT18" s="230">
        <v>-376125</v>
      </c>
      <c r="AU18" s="229">
        <v>-8.0699999999999994E-2</v>
      </c>
      <c r="AV18" s="230">
        <v>1994100</v>
      </c>
      <c r="AW18" s="230">
        <v>2074850</v>
      </c>
      <c r="AX18" s="230">
        <v>-80750</v>
      </c>
      <c r="AY18" s="229">
        <v>-3.8899999999999997E-2</v>
      </c>
      <c r="AZ18" s="230">
        <v>2233800</v>
      </c>
      <c r="BA18" s="230">
        <v>2518125</v>
      </c>
      <c r="BB18" s="230">
        <v>-284325</v>
      </c>
      <c r="BC18" s="229">
        <v>-0.1129</v>
      </c>
      <c r="BD18" s="230">
        <v>55250</v>
      </c>
      <c r="BE18" s="230">
        <v>66300</v>
      </c>
      <c r="BF18" s="230">
        <v>-11050</v>
      </c>
      <c r="BG18" s="229">
        <v>-0.16669999999999999</v>
      </c>
      <c r="BH18" s="230">
        <v>4371975</v>
      </c>
      <c r="BI18" s="230">
        <v>7347400</v>
      </c>
      <c r="BJ18" s="230">
        <v>-2975425</v>
      </c>
      <c r="BK18" s="229">
        <v>-0.40500000000000003</v>
      </c>
      <c r="BL18" s="230">
        <v>2376175</v>
      </c>
      <c r="BM18" s="230">
        <v>3286950</v>
      </c>
      <c r="BN18" s="230">
        <v>-910775</v>
      </c>
      <c r="BO18" s="229">
        <v>-0.27710000000000001</v>
      </c>
      <c r="BP18" s="230">
        <v>11031300</v>
      </c>
      <c r="BQ18" s="230">
        <v>15293625</v>
      </c>
      <c r="BR18" s="230">
        <v>-4262325</v>
      </c>
      <c r="BS18" s="229">
        <v>-0.2787</v>
      </c>
      <c r="BT18" s="230">
        <v>644832</v>
      </c>
      <c r="BU18" s="230">
        <v>445474</v>
      </c>
      <c r="BV18" s="230">
        <v>199358</v>
      </c>
      <c r="BW18" s="229">
        <v>0.44750000000000001</v>
      </c>
      <c r="BX18" s="230">
        <v>7250075</v>
      </c>
      <c r="BY18" s="230">
        <v>9147700</v>
      </c>
      <c r="BZ18" s="230">
        <v>-1897625</v>
      </c>
      <c r="CA18" s="229">
        <v>-0.2074</v>
      </c>
      <c r="CB18" s="230">
        <v>1181925</v>
      </c>
      <c r="CC18" s="230">
        <v>1822400</v>
      </c>
      <c r="CD18" s="230">
        <v>-640475</v>
      </c>
      <c r="CE18" s="229">
        <v>-0.35139999999999999</v>
      </c>
      <c r="CF18" s="230">
        <v>7028650</v>
      </c>
      <c r="CG18" s="230">
        <v>7124275</v>
      </c>
      <c r="CH18" s="230">
        <v>-95625</v>
      </c>
      <c r="CI18" s="229">
        <v>-1.34E-2</v>
      </c>
      <c r="CJ18" s="230">
        <v>221425</v>
      </c>
      <c r="CK18" s="230">
        <v>201025</v>
      </c>
      <c r="CL18" s="230">
        <v>20400</v>
      </c>
      <c r="CM18" s="229">
        <v>0.10150000000000001</v>
      </c>
      <c r="CN18" s="230">
        <v>1410150</v>
      </c>
      <c r="CO18" s="230">
        <v>3010700</v>
      </c>
      <c r="CP18" s="230">
        <v>-1600550</v>
      </c>
      <c r="CQ18" s="229">
        <v>-0.53159999999999996</v>
      </c>
      <c r="CR18" s="230">
        <v>804100</v>
      </c>
      <c r="CS18" s="230">
        <v>2397425</v>
      </c>
      <c r="CT18" s="230">
        <v>-1593325</v>
      </c>
      <c r="CU18" s="229">
        <v>-0.66459999999999997</v>
      </c>
      <c r="CV18" s="230">
        <v>9464325</v>
      </c>
      <c r="CW18" s="230">
        <v>14555825</v>
      </c>
      <c r="CX18" s="230">
        <v>-5091500</v>
      </c>
      <c r="CY18" s="229">
        <v>-0.3498</v>
      </c>
      <c r="CZ18" s="228">
        <v>29.38</v>
      </c>
      <c r="DA18" s="228">
        <v>29.23</v>
      </c>
      <c r="DB18" s="228">
        <v>0.15</v>
      </c>
      <c r="DC18" s="228">
        <v>0.15</v>
      </c>
      <c r="DD18" s="228">
        <v>36.340000000000003</v>
      </c>
      <c r="DE18" s="228">
        <v>36.36</v>
      </c>
      <c r="DF18" s="228">
        <v>-6.96</v>
      </c>
      <c r="DG18" s="228">
        <v>-0.02</v>
      </c>
      <c r="DH18" s="228">
        <v>29.49</v>
      </c>
      <c r="DI18" s="228">
        <v>29.17</v>
      </c>
      <c r="DJ18" s="228">
        <v>0.32</v>
      </c>
      <c r="DK18" s="228">
        <v>0.32</v>
      </c>
      <c r="DL18" s="228">
        <v>29.13</v>
      </c>
      <c r="DM18" s="228">
        <v>29.35</v>
      </c>
      <c r="DN18" s="228">
        <v>-0.22</v>
      </c>
      <c r="DO18" s="228">
        <v>-0.22</v>
      </c>
      <c r="DP18" s="228">
        <v>0.56999999999999995</v>
      </c>
      <c r="DQ18" s="228">
        <v>0.8</v>
      </c>
      <c r="DR18" s="228">
        <v>-0.23</v>
      </c>
      <c r="DS18" s="229">
        <v>-0.28749999999999998</v>
      </c>
      <c r="DT18" s="231">
        <v>1600</v>
      </c>
      <c r="DU18" s="231">
        <v>1500</v>
      </c>
      <c r="DV18" s="228">
        <v>0.54</v>
      </c>
      <c r="DW18" s="228">
        <v>0.45</v>
      </c>
      <c r="DX18" s="228">
        <v>0.09</v>
      </c>
      <c r="DY18" s="229">
        <v>0.2</v>
      </c>
      <c r="DZ18" s="229">
        <v>0.85980000000000001</v>
      </c>
      <c r="EA18" s="230">
        <v>7325300</v>
      </c>
      <c r="EB18" s="229">
        <v>-1.11E-2</v>
      </c>
      <c r="EC18" s="229">
        <v>0.85980000000000001</v>
      </c>
      <c r="ED18" s="228">
        <v>-19.309999999999999</v>
      </c>
      <c r="EE18" s="229">
        <v>-1.23E-2</v>
      </c>
      <c r="EF18" s="230">
        <v>265094</v>
      </c>
      <c r="EG18" s="230">
        <v>163148</v>
      </c>
      <c r="EH18" s="229">
        <v>0.62490000000000001</v>
      </c>
      <c r="EI18" s="229">
        <v>0.41110000000000002</v>
      </c>
      <c r="EJ18" s="231">
        <v>70679.899999999994</v>
      </c>
      <c r="EK18" s="231">
        <v>36037.050000000003</v>
      </c>
      <c r="EL18" s="231">
        <v>66851.820000000007</v>
      </c>
      <c r="EM18" s="231">
        <v>13873</v>
      </c>
      <c r="EN18" s="231">
        <v>173568.77</v>
      </c>
      <c r="EO18" s="231">
        <v>240605.37</v>
      </c>
      <c r="EP18" s="231">
        <v>-67036.600000000006</v>
      </c>
      <c r="EQ18" s="229">
        <v>-0.27860000000000001</v>
      </c>
      <c r="ER18" s="231">
        <v>22634</v>
      </c>
      <c r="ES18" s="231">
        <v>11747</v>
      </c>
      <c r="ET18" s="231">
        <v>113469</v>
      </c>
      <c r="EU18" s="231">
        <v>17577908</v>
      </c>
      <c r="EV18" s="231">
        <v>147850</v>
      </c>
      <c r="EW18" s="231">
        <v>224952</v>
      </c>
      <c r="EX18" s="231">
        <v>-77102</v>
      </c>
      <c r="EY18" s="229">
        <v>-0.3427</v>
      </c>
      <c r="EZ18" s="229">
        <v>0.53839999999999999</v>
      </c>
      <c r="FA18" s="227" t="s">
        <v>691</v>
      </c>
      <c r="FB18" s="161">
        <f t="shared" si="0"/>
        <v>6068150</v>
      </c>
    </row>
    <row r="19" spans="1:158" ht="17.25" thickBot="1" x14ac:dyDescent="0.3">
      <c r="A19" s="226">
        <v>46168</v>
      </c>
      <c r="B19" s="227" t="s">
        <v>172</v>
      </c>
      <c r="C19" s="227" t="s">
        <v>495</v>
      </c>
      <c r="D19" s="228">
        <v>1000</v>
      </c>
      <c r="E19" s="231">
        <v>1021</v>
      </c>
      <c r="F19" s="231">
        <v>1008</v>
      </c>
      <c r="G19" s="228">
        <v>13</v>
      </c>
      <c r="H19" s="229">
        <v>1.29E-2</v>
      </c>
      <c r="I19" s="231">
        <v>1011.8</v>
      </c>
      <c r="J19" s="228">
        <v>999.3</v>
      </c>
      <c r="K19" s="228">
        <v>12.5</v>
      </c>
      <c r="L19" s="229">
        <v>1.2500000000000001E-2</v>
      </c>
      <c r="M19" s="231">
        <v>1010.7</v>
      </c>
      <c r="N19" s="231">
        <v>1000.9</v>
      </c>
      <c r="O19" s="228">
        <v>9.8000000000000007</v>
      </c>
      <c r="P19" s="229">
        <v>9.7999999999999997E-3</v>
      </c>
      <c r="Q19" s="231">
        <v>1021</v>
      </c>
      <c r="R19" s="231">
        <v>1008</v>
      </c>
      <c r="S19" s="228">
        <v>13</v>
      </c>
      <c r="T19" s="229">
        <v>1.29E-2</v>
      </c>
      <c r="U19" s="231">
        <v>1026.8</v>
      </c>
      <c r="V19" s="231">
        <v>1011.4</v>
      </c>
      <c r="W19" s="228">
        <v>15.4</v>
      </c>
      <c r="X19" s="229">
        <v>1.52E-2</v>
      </c>
      <c r="Y19" s="228">
        <v>9.1999999999999993</v>
      </c>
      <c r="Z19" s="228">
        <v>1.6</v>
      </c>
      <c r="AA19" s="228">
        <v>7.6</v>
      </c>
      <c r="AB19" s="229">
        <v>9.1000000000000004E-3</v>
      </c>
      <c r="AC19" s="228">
        <v>-1.1000000000000001</v>
      </c>
      <c r="AD19" s="228">
        <v>1.6</v>
      </c>
      <c r="AE19" s="228">
        <v>-2.7</v>
      </c>
      <c r="AF19" s="229">
        <v>-1.1000000000000001E-3</v>
      </c>
      <c r="AG19" s="228">
        <v>9.1999999999999993</v>
      </c>
      <c r="AH19" s="228">
        <v>8.6999999999999993</v>
      </c>
      <c r="AI19" s="228">
        <v>0.5</v>
      </c>
      <c r="AJ19" s="229">
        <v>9.1000000000000004E-3</v>
      </c>
      <c r="AK19" s="228">
        <v>15</v>
      </c>
      <c r="AL19" s="228">
        <v>12.1</v>
      </c>
      <c r="AM19" s="228">
        <v>2.9</v>
      </c>
      <c r="AN19" s="229">
        <v>1.4800000000000001E-2</v>
      </c>
      <c r="AO19" s="231">
        <v>1008.47</v>
      </c>
      <c r="AP19" s="231">
        <v>1016.68</v>
      </c>
      <c r="AQ19" s="228">
        <v>0</v>
      </c>
      <c r="AR19" s="230">
        <v>8974000</v>
      </c>
      <c r="AS19" s="230">
        <v>19381000</v>
      </c>
      <c r="AT19" s="230">
        <v>-10407000</v>
      </c>
      <c r="AU19" s="229">
        <v>-0.53700000000000003</v>
      </c>
      <c r="AV19" s="230">
        <v>3454000</v>
      </c>
      <c r="AW19" s="230">
        <v>9508000</v>
      </c>
      <c r="AX19" s="230">
        <v>-6054000</v>
      </c>
      <c r="AY19" s="229">
        <v>-0.63670000000000004</v>
      </c>
      <c r="AZ19" s="230">
        <v>5444000</v>
      </c>
      <c r="BA19" s="230">
        <v>9808000</v>
      </c>
      <c r="BB19" s="230">
        <v>-4364000</v>
      </c>
      <c r="BC19" s="229">
        <v>-0.44490000000000002</v>
      </c>
      <c r="BD19" s="230">
        <v>76000</v>
      </c>
      <c r="BE19" s="230">
        <v>65000</v>
      </c>
      <c r="BF19" s="230">
        <v>11000</v>
      </c>
      <c r="BG19" s="229">
        <v>0.16919999999999999</v>
      </c>
      <c r="BH19" s="230">
        <v>6265000</v>
      </c>
      <c r="BI19" s="230">
        <v>14208000</v>
      </c>
      <c r="BJ19" s="230">
        <v>-7943000</v>
      </c>
      <c r="BK19" s="229">
        <v>-0.55910000000000004</v>
      </c>
      <c r="BL19" s="230">
        <v>4060000</v>
      </c>
      <c r="BM19" s="230">
        <v>7279000</v>
      </c>
      <c r="BN19" s="230">
        <v>-3219000</v>
      </c>
      <c r="BO19" s="229">
        <v>-0.44219999999999998</v>
      </c>
      <c r="BP19" s="230">
        <v>19299000</v>
      </c>
      <c r="BQ19" s="230">
        <v>40868000</v>
      </c>
      <c r="BR19" s="230">
        <v>-21569000</v>
      </c>
      <c r="BS19" s="229">
        <v>-0.52780000000000005</v>
      </c>
      <c r="BT19" s="230">
        <v>2729414</v>
      </c>
      <c r="BU19" s="230">
        <v>1555275</v>
      </c>
      <c r="BV19" s="230">
        <v>1174139</v>
      </c>
      <c r="BW19" s="229">
        <v>0.75490000000000002</v>
      </c>
      <c r="BX19" s="230">
        <v>25261000</v>
      </c>
      <c r="BY19" s="230">
        <v>26081000</v>
      </c>
      <c r="BZ19" s="230">
        <v>-820000</v>
      </c>
      <c r="CA19" s="229">
        <v>-3.1399999999999997E-2</v>
      </c>
      <c r="CB19" s="230">
        <v>1105000</v>
      </c>
      <c r="CC19" s="230">
        <v>3268000</v>
      </c>
      <c r="CD19" s="230">
        <v>-2163000</v>
      </c>
      <c r="CE19" s="229">
        <v>-0.66190000000000004</v>
      </c>
      <c r="CF19" s="230">
        <v>24535000</v>
      </c>
      <c r="CG19" s="230">
        <v>22110000</v>
      </c>
      <c r="CH19" s="230">
        <v>2425000</v>
      </c>
      <c r="CI19" s="229">
        <v>0.10970000000000001</v>
      </c>
      <c r="CJ19" s="230">
        <v>726000</v>
      </c>
      <c r="CK19" s="230">
        <v>703000</v>
      </c>
      <c r="CL19" s="230">
        <v>23000</v>
      </c>
      <c r="CM19" s="229">
        <v>3.27E-2</v>
      </c>
      <c r="CN19" s="230">
        <v>2196000</v>
      </c>
      <c r="CO19" s="230">
        <v>7212000</v>
      </c>
      <c r="CP19" s="230">
        <v>-5016000</v>
      </c>
      <c r="CQ19" s="229">
        <v>-0.69550000000000001</v>
      </c>
      <c r="CR19" s="230">
        <v>2294000</v>
      </c>
      <c r="CS19" s="230">
        <v>6209000</v>
      </c>
      <c r="CT19" s="230">
        <v>-3915000</v>
      </c>
      <c r="CU19" s="229">
        <v>-0.63049999999999995</v>
      </c>
      <c r="CV19" s="230">
        <v>29751000</v>
      </c>
      <c r="CW19" s="230">
        <v>39502000</v>
      </c>
      <c r="CX19" s="230">
        <v>-9751000</v>
      </c>
      <c r="CY19" s="229">
        <v>-0.24679999999999999</v>
      </c>
      <c r="CZ19" s="228">
        <v>26.06</v>
      </c>
      <c r="DA19" s="228">
        <v>26.87</v>
      </c>
      <c r="DB19" s="228">
        <v>-0.81</v>
      </c>
      <c r="DC19" s="228">
        <v>-0.81</v>
      </c>
      <c r="DD19" s="228">
        <v>37.39</v>
      </c>
      <c r="DE19" s="228">
        <v>37.450000000000003</v>
      </c>
      <c r="DF19" s="228">
        <v>-11.33</v>
      </c>
      <c r="DG19" s="228">
        <v>-0.06</v>
      </c>
      <c r="DH19" s="228">
        <v>25.61</v>
      </c>
      <c r="DI19" s="228">
        <v>26.93</v>
      </c>
      <c r="DJ19" s="228">
        <v>-1.32</v>
      </c>
      <c r="DK19" s="228">
        <v>-1.32</v>
      </c>
      <c r="DL19" s="228">
        <v>26.74</v>
      </c>
      <c r="DM19" s="228">
        <v>26.74</v>
      </c>
      <c r="DN19" s="228">
        <v>0</v>
      </c>
      <c r="DO19" s="228">
        <v>0</v>
      </c>
      <c r="DP19" s="228">
        <v>1.04</v>
      </c>
      <c r="DQ19" s="228">
        <v>0.86</v>
      </c>
      <c r="DR19" s="228">
        <v>0.18</v>
      </c>
      <c r="DS19" s="229">
        <v>0.20930000000000001</v>
      </c>
      <c r="DT19" s="231">
        <v>1100</v>
      </c>
      <c r="DU19" s="231">
        <v>1000</v>
      </c>
      <c r="DV19" s="228">
        <v>0.65</v>
      </c>
      <c r="DW19" s="228">
        <v>0.51</v>
      </c>
      <c r="DX19" s="228">
        <v>0.14000000000000001</v>
      </c>
      <c r="DY19" s="229">
        <v>0.27450000000000002</v>
      </c>
      <c r="DZ19" s="229">
        <v>0.95809999999999995</v>
      </c>
      <c r="EA19" s="230">
        <v>22813000</v>
      </c>
      <c r="EB19" s="229">
        <v>1.0200000000000001E-2</v>
      </c>
      <c r="EC19" s="229">
        <v>0.95809999999999995</v>
      </c>
      <c r="ED19" s="228">
        <v>8.2100000000000009</v>
      </c>
      <c r="EE19" s="229">
        <v>8.0999999999999996E-3</v>
      </c>
      <c r="EF19" s="230">
        <v>1147915</v>
      </c>
      <c r="EG19" s="230">
        <v>771127</v>
      </c>
      <c r="EH19" s="229">
        <v>0.48859999999999998</v>
      </c>
      <c r="EI19" s="229">
        <v>0.42059999999999997</v>
      </c>
      <c r="EJ19" s="231">
        <v>65438.06</v>
      </c>
      <c r="EK19" s="231">
        <v>40607.74</v>
      </c>
      <c r="EL19" s="231">
        <v>90956.95</v>
      </c>
      <c r="EM19" s="231">
        <v>11624</v>
      </c>
      <c r="EN19" s="231">
        <v>197002.75</v>
      </c>
      <c r="EO19" s="231">
        <v>412512.43</v>
      </c>
      <c r="EP19" s="231">
        <v>-215509.68</v>
      </c>
      <c r="EQ19" s="229">
        <v>-0.52239999999999998</v>
      </c>
      <c r="ER19" s="231">
        <v>22755</v>
      </c>
      <c r="ES19" s="231">
        <v>22364</v>
      </c>
      <c r="ET19" s="231">
        <v>257957</v>
      </c>
      <c r="EU19" s="231">
        <v>86532345</v>
      </c>
      <c r="EV19" s="231">
        <v>303076</v>
      </c>
      <c r="EW19" s="231">
        <v>398022</v>
      </c>
      <c r="EX19" s="231">
        <v>-94946</v>
      </c>
      <c r="EY19" s="229">
        <v>-0.23849999999999999</v>
      </c>
      <c r="EZ19" s="229">
        <v>0.34379999999999999</v>
      </c>
      <c r="FA19" s="227" t="s">
        <v>691</v>
      </c>
      <c r="FB19" s="161">
        <f t="shared" si="0"/>
        <v>24156000</v>
      </c>
    </row>
    <row r="20" spans="1:158" ht="17.25" thickBot="1" x14ac:dyDescent="0.3">
      <c r="A20" s="226">
        <v>46168</v>
      </c>
      <c r="B20" s="227" t="s">
        <v>170</v>
      </c>
      <c r="C20" s="227" t="s">
        <v>171</v>
      </c>
      <c r="D20" s="228">
        <v>550</v>
      </c>
      <c r="E20" s="231">
        <v>1474.2</v>
      </c>
      <c r="F20" s="231">
        <v>1467.2</v>
      </c>
      <c r="G20" s="228">
        <v>7</v>
      </c>
      <c r="H20" s="229">
        <v>4.7999999999999996E-3</v>
      </c>
      <c r="I20" s="231">
        <v>1461.2</v>
      </c>
      <c r="J20" s="231">
        <v>1454.6</v>
      </c>
      <c r="K20" s="228">
        <v>6.6</v>
      </c>
      <c r="L20" s="229">
        <v>4.4999999999999997E-3</v>
      </c>
      <c r="M20" s="231">
        <v>1464.4</v>
      </c>
      <c r="N20" s="231">
        <v>1460.6</v>
      </c>
      <c r="O20" s="228">
        <v>3.8</v>
      </c>
      <c r="P20" s="229">
        <v>2.5999999999999999E-3</v>
      </c>
      <c r="Q20" s="231">
        <v>1474.2</v>
      </c>
      <c r="R20" s="231">
        <v>1467.2</v>
      </c>
      <c r="S20" s="228">
        <v>7</v>
      </c>
      <c r="T20" s="229">
        <v>4.7999999999999996E-3</v>
      </c>
      <c r="U20" s="231">
        <v>1481.7</v>
      </c>
      <c r="V20" s="231">
        <v>1474.3</v>
      </c>
      <c r="W20" s="228">
        <v>7.4</v>
      </c>
      <c r="X20" s="229">
        <v>5.0000000000000001E-3</v>
      </c>
      <c r="Y20" s="228">
        <v>13</v>
      </c>
      <c r="Z20" s="228">
        <v>6</v>
      </c>
      <c r="AA20" s="228">
        <v>7</v>
      </c>
      <c r="AB20" s="229">
        <v>8.8999999999999999E-3</v>
      </c>
      <c r="AC20" s="228">
        <v>3.2</v>
      </c>
      <c r="AD20" s="228">
        <v>6</v>
      </c>
      <c r="AE20" s="228">
        <v>-2.8</v>
      </c>
      <c r="AF20" s="229">
        <v>2.2000000000000001E-3</v>
      </c>
      <c r="AG20" s="228">
        <v>13</v>
      </c>
      <c r="AH20" s="228">
        <v>12.6</v>
      </c>
      <c r="AI20" s="228">
        <v>0.4</v>
      </c>
      <c r="AJ20" s="229">
        <v>8.8999999999999999E-3</v>
      </c>
      <c r="AK20" s="228">
        <v>20.5</v>
      </c>
      <c r="AL20" s="228">
        <v>19.7</v>
      </c>
      <c r="AM20" s="228">
        <v>0.8</v>
      </c>
      <c r="AN20" s="229">
        <v>1.4E-2</v>
      </c>
      <c r="AO20" s="231">
        <v>1458.84</v>
      </c>
      <c r="AP20" s="231">
        <v>1467.25</v>
      </c>
      <c r="AQ20" s="228">
        <v>0</v>
      </c>
      <c r="AR20" s="230">
        <v>4013350</v>
      </c>
      <c r="AS20" s="230">
        <v>7261650</v>
      </c>
      <c r="AT20" s="230">
        <v>-3248300</v>
      </c>
      <c r="AU20" s="229">
        <v>-0.44729999999999998</v>
      </c>
      <c r="AV20" s="230">
        <v>1298550</v>
      </c>
      <c r="AW20" s="230">
        <v>3029950</v>
      </c>
      <c r="AX20" s="230">
        <v>-1731400</v>
      </c>
      <c r="AY20" s="229">
        <v>-0.57140000000000002</v>
      </c>
      <c r="AZ20" s="230">
        <v>2702700</v>
      </c>
      <c r="BA20" s="230">
        <v>4197050</v>
      </c>
      <c r="BB20" s="230">
        <v>-1494350</v>
      </c>
      <c r="BC20" s="229">
        <v>-0.35599999999999998</v>
      </c>
      <c r="BD20" s="230">
        <v>12100</v>
      </c>
      <c r="BE20" s="230">
        <v>34650</v>
      </c>
      <c r="BF20" s="230">
        <v>-22550</v>
      </c>
      <c r="BG20" s="229">
        <v>-0.65080000000000005</v>
      </c>
      <c r="BH20" s="230">
        <v>4979700</v>
      </c>
      <c r="BI20" s="230">
        <v>10827300</v>
      </c>
      <c r="BJ20" s="230">
        <v>-5847600</v>
      </c>
      <c r="BK20" s="229">
        <v>-0.54010000000000002</v>
      </c>
      <c r="BL20" s="230">
        <v>2564100</v>
      </c>
      <c r="BM20" s="230">
        <v>4837250</v>
      </c>
      <c r="BN20" s="230">
        <v>-2273150</v>
      </c>
      <c r="BO20" s="229">
        <v>-0.46989999999999998</v>
      </c>
      <c r="BP20" s="230">
        <v>11557150</v>
      </c>
      <c r="BQ20" s="230">
        <v>22926200</v>
      </c>
      <c r="BR20" s="230">
        <v>-11369050</v>
      </c>
      <c r="BS20" s="229">
        <v>-0.49590000000000001</v>
      </c>
      <c r="BT20" s="230">
        <v>966104</v>
      </c>
      <c r="BU20" s="230">
        <v>2769418</v>
      </c>
      <c r="BV20" s="230">
        <v>-1803314</v>
      </c>
      <c r="BW20" s="229">
        <v>-0.6512</v>
      </c>
      <c r="BX20" s="230">
        <v>18051550</v>
      </c>
      <c r="BY20" s="230">
        <v>19475500</v>
      </c>
      <c r="BZ20" s="230">
        <v>-1423950</v>
      </c>
      <c r="CA20" s="229">
        <v>-7.3099999999999998E-2</v>
      </c>
      <c r="CB20" s="230">
        <v>1676950</v>
      </c>
      <c r="CC20" s="230">
        <v>2431550</v>
      </c>
      <c r="CD20" s="230">
        <v>-754600</v>
      </c>
      <c r="CE20" s="229">
        <v>-0.31030000000000002</v>
      </c>
      <c r="CF20" s="230">
        <v>17996550</v>
      </c>
      <c r="CG20" s="230">
        <v>16989500</v>
      </c>
      <c r="CH20" s="230">
        <v>1007050</v>
      </c>
      <c r="CI20" s="229">
        <v>5.9299999999999999E-2</v>
      </c>
      <c r="CJ20" s="230">
        <v>55000</v>
      </c>
      <c r="CK20" s="230">
        <v>54450</v>
      </c>
      <c r="CL20" s="228">
        <v>550</v>
      </c>
      <c r="CM20" s="229">
        <v>1.01E-2</v>
      </c>
      <c r="CN20" s="230">
        <v>2825900</v>
      </c>
      <c r="CO20" s="230">
        <v>5239300</v>
      </c>
      <c r="CP20" s="230">
        <v>-2413400</v>
      </c>
      <c r="CQ20" s="229">
        <v>-0.46060000000000001</v>
      </c>
      <c r="CR20" s="230">
        <v>1511400</v>
      </c>
      <c r="CS20" s="230">
        <v>3384150</v>
      </c>
      <c r="CT20" s="230">
        <v>-1872750</v>
      </c>
      <c r="CU20" s="229">
        <v>-0.5534</v>
      </c>
      <c r="CV20" s="230">
        <v>22388850</v>
      </c>
      <c r="CW20" s="230">
        <v>28098950</v>
      </c>
      <c r="CX20" s="230">
        <v>-5710100</v>
      </c>
      <c r="CY20" s="229">
        <v>-0.20319999999999999</v>
      </c>
      <c r="CZ20" s="228">
        <v>24.76</v>
      </c>
      <c r="DA20" s="228">
        <v>25.04</v>
      </c>
      <c r="DB20" s="228">
        <v>-0.28000000000000003</v>
      </c>
      <c r="DC20" s="228">
        <v>-0.28000000000000003</v>
      </c>
      <c r="DD20" s="228">
        <v>33.51</v>
      </c>
      <c r="DE20" s="228">
        <v>33.590000000000003</v>
      </c>
      <c r="DF20" s="228">
        <v>-8.75</v>
      </c>
      <c r="DG20" s="228">
        <v>-0.08</v>
      </c>
      <c r="DH20" s="228">
        <v>24.93</v>
      </c>
      <c r="DI20" s="228">
        <v>25.11</v>
      </c>
      <c r="DJ20" s="228">
        <v>-0.18</v>
      </c>
      <c r="DK20" s="228">
        <v>-0.18</v>
      </c>
      <c r="DL20" s="228">
        <v>24.4</v>
      </c>
      <c r="DM20" s="228">
        <v>24.89</v>
      </c>
      <c r="DN20" s="228">
        <v>-0.49</v>
      </c>
      <c r="DO20" s="228">
        <v>-0.49</v>
      </c>
      <c r="DP20" s="228">
        <v>0.53</v>
      </c>
      <c r="DQ20" s="228">
        <v>0.65</v>
      </c>
      <c r="DR20" s="228">
        <v>-0.12</v>
      </c>
      <c r="DS20" s="229">
        <v>-0.18459999999999999</v>
      </c>
      <c r="DT20" s="231">
        <v>1600</v>
      </c>
      <c r="DU20" s="231">
        <v>1400</v>
      </c>
      <c r="DV20" s="228">
        <v>0.51</v>
      </c>
      <c r="DW20" s="228">
        <v>0.45</v>
      </c>
      <c r="DX20" s="228">
        <v>0.06</v>
      </c>
      <c r="DY20" s="229">
        <v>0.1333</v>
      </c>
      <c r="DZ20" s="229">
        <v>0.91500000000000004</v>
      </c>
      <c r="EA20" s="230">
        <v>17043950</v>
      </c>
      <c r="EB20" s="229">
        <v>6.7000000000000002E-3</v>
      </c>
      <c r="EC20" s="229">
        <v>0.91500000000000004</v>
      </c>
      <c r="ED20" s="228">
        <v>8.41</v>
      </c>
      <c r="EE20" s="229">
        <v>5.7999999999999996E-3</v>
      </c>
      <c r="EF20" s="230">
        <v>485437</v>
      </c>
      <c r="EG20" s="230">
        <v>1575921</v>
      </c>
      <c r="EH20" s="229">
        <v>-0.69199999999999995</v>
      </c>
      <c r="EI20" s="229">
        <v>0.50249999999999995</v>
      </c>
      <c r="EJ20" s="231">
        <v>75959.5</v>
      </c>
      <c r="EK20" s="231">
        <v>36677.019999999997</v>
      </c>
      <c r="EL20" s="231">
        <v>58777.73</v>
      </c>
      <c r="EM20" s="231">
        <v>13931</v>
      </c>
      <c r="EN20" s="231">
        <v>171414.25</v>
      </c>
      <c r="EO20" s="231">
        <v>340497.41</v>
      </c>
      <c r="EP20" s="231">
        <v>-169083.16</v>
      </c>
      <c r="EQ20" s="229">
        <v>-0.49659999999999999</v>
      </c>
      <c r="ER20" s="231">
        <v>43672</v>
      </c>
      <c r="ES20" s="231">
        <v>21661</v>
      </c>
      <c r="ET20" s="231">
        <v>266120</v>
      </c>
      <c r="EU20" s="231">
        <v>41977935</v>
      </c>
      <c r="EV20" s="231">
        <v>331453</v>
      </c>
      <c r="EW20" s="231">
        <v>413943</v>
      </c>
      <c r="EX20" s="231">
        <v>-82490</v>
      </c>
      <c r="EY20" s="229">
        <v>-0.1993</v>
      </c>
      <c r="EZ20" s="229">
        <v>0.5333</v>
      </c>
      <c r="FA20" s="227" t="s">
        <v>691</v>
      </c>
      <c r="FB20" s="161">
        <f t="shared" si="0"/>
        <v>16374600</v>
      </c>
    </row>
    <row r="21" spans="1:158" ht="17.25" thickBot="1" x14ac:dyDescent="0.3">
      <c r="A21" s="226">
        <v>46168</v>
      </c>
      <c r="B21" s="227" t="s">
        <v>172</v>
      </c>
      <c r="C21" s="227" t="s">
        <v>173</v>
      </c>
      <c r="D21" s="228">
        <v>625</v>
      </c>
      <c r="E21" s="231">
        <v>1307</v>
      </c>
      <c r="F21" s="231">
        <v>1318.3</v>
      </c>
      <c r="G21" s="228">
        <v>-11.3</v>
      </c>
      <c r="H21" s="229">
        <v>-8.6E-3</v>
      </c>
      <c r="I21" s="231">
        <v>1299.3</v>
      </c>
      <c r="J21" s="231">
        <v>1311.2</v>
      </c>
      <c r="K21" s="228">
        <v>-11.9</v>
      </c>
      <c r="L21" s="229">
        <v>-9.1000000000000004E-3</v>
      </c>
      <c r="M21" s="231">
        <v>1295.8</v>
      </c>
      <c r="N21" s="231">
        <v>1308.8</v>
      </c>
      <c r="O21" s="228">
        <v>-13</v>
      </c>
      <c r="P21" s="229">
        <v>-9.9000000000000008E-3</v>
      </c>
      <c r="Q21" s="231">
        <v>1307</v>
      </c>
      <c r="R21" s="231">
        <v>1318.3</v>
      </c>
      <c r="S21" s="228">
        <v>-11.3</v>
      </c>
      <c r="T21" s="229">
        <v>-8.6E-3</v>
      </c>
      <c r="U21" s="231">
        <v>1313.8</v>
      </c>
      <c r="V21" s="231">
        <v>1325.8</v>
      </c>
      <c r="W21" s="228">
        <v>-12</v>
      </c>
      <c r="X21" s="229">
        <v>-9.1000000000000004E-3</v>
      </c>
      <c r="Y21" s="228">
        <v>7.7</v>
      </c>
      <c r="Z21" s="228">
        <v>-2.4</v>
      </c>
      <c r="AA21" s="228">
        <v>10.1</v>
      </c>
      <c r="AB21" s="229">
        <v>5.8999999999999999E-3</v>
      </c>
      <c r="AC21" s="228">
        <v>-3.5</v>
      </c>
      <c r="AD21" s="228">
        <v>-2.4</v>
      </c>
      <c r="AE21" s="228">
        <v>-1.1000000000000001</v>
      </c>
      <c r="AF21" s="229">
        <v>-2.7000000000000001E-3</v>
      </c>
      <c r="AG21" s="228">
        <v>7.7</v>
      </c>
      <c r="AH21" s="228">
        <v>7.1</v>
      </c>
      <c r="AI21" s="228">
        <v>0.6</v>
      </c>
      <c r="AJ21" s="229">
        <v>5.8999999999999999E-3</v>
      </c>
      <c r="AK21" s="228">
        <v>14.5</v>
      </c>
      <c r="AL21" s="228">
        <v>14.6</v>
      </c>
      <c r="AM21" s="228">
        <v>-0.1</v>
      </c>
      <c r="AN21" s="229">
        <v>1.12E-2</v>
      </c>
      <c r="AO21" s="231">
        <v>1300.06</v>
      </c>
      <c r="AP21" s="231">
        <v>1310.0899999999999</v>
      </c>
      <c r="AQ21" s="228">
        <v>0</v>
      </c>
      <c r="AR21" s="230">
        <v>18715625</v>
      </c>
      <c r="AS21" s="230">
        <v>22251250</v>
      </c>
      <c r="AT21" s="230">
        <v>-3535625</v>
      </c>
      <c r="AU21" s="229">
        <v>-0.15890000000000001</v>
      </c>
      <c r="AV21" s="230">
        <v>7222500</v>
      </c>
      <c r="AW21" s="230">
        <v>11196250</v>
      </c>
      <c r="AX21" s="230">
        <v>-3973750</v>
      </c>
      <c r="AY21" s="229">
        <v>-0.35489999999999999</v>
      </c>
      <c r="AZ21" s="230">
        <v>11395625</v>
      </c>
      <c r="BA21" s="230">
        <v>10953750</v>
      </c>
      <c r="BB21" s="230">
        <v>441875</v>
      </c>
      <c r="BC21" s="229">
        <v>4.0300000000000002E-2</v>
      </c>
      <c r="BD21" s="230">
        <v>97500</v>
      </c>
      <c r="BE21" s="230">
        <v>101250</v>
      </c>
      <c r="BF21" s="230">
        <v>-3750</v>
      </c>
      <c r="BG21" s="229">
        <v>-3.6999999999999998E-2</v>
      </c>
      <c r="BH21" s="230">
        <v>25051250</v>
      </c>
      <c r="BI21" s="230">
        <v>70491875</v>
      </c>
      <c r="BJ21" s="230">
        <v>-45440625</v>
      </c>
      <c r="BK21" s="229">
        <v>-0.64459999999999995</v>
      </c>
      <c r="BL21" s="230">
        <v>18963750</v>
      </c>
      <c r="BM21" s="230">
        <v>27543125</v>
      </c>
      <c r="BN21" s="230">
        <v>-8579375</v>
      </c>
      <c r="BO21" s="229">
        <v>-0.3115</v>
      </c>
      <c r="BP21" s="230">
        <v>62730625</v>
      </c>
      <c r="BQ21" s="230">
        <v>120286250</v>
      </c>
      <c r="BR21" s="230">
        <v>-57555625</v>
      </c>
      <c r="BS21" s="229">
        <v>-0.47849999999999998</v>
      </c>
      <c r="BT21" s="230">
        <v>6569417</v>
      </c>
      <c r="BU21" s="230">
        <v>5830253</v>
      </c>
      <c r="BV21" s="230">
        <v>739164</v>
      </c>
      <c r="BW21" s="229">
        <v>0.1268</v>
      </c>
      <c r="BX21" s="230">
        <v>66494375</v>
      </c>
      <c r="BY21" s="230">
        <v>71530000</v>
      </c>
      <c r="BZ21" s="230">
        <v>-5035625</v>
      </c>
      <c r="CA21" s="229">
        <v>-7.0400000000000004E-2</v>
      </c>
      <c r="CB21" s="230">
        <v>6693125</v>
      </c>
      <c r="CC21" s="230">
        <v>8527500</v>
      </c>
      <c r="CD21" s="230">
        <v>-1834375</v>
      </c>
      <c r="CE21" s="229">
        <v>-0.21510000000000001</v>
      </c>
      <c r="CF21" s="230">
        <v>57995000</v>
      </c>
      <c r="CG21" s="230">
        <v>54526875</v>
      </c>
      <c r="CH21" s="230">
        <v>3468125</v>
      </c>
      <c r="CI21" s="229">
        <v>6.3600000000000004E-2</v>
      </c>
      <c r="CJ21" s="230">
        <v>8499375</v>
      </c>
      <c r="CK21" s="230">
        <v>8475625</v>
      </c>
      <c r="CL21" s="230">
        <v>23750</v>
      </c>
      <c r="CM21" s="229">
        <v>2.8E-3</v>
      </c>
      <c r="CN21" s="230">
        <v>4778750</v>
      </c>
      <c r="CO21" s="230">
        <v>18371875</v>
      </c>
      <c r="CP21" s="230">
        <v>-13593125</v>
      </c>
      <c r="CQ21" s="229">
        <v>-0.7399</v>
      </c>
      <c r="CR21" s="230">
        <v>4064375</v>
      </c>
      <c r="CS21" s="230">
        <v>13431875</v>
      </c>
      <c r="CT21" s="230">
        <v>-9367500</v>
      </c>
      <c r="CU21" s="229">
        <v>-0.69740000000000002</v>
      </c>
      <c r="CV21" s="230">
        <v>75337500</v>
      </c>
      <c r="CW21" s="230">
        <v>103333750</v>
      </c>
      <c r="CX21" s="230">
        <v>-27996250</v>
      </c>
      <c r="CY21" s="229">
        <v>-0.27089999999999997</v>
      </c>
      <c r="CZ21" s="228">
        <v>21.03</v>
      </c>
      <c r="DA21" s="228">
        <v>21.81</v>
      </c>
      <c r="DB21" s="228">
        <v>-0.78</v>
      </c>
      <c r="DC21" s="228">
        <v>-0.78</v>
      </c>
      <c r="DD21" s="228">
        <v>29.71</v>
      </c>
      <c r="DE21" s="228">
        <v>29.76</v>
      </c>
      <c r="DF21" s="228">
        <v>-8.68</v>
      </c>
      <c r="DG21" s="228">
        <v>-0.05</v>
      </c>
      <c r="DH21" s="228">
        <v>20.79</v>
      </c>
      <c r="DI21" s="228">
        <v>21.43</v>
      </c>
      <c r="DJ21" s="228">
        <v>-0.64</v>
      </c>
      <c r="DK21" s="228">
        <v>-0.64</v>
      </c>
      <c r="DL21" s="228">
        <v>21.36</v>
      </c>
      <c r="DM21" s="228">
        <v>22.41</v>
      </c>
      <c r="DN21" s="228">
        <v>-1.05</v>
      </c>
      <c r="DO21" s="228">
        <v>-1.05</v>
      </c>
      <c r="DP21" s="228">
        <v>0.85</v>
      </c>
      <c r="DQ21" s="228">
        <v>0.73</v>
      </c>
      <c r="DR21" s="228">
        <v>0.12</v>
      </c>
      <c r="DS21" s="229">
        <v>0.16439999999999999</v>
      </c>
      <c r="DT21" s="231">
        <v>1280</v>
      </c>
      <c r="DU21" s="231">
        <v>1280</v>
      </c>
      <c r="DV21" s="228">
        <v>0.76</v>
      </c>
      <c r="DW21" s="228">
        <v>0.39</v>
      </c>
      <c r="DX21" s="228">
        <v>0.37</v>
      </c>
      <c r="DY21" s="229">
        <v>0.94869999999999999</v>
      </c>
      <c r="DZ21" s="229">
        <v>0.90849999999999997</v>
      </c>
      <c r="EA21" s="230">
        <v>63002500</v>
      </c>
      <c r="EB21" s="229">
        <v>8.6E-3</v>
      </c>
      <c r="EC21" s="229">
        <v>0.90849999999999997</v>
      </c>
      <c r="ED21" s="228">
        <v>10.029999999999999</v>
      </c>
      <c r="EE21" s="229">
        <v>7.7000000000000002E-3</v>
      </c>
      <c r="EF21" s="230">
        <v>2490710</v>
      </c>
      <c r="EG21" s="230">
        <v>4235258</v>
      </c>
      <c r="EH21" s="229">
        <v>-0.41189999999999999</v>
      </c>
      <c r="EI21" s="229">
        <v>0.37909999999999999</v>
      </c>
      <c r="EJ21" s="231">
        <v>333432.46000000002</v>
      </c>
      <c r="EK21" s="231">
        <v>245117.03</v>
      </c>
      <c r="EL21" s="231">
        <v>244474.39</v>
      </c>
      <c r="EM21" s="231">
        <v>40736</v>
      </c>
      <c r="EN21" s="231">
        <v>823023.88</v>
      </c>
      <c r="EO21" s="231">
        <v>1577700.61</v>
      </c>
      <c r="EP21" s="231">
        <v>-754676.73</v>
      </c>
      <c r="EQ21" s="229">
        <v>-0.4783</v>
      </c>
      <c r="ER21" s="231">
        <v>63515</v>
      </c>
      <c r="ES21" s="231">
        <v>51467</v>
      </c>
      <c r="ET21" s="231">
        <v>869659</v>
      </c>
      <c r="EU21" s="231">
        <v>331596880</v>
      </c>
      <c r="EV21" s="231">
        <v>984642</v>
      </c>
      <c r="EW21" s="231">
        <v>1353324</v>
      </c>
      <c r="EX21" s="231">
        <v>-368682</v>
      </c>
      <c r="EY21" s="229">
        <v>-0.27239999999999998</v>
      </c>
      <c r="EZ21" s="229">
        <v>0.22720000000000001</v>
      </c>
      <c r="FA21" s="227" t="s">
        <v>567</v>
      </c>
      <c r="FB21" s="161">
        <f t="shared" si="0"/>
        <v>59801250</v>
      </c>
    </row>
    <row r="22" spans="1:158" ht="17.25" thickBot="1" x14ac:dyDescent="0.3">
      <c r="A22" s="226">
        <v>46168</v>
      </c>
      <c r="B22" s="227" t="s">
        <v>162</v>
      </c>
      <c r="C22" s="227" t="s">
        <v>174</v>
      </c>
      <c r="D22" s="228">
        <v>75</v>
      </c>
      <c r="E22" s="231">
        <v>10292</v>
      </c>
      <c r="F22" s="231">
        <v>10242.5</v>
      </c>
      <c r="G22" s="228">
        <v>49.5</v>
      </c>
      <c r="H22" s="229">
        <v>4.7999999999999996E-3</v>
      </c>
      <c r="I22" s="231">
        <v>10593</v>
      </c>
      <c r="J22" s="231">
        <v>10491</v>
      </c>
      <c r="K22" s="228">
        <v>102</v>
      </c>
      <c r="L22" s="229">
        <v>9.7000000000000003E-3</v>
      </c>
      <c r="M22" s="231">
        <v>10573</v>
      </c>
      <c r="N22" s="231">
        <v>10461</v>
      </c>
      <c r="O22" s="228">
        <v>112</v>
      </c>
      <c r="P22" s="229">
        <v>1.0699999999999999E-2</v>
      </c>
      <c r="Q22" s="231">
        <v>10292</v>
      </c>
      <c r="R22" s="231">
        <v>10242.5</v>
      </c>
      <c r="S22" s="228">
        <v>49.5</v>
      </c>
      <c r="T22" s="229">
        <v>4.7999999999999996E-3</v>
      </c>
      <c r="U22" s="231">
        <v>10130.5</v>
      </c>
      <c r="V22" s="231">
        <v>10147</v>
      </c>
      <c r="W22" s="228">
        <v>-16.5</v>
      </c>
      <c r="X22" s="229">
        <v>-1.6000000000000001E-3</v>
      </c>
      <c r="Y22" s="228">
        <v>-301</v>
      </c>
      <c r="Z22" s="228">
        <v>-30</v>
      </c>
      <c r="AA22" s="228">
        <v>-271</v>
      </c>
      <c r="AB22" s="229">
        <v>-2.8400000000000002E-2</v>
      </c>
      <c r="AC22" s="228">
        <v>-20</v>
      </c>
      <c r="AD22" s="228">
        <v>-30</v>
      </c>
      <c r="AE22" s="228">
        <v>10</v>
      </c>
      <c r="AF22" s="229">
        <v>-1.9E-3</v>
      </c>
      <c r="AG22" s="228">
        <v>-301</v>
      </c>
      <c r="AH22" s="228">
        <v>-248.5</v>
      </c>
      <c r="AI22" s="228">
        <v>-52.5</v>
      </c>
      <c r="AJ22" s="229">
        <v>-2.8400000000000002E-2</v>
      </c>
      <c r="AK22" s="228">
        <v>-462.5</v>
      </c>
      <c r="AL22" s="228">
        <v>-344</v>
      </c>
      <c r="AM22" s="228">
        <v>-118.5</v>
      </c>
      <c r="AN22" s="229">
        <v>-4.3700000000000003E-2</v>
      </c>
      <c r="AO22" s="231">
        <v>10546</v>
      </c>
      <c r="AP22" s="231">
        <v>10298.41</v>
      </c>
      <c r="AQ22" s="228">
        <v>0</v>
      </c>
      <c r="AR22" s="230">
        <v>1305600</v>
      </c>
      <c r="AS22" s="230">
        <v>1904625</v>
      </c>
      <c r="AT22" s="230">
        <v>-599025</v>
      </c>
      <c r="AU22" s="229">
        <v>-0.3145</v>
      </c>
      <c r="AV22" s="230">
        <v>574425</v>
      </c>
      <c r="AW22" s="230">
        <v>858150</v>
      </c>
      <c r="AX22" s="230">
        <v>-283725</v>
      </c>
      <c r="AY22" s="229">
        <v>-0.3306</v>
      </c>
      <c r="AZ22" s="230">
        <v>718050</v>
      </c>
      <c r="BA22" s="230">
        <v>1034850</v>
      </c>
      <c r="BB22" s="230">
        <v>-316800</v>
      </c>
      <c r="BC22" s="229">
        <v>-0.30609999999999998</v>
      </c>
      <c r="BD22" s="230">
        <v>13125</v>
      </c>
      <c r="BE22" s="230">
        <v>11625</v>
      </c>
      <c r="BF22" s="230">
        <v>1500</v>
      </c>
      <c r="BG22" s="229">
        <v>0.129</v>
      </c>
      <c r="BH22" s="230">
        <v>3198825</v>
      </c>
      <c r="BI22" s="230">
        <v>6726375</v>
      </c>
      <c r="BJ22" s="230">
        <v>-3527550</v>
      </c>
      <c r="BK22" s="229">
        <v>-0.52439999999999998</v>
      </c>
      <c r="BL22" s="230">
        <v>1199850</v>
      </c>
      <c r="BM22" s="230">
        <v>4321950</v>
      </c>
      <c r="BN22" s="230">
        <v>-3122100</v>
      </c>
      <c r="BO22" s="229">
        <v>-0.72240000000000004</v>
      </c>
      <c r="BP22" s="230">
        <v>5704275</v>
      </c>
      <c r="BQ22" s="230">
        <v>12952950</v>
      </c>
      <c r="BR22" s="230">
        <v>-7248675</v>
      </c>
      <c r="BS22" s="229">
        <v>-0.55959999999999999</v>
      </c>
      <c r="BT22" s="230">
        <v>570808</v>
      </c>
      <c r="BU22" s="230">
        <v>583665</v>
      </c>
      <c r="BV22" s="230">
        <v>-12857</v>
      </c>
      <c r="BW22" s="229">
        <v>-2.1999999999999999E-2</v>
      </c>
      <c r="BX22" s="230">
        <v>2410575</v>
      </c>
      <c r="BY22" s="230">
        <v>2761725</v>
      </c>
      <c r="BZ22" s="230">
        <v>-351150</v>
      </c>
      <c r="CA22" s="229">
        <v>-0.12709999999999999</v>
      </c>
      <c r="CB22" s="230">
        <v>469950</v>
      </c>
      <c r="CC22" s="230">
        <v>749025</v>
      </c>
      <c r="CD22" s="230">
        <v>-279075</v>
      </c>
      <c r="CE22" s="229">
        <v>-0.37259999999999999</v>
      </c>
      <c r="CF22" s="230">
        <v>2384400</v>
      </c>
      <c r="CG22" s="230">
        <v>1988775</v>
      </c>
      <c r="CH22" s="230">
        <v>395625</v>
      </c>
      <c r="CI22" s="229">
        <v>0.19889999999999999</v>
      </c>
      <c r="CJ22" s="230">
        <v>26175</v>
      </c>
      <c r="CK22" s="230">
        <v>23925</v>
      </c>
      <c r="CL22" s="230">
        <v>2250</v>
      </c>
      <c r="CM22" s="229">
        <v>9.4E-2</v>
      </c>
      <c r="CN22" s="230">
        <v>826500</v>
      </c>
      <c r="CO22" s="230">
        <v>2242275</v>
      </c>
      <c r="CP22" s="230">
        <v>-1415775</v>
      </c>
      <c r="CQ22" s="229">
        <v>-0.63139999999999996</v>
      </c>
      <c r="CR22" s="230">
        <v>381000</v>
      </c>
      <c r="CS22" s="230">
        <v>1351575</v>
      </c>
      <c r="CT22" s="230">
        <v>-970575</v>
      </c>
      <c r="CU22" s="229">
        <v>-0.71809999999999996</v>
      </c>
      <c r="CV22" s="230">
        <v>3618075</v>
      </c>
      <c r="CW22" s="230">
        <v>6355575</v>
      </c>
      <c r="CX22" s="230">
        <v>-2737500</v>
      </c>
      <c r="CY22" s="229">
        <v>-0.43070000000000003</v>
      </c>
      <c r="CZ22" s="228">
        <v>23.18</v>
      </c>
      <c r="DA22" s="228">
        <v>24.11</v>
      </c>
      <c r="DB22" s="228">
        <v>-0.93</v>
      </c>
      <c r="DC22" s="228">
        <v>-0.93</v>
      </c>
      <c r="DD22" s="228">
        <v>29.99</v>
      </c>
      <c r="DE22" s="228">
        <v>30.04</v>
      </c>
      <c r="DF22" s="228">
        <v>-6.81</v>
      </c>
      <c r="DG22" s="228">
        <v>-0.05</v>
      </c>
      <c r="DH22" s="228">
        <v>23.36</v>
      </c>
      <c r="DI22" s="228">
        <v>24.44</v>
      </c>
      <c r="DJ22" s="228">
        <v>-1.08</v>
      </c>
      <c r="DK22" s="228">
        <v>-1.08</v>
      </c>
      <c r="DL22" s="228">
        <v>22.76</v>
      </c>
      <c r="DM22" s="228">
        <v>23.41</v>
      </c>
      <c r="DN22" s="228">
        <v>-0.65</v>
      </c>
      <c r="DO22" s="228">
        <v>-0.65</v>
      </c>
      <c r="DP22" s="228">
        <v>0.46</v>
      </c>
      <c r="DQ22" s="228">
        <v>0.6</v>
      </c>
      <c r="DR22" s="228">
        <v>-0.14000000000000001</v>
      </c>
      <c r="DS22" s="229">
        <v>-0.23330000000000001</v>
      </c>
      <c r="DT22" s="231">
        <v>10400</v>
      </c>
      <c r="DU22" s="231">
        <v>10000</v>
      </c>
      <c r="DV22" s="228">
        <v>0.38</v>
      </c>
      <c r="DW22" s="228">
        <v>0.64</v>
      </c>
      <c r="DX22" s="228">
        <v>-0.26</v>
      </c>
      <c r="DY22" s="229">
        <v>-0.40629999999999999</v>
      </c>
      <c r="DZ22" s="229">
        <v>0.83689999999999998</v>
      </c>
      <c r="EA22" s="230">
        <v>2012700</v>
      </c>
      <c r="EB22" s="229">
        <v>-2.6599999999999999E-2</v>
      </c>
      <c r="EC22" s="229">
        <v>0.83689999999999998</v>
      </c>
      <c r="ED22" s="228">
        <v>-247.59</v>
      </c>
      <c r="EE22" s="229">
        <v>-2.35E-2</v>
      </c>
      <c r="EF22" s="230">
        <v>301565</v>
      </c>
      <c r="EG22" s="230">
        <v>269195</v>
      </c>
      <c r="EH22" s="229">
        <v>0.1202</v>
      </c>
      <c r="EI22" s="229">
        <v>0.52829999999999999</v>
      </c>
      <c r="EJ22" s="231">
        <v>344716.56</v>
      </c>
      <c r="EK22" s="231">
        <v>123448.35</v>
      </c>
      <c r="EL22" s="231">
        <v>135861.84</v>
      </c>
      <c r="EM22" s="231">
        <v>17012</v>
      </c>
      <c r="EN22" s="231">
        <v>604026.75</v>
      </c>
      <c r="EO22" s="231">
        <v>1367471.57</v>
      </c>
      <c r="EP22" s="231">
        <v>-763444.82</v>
      </c>
      <c r="EQ22" s="229">
        <v>-0.55830000000000002</v>
      </c>
      <c r="ER22" s="231">
        <v>88331</v>
      </c>
      <c r="ES22" s="231">
        <v>37743</v>
      </c>
      <c r="ET22" s="231">
        <v>248054</v>
      </c>
      <c r="EU22" s="231">
        <v>12553818</v>
      </c>
      <c r="EV22" s="231">
        <v>374128</v>
      </c>
      <c r="EW22" s="231">
        <v>654925</v>
      </c>
      <c r="EX22" s="231">
        <v>-280797</v>
      </c>
      <c r="EY22" s="229">
        <v>-0.42870000000000003</v>
      </c>
      <c r="EZ22" s="229">
        <v>0.28820000000000001</v>
      </c>
      <c r="FA22" s="227" t="s">
        <v>691</v>
      </c>
      <c r="FB22" s="161">
        <f t="shared" si="0"/>
        <v>1940625</v>
      </c>
    </row>
    <row r="23" spans="1:158" ht="17.25" thickBot="1" x14ac:dyDescent="0.3">
      <c r="A23" s="226">
        <v>46168</v>
      </c>
      <c r="B23" s="227" t="s">
        <v>175</v>
      </c>
      <c r="C23" s="227" t="s">
        <v>176</v>
      </c>
      <c r="D23" s="228">
        <v>250</v>
      </c>
      <c r="E23" s="231">
        <v>1810.6</v>
      </c>
      <c r="F23" s="231">
        <v>1818.2</v>
      </c>
      <c r="G23" s="228">
        <v>-7.6</v>
      </c>
      <c r="H23" s="229">
        <v>-4.1999999999999997E-3</v>
      </c>
      <c r="I23" s="231">
        <v>1800.7</v>
      </c>
      <c r="J23" s="231">
        <v>1807.4</v>
      </c>
      <c r="K23" s="228">
        <v>-6.7</v>
      </c>
      <c r="L23" s="229">
        <v>-3.7000000000000002E-3</v>
      </c>
      <c r="M23" s="231">
        <v>1798.3</v>
      </c>
      <c r="N23" s="231">
        <v>1806.2</v>
      </c>
      <c r="O23" s="228">
        <v>-7.9</v>
      </c>
      <c r="P23" s="229">
        <v>-4.4000000000000003E-3</v>
      </c>
      <c r="Q23" s="231">
        <v>1810.6</v>
      </c>
      <c r="R23" s="231">
        <v>1818.2</v>
      </c>
      <c r="S23" s="228">
        <v>-7.6</v>
      </c>
      <c r="T23" s="229">
        <v>-4.1999999999999997E-3</v>
      </c>
      <c r="U23" s="231">
        <v>1822.6</v>
      </c>
      <c r="V23" s="231">
        <v>1830.5</v>
      </c>
      <c r="W23" s="228">
        <v>-7.9</v>
      </c>
      <c r="X23" s="229">
        <v>-4.3E-3</v>
      </c>
      <c r="Y23" s="228">
        <v>9.9</v>
      </c>
      <c r="Z23" s="228">
        <v>-1.2</v>
      </c>
      <c r="AA23" s="228">
        <v>11.1</v>
      </c>
      <c r="AB23" s="229">
        <v>5.4999999999999997E-3</v>
      </c>
      <c r="AC23" s="228">
        <v>-2.4</v>
      </c>
      <c r="AD23" s="228">
        <v>-1.2</v>
      </c>
      <c r="AE23" s="228">
        <v>-1.2</v>
      </c>
      <c r="AF23" s="229">
        <v>-1.2999999999999999E-3</v>
      </c>
      <c r="AG23" s="228">
        <v>9.9</v>
      </c>
      <c r="AH23" s="228">
        <v>10.8</v>
      </c>
      <c r="AI23" s="228">
        <v>-0.9</v>
      </c>
      <c r="AJ23" s="229">
        <v>5.4999999999999997E-3</v>
      </c>
      <c r="AK23" s="228">
        <v>21.9</v>
      </c>
      <c r="AL23" s="228">
        <v>23.1</v>
      </c>
      <c r="AM23" s="228">
        <v>-1.2</v>
      </c>
      <c r="AN23" s="229">
        <v>1.2200000000000001E-2</v>
      </c>
      <c r="AO23" s="231">
        <v>1801.1</v>
      </c>
      <c r="AP23" s="231">
        <v>1814.89</v>
      </c>
      <c r="AQ23" s="228">
        <v>0</v>
      </c>
      <c r="AR23" s="230">
        <v>2699000</v>
      </c>
      <c r="AS23" s="230">
        <v>6387500</v>
      </c>
      <c r="AT23" s="230">
        <v>-3688500</v>
      </c>
      <c r="AU23" s="229">
        <v>-0.57750000000000001</v>
      </c>
      <c r="AV23" s="230">
        <v>1410000</v>
      </c>
      <c r="AW23" s="230">
        <v>3374500</v>
      </c>
      <c r="AX23" s="230">
        <v>-1964500</v>
      </c>
      <c r="AY23" s="229">
        <v>-0.58220000000000005</v>
      </c>
      <c r="AZ23" s="230">
        <v>1273250</v>
      </c>
      <c r="BA23" s="230">
        <v>2978500</v>
      </c>
      <c r="BB23" s="230">
        <v>-1705250</v>
      </c>
      <c r="BC23" s="229">
        <v>-0.57250000000000001</v>
      </c>
      <c r="BD23" s="230">
        <v>15750</v>
      </c>
      <c r="BE23" s="230">
        <v>34500</v>
      </c>
      <c r="BF23" s="230">
        <v>-18750</v>
      </c>
      <c r="BG23" s="229">
        <v>-0.54349999999999998</v>
      </c>
      <c r="BH23" s="230">
        <v>3860750</v>
      </c>
      <c r="BI23" s="230">
        <v>9537000</v>
      </c>
      <c r="BJ23" s="230">
        <v>-5676250</v>
      </c>
      <c r="BK23" s="229">
        <v>-0.59519999999999995</v>
      </c>
      <c r="BL23" s="230">
        <v>2365250</v>
      </c>
      <c r="BM23" s="230">
        <v>6657000</v>
      </c>
      <c r="BN23" s="230">
        <v>-4291750</v>
      </c>
      <c r="BO23" s="229">
        <v>-0.64470000000000005</v>
      </c>
      <c r="BP23" s="230">
        <v>8925000</v>
      </c>
      <c r="BQ23" s="230">
        <v>22581500</v>
      </c>
      <c r="BR23" s="230">
        <v>-13656500</v>
      </c>
      <c r="BS23" s="229">
        <v>-0.6048</v>
      </c>
      <c r="BT23" s="230">
        <v>831648</v>
      </c>
      <c r="BU23" s="230">
        <v>474942</v>
      </c>
      <c r="BV23" s="230">
        <v>356706</v>
      </c>
      <c r="BW23" s="229">
        <v>0.75109999999999999</v>
      </c>
      <c r="BX23" s="230">
        <v>11029800</v>
      </c>
      <c r="BY23" s="230">
        <v>12079850</v>
      </c>
      <c r="BZ23" s="230">
        <v>-1050050</v>
      </c>
      <c r="CA23" s="229">
        <v>-8.6900000000000005E-2</v>
      </c>
      <c r="CB23" s="230">
        <v>1613750</v>
      </c>
      <c r="CC23" s="230">
        <v>1713750</v>
      </c>
      <c r="CD23" s="230">
        <v>-100000</v>
      </c>
      <c r="CE23" s="229">
        <v>-5.8400000000000001E-2</v>
      </c>
      <c r="CF23" s="230">
        <v>9247500</v>
      </c>
      <c r="CG23" s="230">
        <v>8592500</v>
      </c>
      <c r="CH23" s="230">
        <v>655000</v>
      </c>
      <c r="CI23" s="229">
        <v>7.6200000000000004E-2</v>
      </c>
      <c r="CJ23" s="230">
        <v>1782300</v>
      </c>
      <c r="CK23" s="230">
        <v>1773600</v>
      </c>
      <c r="CL23" s="230">
        <v>8700</v>
      </c>
      <c r="CM23" s="229">
        <v>4.8999999999999998E-3</v>
      </c>
      <c r="CN23" s="230">
        <v>1418250</v>
      </c>
      <c r="CO23" s="230">
        <v>6243000</v>
      </c>
      <c r="CP23" s="230">
        <v>-4824750</v>
      </c>
      <c r="CQ23" s="229">
        <v>-0.77280000000000004</v>
      </c>
      <c r="CR23" s="230">
        <v>1617600</v>
      </c>
      <c r="CS23" s="230">
        <v>3633750</v>
      </c>
      <c r="CT23" s="230">
        <v>-2016150</v>
      </c>
      <c r="CU23" s="229">
        <v>-0.55479999999999996</v>
      </c>
      <c r="CV23" s="230">
        <v>14065650</v>
      </c>
      <c r="CW23" s="230">
        <v>21956600</v>
      </c>
      <c r="CX23" s="230">
        <v>-7890950</v>
      </c>
      <c r="CY23" s="229">
        <v>-0.3594</v>
      </c>
      <c r="CZ23" s="228">
        <v>22.33</v>
      </c>
      <c r="DA23" s="228">
        <v>23.19</v>
      </c>
      <c r="DB23" s="228">
        <v>-0.86</v>
      </c>
      <c r="DC23" s="228">
        <v>-0.86</v>
      </c>
      <c r="DD23" s="228">
        <v>30.07</v>
      </c>
      <c r="DE23" s="228">
        <v>30.14</v>
      </c>
      <c r="DF23" s="228">
        <v>-7.74</v>
      </c>
      <c r="DG23" s="228">
        <v>-7.0000000000000007E-2</v>
      </c>
      <c r="DH23" s="228">
        <v>21.58</v>
      </c>
      <c r="DI23" s="228">
        <v>22.64</v>
      </c>
      <c r="DJ23" s="228">
        <v>-1.06</v>
      </c>
      <c r="DK23" s="228">
        <v>-1.06</v>
      </c>
      <c r="DL23" s="228">
        <v>23.25</v>
      </c>
      <c r="DM23" s="228">
        <v>24.02</v>
      </c>
      <c r="DN23" s="228">
        <v>-0.77</v>
      </c>
      <c r="DO23" s="228">
        <v>-0.77</v>
      </c>
      <c r="DP23" s="228">
        <v>1.1399999999999999</v>
      </c>
      <c r="DQ23" s="228">
        <v>0.57999999999999996</v>
      </c>
      <c r="DR23" s="228">
        <v>0.56000000000000005</v>
      </c>
      <c r="DS23" s="229">
        <v>0.96550000000000002</v>
      </c>
      <c r="DT23" s="231">
        <v>1860</v>
      </c>
      <c r="DU23" s="231">
        <v>1700</v>
      </c>
      <c r="DV23" s="228">
        <v>0.61</v>
      </c>
      <c r="DW23" s="228">
        <v>0.7</v>
      </c>
      <c r="DX23" s="228">
        <v>-0.09</v>
      </c>
      <c r="DY23" s="229">
        <v>-0.12859999999999999</v>
      </c>
      <c r="DZ23" s="229">
        <v>0.87239999999999995</v>
      </c>
      <c r="EA23" s="230">
        <v>10366100</v>
      </c>
      <c r="EB23" s="229">
        <v>6.7999999999999996E-3</v>
      </c>
      <c r="EC23" s="229">
        <v>0.87239999999999995</v>
      </c>
      <c r="ED23" s="228">
        <v>13.79</v>
      </c>
      <c r="EE23" s="229">
        <v>7.7000000000000002E-3</v>
      </c>
      <c r="EF23" s="230">
        <v>452899</v>
      </c>
      <c r="EG23" s="230">
        <v>188578</v>
      </c>
      <c r="EH23" s="229">
        <v>1.4016999999999999</v>
      </c>
      <c r="EI23" s="229">
        <v>0.54459999999999997</v>
      </c>
      <c r="EJ23" s="231">
        <v>72209.34</v>
      </c>
      <c r="EK23" s="231">
        <v>43468.55</v>
      </c>
      <c r="EL23" s="231">
        <v>48848.82</v>
      </c>
      <c r="EM23" s="231">
        <v>17468</v>
      </c>
      <c r="EN23" s="231">
        <v>164526.71</v>
      </c>
      <c r="EO23" s="231">
        <v>408282.62</v>
      </c>
      <c r="EP23" s="231">
        <v>-243755.91</v>
      </c>
      <c r="EQ23" s="229">
        <v>-0.59699999999999998</v>
      </c>
      <c r="ER23" s="231">
        <v>26227</v>
      </c>
      <c r="ES23" s="231">
        <v>29031</v>
      </c>
      <c r="ET23" s="231">
        <v>199919</v>
      </c>
      <c r="EU23" s="231">
        <v>65784745</v>
      </c>
      <c r="EV23" s="231">
        <v>255177</v>
      </c>
      <c r="EW23" s="231">
        <v>397529</v>
      </c>
      <c r="EX23" s="231">
        <v>-142352</v>
      </c>
      <c r="EY23" s="229">
        <v>-0.35809999999999997</v>
      </c>
      <c r="EZ23" s="229">
        <v>0.21379999999999999</v>
      </c>
      <c r="FA23" s="227" t="s">
        <v>567</v>
      </c>
      <c r="FB23" s="161">
        <f t="shared" si="0"/>
        <v>9416050</v>
      </c>
    </row>
    <row r="24" spans="1:158" ht="17.25" thickBot="1" x14ac:dyDescent="0.3">
      <c r="A24" s="226">
        <v>46168</v>
      </c>
      <c r="B24" s="227" t="s">
        <v>175</v>
      </c>
      <c r="C24" s="227" t="s">
        <v>687</v>
      </c>
      <c r="D24" s="228">
        <v>50</v>
      </c>
      <c r="E24" s="231">
        <v>10629</v>
      </c>
      <c r="F24" s="231">
        <v>10612</v>
      </c>
      <c r="G24" s="228">
        <v>17</v>
      </c>
      <c r="H24" s="229">
        <v>1.6000000000000001E-3</v>
      </c>
      <c r="I24" s="231">
        <v>10705</v>
      </c>
      <c r="J24" s="231">
        <v>10642</v>
      </c>
      <c r="K24" s="228">
        <v>63</v>
      </c>
      <c r="L24" s="229">
        <v>5.8999999999999999E-3</v>
      </c>
      <c r="M24" s="231">
        <v>10686</v>
      </c>
      <c r="N24" s="231">
        <v>10680</v>
      </c>
      <c r="O24" s="228">
        <v>6</v>
      </c>
      <c r="P24" s="229">
        <v>5.9999999999999995E-4</v>
      </c>
      <c r="Q24" s="231">
        <v>10629</v>
      </c>
      <c r="R24" s="231">
        <v>10612</v>
      </c>
      <c r="S24" s="228">
        <v>17</v>
      </c>
      <c r="T24" s="229">
        <v>1.6000000000000001E-3</v>
      </c>
      <c r="U24" s="231">
        <v>10676</v>
      </c>
      <c r="V24" s="231">
        <v>10640</v>
      </c>
      <c r="W24" s="228">
        <v>36</v>
      </c>
      <c r="X24" s="229">
        <v>3.3999999999999998E-3</v>
      </c>
      <c r="Y24" s="228">
        <v>-76</v>
      </c>
      <c r="Z24" s="228">
        <v>38</v>
      </c>
      <c r="AA24" s="228">
        <v>-114</v>
      </c>
      <c r="AB24" s="229">
        <v>-7.1000000000000004E-3</v>
      </c>
      <c r="AC24" s="228">
        <v>-19</v>
      </c>
      <c r="AD24" s="228">
        <v>38</v>
      </c>
      <c r="AE24" s="228">
        <v>-57</v>
      </c>
      <c r="AF24" s="229">
        <v>-1.8E-3</v>
      </c>
      <c r="AG24" s="228">
        <v>-76</v>
      </c>
      <c r="AH24" s="228">
        <v>-30</v>
      </c>
      <c r="AI24" s="228">
        <v>-46</v>
      </c>
      <c r="AJ24" s="229">
        <v>-7.1000000000000004E-3</v>
      </c>
      <c r="AK24" s="228">
        <v>-29</v>
      </c>
      <c r="AL24" s="228">
        <v>-2</v>
      </c>
      <c r="AM24" s="228">
        <v>-27</v>
      </c>
      <c r="AN24" s="229">
        <v>-2.7000000000000001E-3</v>
      </c>
      <c r="AO24" s="231">
        <v>10787.37</v>
      </c>
      <c r="AP24" s="231">
        <v>10705.15</v>
      </c>
      <c r="AQ24" s="228">
        <v>0</v>
      </c>
      <c r="AR24" s="230">
        <v>149050</v>
      </c>
      <c r="AS24" s="230">
        <v>225150</v>
      </c>
      <c r="AT24" s="230">
        <v>-76100</v>
      </c>
      <c r="AU24" s="229">
        <v>-0.33800000000000002</v>
      </c>
      <c r="AV24" s="230">
        <v>72050</v>
      </c>
      <c r="AW24" s="230">
        <v>109600</v>
      </c>
      <c r="AX24" s="230">
        <v>-37550</v>
      </c>
      <c r="AY24" s="229">
        <v>-0.34260000000000002</v>
      </c>
      <c r="AZ24" s="230">
        <v>76500</v>
      </c>
      <c r="BA24" s="230">
        <v>115050</v>
      </c>
      <c r="BB24" s="230">
        <v>-38550</v>
      </c>
      <c r="BC24" s="229">
        <v>-0.33510000000000001</v>
      </c>
      <c r="BD24" s="228">
        <v>500</v>
      </c>
      <c r="BE24" s="228">
        <v>500</v>
      </c>
      <c r="BF24" s="228">
        <v>0</v>
      </c>
      <c r="BG24" s="229">
        <v>0</v>
      </c>
      <c r="BH24" s="230">
        <v>179000</v>
      </c>
      <c r="BI24" s="230">
        <v>268400</v>
      </c>
      <c r="BJ24" s="230">
        <v>-89400</v>
      </c>
      <c r="BK24" s="229">
        <v>-0.33310000000000001</v>
      </c>
      <c r="BL24" s="230">
        <v>131900</v>
      </c>
      <c r="BM24" s="230">
        <v>235950</v>
      </c>
      <c r="BN24" s="230">
        <v>-104050</v>
      </c>
      <c r="BO24" s="229">
        <v>-0.441</v>
      </c>
      <c r="BP24" s="230">
        <v>459950</v>
      </c>
      <c r="BQ24" s="230">
        <v>729500</v>
      </c>
      <c r="BR24" s="230">
        <v>-269550</v>
      </c>
      <c r="BS24" s="229">
        <v>-0.3695</v>
      </c>
      <c r="BT24" s="230">
        <v>48371</v>
      </c>
      <c r="BU24" s="230">
        <v>41370</v>
      </c>
      <c r="BV24" s="230">
        <v>7001</v>
      </c>
      <c r="BW24" s="229">
        <v>0.16919999999999999</v>
      </c>
      <c r="BX24" s="230">
        <v>273750</v>
      </c>
      <c r="BY24" s="230">
        <v>302800</v>
      </c>
      <c r="BZ24" s="230">
        <v>-29050</v>
      </c>
      <c r="CA24" s="229">
        <v>-9.5899999999999999E-2</v>
      </c>
      <c r="CB24" s="230">
        <v>42700</v>
      </c>
      <c r="CC24" s="230">
        <v>64700</v>
      </c>
      <c r="CD24" s="230">
        <v>-22000</v>
      </c>
      <c r="CE24" s="229">
        <v>-0.34</v>
      </c>
      <c r="CF24" s="230">
        <v>272400</v>
      </c>
      <c r="CG24" s="230">
        <v>237050</v>
      </c>
      <c r="CH24" s="230">
        <v>35350</v>
      </c>
      <c r="CI24" s="229">
        <v>0.14910000000000001</v>
      </c>
      <c r="CJ24" s="230">
        <v>1350</v>
      </c>
      <c r="CK24" s="230">
        <v>1050</v>
      </c>
      <c r="CL24" s="228">
        <v>300</v>
      </c>
      <c r="CM24" s="229">
        <v>0.28570000000000001</v>
      </c>
      <c r="CN24" s="230">
        <v>17450</v>
      </c>
      <c r="CO24" s="230">
        <v>85100</v>
      </c>
      <c r="CP24" s="230">
        <v>-67650</v>
      </c>
      <c r="CQ24" s="229">
        <v>-0.79490000000000005</v>
      </c>
      <c r="CR24" s="230">
        <v>12450</v>
      </c>
      <c r="CS24" s="230">
        <v>51050</v>
      </c>
      <c r="CT24" s="230">
        <v>-38600</v>
      </c>
      <c r="CU24" s="229">
        <v>-0.75609999999999999</v>
      </c>
      <c r="CV24" s="230">
        <v>303650</v>
      </c>
      <c r="CW24" s="230">
        <v>438950</v>
      </c>
      <c r="CX24" s="230">
        <v>-135300</v>
      </c>
      <c r="CY24" s="229">
        <v>-0.30819999999999997</v>
      </c>
      <c r="CZ24" s="228">
        <v>31.79</v>
      </c>
      <c r="DA24" s="228">
        <v>31.12</v>
      </c>
      <c r="DB24" s="228">
        <v>0.67</v>
      </c>
      <c r="DC24" s="228">
        <v>0.67</v>
      </c>
      <c r="DD24" s="228">
        <v>37.5</v>
      </c>
      <c r="DE24" s="228">
        <v>37.590000000000003</v>
      </c>
      <c r="DF24" s="228">
        <v>-5.71</v>
      </c>
      <c r="DG24" s="228">
        <v>-0.09</v>
      </c>
      <c r="DH24" s="228">
        <v>31.96</v>
      </c>
      <c r="DI24" s="228">
        <v>30.57</v>
      </c>
      <c r="DJ24" s="228">
        <v>1.39</v>
      </c>
      <c r="DK24" s="228">
        <v>1.39</v>
      </c>
      <c r="DL24" s="228">
        <v>30.74</v>
      </c>
      <c r="DM24" s="228">
        <v>32.020000000000003</v>
      </c>
      <c r="DN24" s="228">
        <v>-1.28</v>
      </c>
      <c r="DO24" s="228">
        <v>-1.28</v>
      </c>
      <c r="DP24" s="228">
        <v>0.71</v>
      </c>
      <c r="DQ24" s="228">
        <v>0.6</v>
      </c>
      <c r="DR24" s="228">
        <v>0.11</v>
      </c>
      <c r="DS24" s="229">
        <v>0.18329999999999999</v>
      </c>
      <c r="DT24" s="231">
        <v>11000</v>
      </c>
      <c r="DU24" s="231">
        <v>10500</v>
      </c>
      <c r="DV24" s="228">
        <v>0.74</v>
      </c>
      <c r="DW24" s="228">
        <v>0.88</v>
      </c>
      <c r="DX24" s="228">
        <v>-0.14000000000000001</v>
      </c>
      <c r="DY24" s="229">
        <v>-0.15909999999999999</v>
      </c>
      <c r="DZ24" s="229">
        <v>0.86509999999999998</v>
      </c>
      <c r="EA24" s="230">
        <v>238100</v>
      </c>
      <c r="EB24" s="229">
        <v>-5.3E-3</v>
      </c>
      <c r="EC24" s="229">
        <v>0.86509999999999998</v>
      </c>
      <c r="ED24" s="228">
        <v>-82.22</v>
      </c>
      <c r="EE24" s="229">
        <v>-7.6E-3</v>
      </c>
      <c r="EF24" s="230">
        <v>19253</v>
      </c>
      <c r="EG24" s="230">
        <v>21437</v>
      </c>
      <c r="EH24" s="229">
        <v>-0.1019</v>
      </c>
      <c r="EI24" s="229">
        <v>0.39800000000000002</v>
      </c>
      <c r="EJ24" s="231">
        <v>19833.95</v>
      </c>
      <c r="EK24" s="231">
        <v>13705.6</v>
      </c>
      <c r="EL24" s="231">
        <v>16042.04</v>
      </c>
      <c r="EM24" s="231">
        <v>2476</v>
      </c>
      <c r="EN24" s="231">
        <v>49581.59</v>
      </c>
      <c r="EO24" s="231">
        <v>77945.850000000006</v>
      </c>
      <c r="EP24" s="231">
        <v>-28364.26</v>
      </c>
      <c r="EQ24" s="229">
        <v>-0.3639</v>
      </c>
      <c r="ER24" s="231">
        <v>1897</v>
      </c>
      <c r="ES24" s="231">
        <v>1243</v>
      </c>
      <c r="ET24" s="231">
        <v>29098</v>
      </c>
      <c r="EU24" s="231">
        <v>5401993</v>
      </c>
      <c r="EV24" s="231">
        <v>32237</v>
      </c>
      <c r="EW24" s="231">
        <v>46631</v>
      </c>
      <c r="EX24" s="231">
        <v>-14394</v>
      </c>
      <c r="EY24" s="229">
        <v>-0.30869999999999997</v>
      </c>
      <c r="EZ24" s="229">
        <v>5.62E-2</v>
      </c>
      <c r="FA24" s="227" t="s">
        <v>691</v>
      </c>
      <c r="FB24" s="161">
        <f t="shared" si="0"/>
        <v>231050</v>
      </c>
    </row>
    <row r="25" spans="1:158" ht="17.25" thickBot="1" x14ac:dyDescent="0.3">
      <c r="A25" s="226">
        <v>46168</v>
      </c>
      <c r="B25" s="227" t="s">
        <v>175</v>
      </c>
      <c r="C25" s="227" t="s">
        <v>177</v>
      </c>
      <c r="D25" s="228">
        <v>750</v>
      </c>
      <c r="E25" s="228">
        <v>928.1</v>
      </c>
      <c r="F25" s="228">
        <v>943.4</v>
      </c>
      <c r="G25" s="228">
        <v>-15.3</v>
      </c>
      <c r="H25" s="229">
        <v>-1.6199999999999999E-2</v>
      </c>
      <c r="I25" s="228">
        <v>930.2</v>
      </c>
      <c r="J25" s="228">
        <v>941.9</v>
      </c>
      <c r="K25" s="228">
        <v>-11.7</v>
      </c>
      <c r="L25" s="229">
        <v>-1.24E-2</v>
      </c>
      <c r="M25" s="228">
        <v>928.55</v>
      </c>
      <c r="N25" s="228">
        <v>944.25</v>
      </c>
      <c r="O25" s="228">
        <v>-15.7</v>
      </c>
      <c r="P25" s="229">
        <v>-1.66E-2</v>
      </c>
      <c r="Q25" s="228">
        <v>928.1</v>
      </c>
      <c r="R25" s="228">
        <v>943.4</v>
      </c>
      <c r="S25" s="228">
        <v>-15.3</v>
      </c>
      <c r="T25" s="229">
        <v>-1.6199999999999999E-2</v>
      </c>
      <c r="U25" s="228">
        <v>934.9</v>
      </c>
      <c r="V25" s="228">
        <v>948.5</v>
      </c>
      <c r="W25" s="228">
        <v>-13.6</v>
      </c>
      <c r="X25" s="229">
        <v>-1.43E-2</v>
      </c>
      <c r="Y25" s="228">
        <v>-2.1</v>
      </c>
      <c r="Z25" s="228">
        <v>2.35</v>
      </c>
      <c r="AA25" s="228">
        <v>-4.45</v>
      </c>
      <c r="AB25" s="229">
        <v>-2.3E-3</v>
      </c>
      <c r="AC25" s="228">
        <v>-1.65</v>
      </c>
      <c r="AD25" s="228">
        <v>2.35</v>
      </c>
      <c r="AE25" s="228">
        <v>-4</v>
      </c>
      <c r="AF25" s="229">
        <v>-1.8E-3</v>
      </c>
      <c r="AG25" s="228">
        <v>-2.1</v>
      </c>
      <c r="AH25" s="228">
        <v>1.5</v>
      </c>
      <c r="AI25" s="228">
        <v>-3.6</v>
      </c>
      <c r="AJ25" s="229">
        <v>-2.3E-3</v>
      </c>
      <c r="AK25" s="228">
        <v>4.7</v>
      </c>
      <c r="AL25" s="228">
        <v>6.6</v>
      </c>
      <c r="AM25" s="228">
        <v>-1.9</v>
      </c>
      <c r="AN25" s="229">
        <v>5.1000000000000004E-3</v>
      </c>
      <c r="AO25" s="228">
        <v>936.62</v>
      </c>
      <c r="AP25" s="228">
        <v>936.34</v>
      </c>
      <c r="AQ25" s="228">
        <v>0</v>
      </c>
      <c r="AR25" s="230">
        <v>13065750</v>
      </c>
      <c r="AS25" s="230">
        <v>33183000</v>
      </c>
      <c r="AT25" s="230">
        <v>-20117250</v>
      </c>
      <c r="AU25" s="229">
        <v>-0.60629999999999995</v>
      </c>
      <c r="AV25" s="230">
        <v>3326250</v>
      </c>
      <c r="AW25" s="230">
        <v>14929500</v>
      </c>
      <c r="AX25" s="230">
        <v>-11603250</v>
      </c>
      <c r="AY25" s="229">
        <v>-0.7772</v>
      </c>
      <c r="AZ25" s="230">
        <v>9497250</v>
      </c>
      <c r="BA25" s="230">
        <v>18030000</v>
      </c>
      <c r="BB25" s="230">
        <v>-8532750</v>
      </c>
      <c r="BC25" s="229">
        <v>-0.4733</v>
      </c>
      <c r="BD25" s="230">
        <v>242250</v>
      </c>
      <c r="BE25" s="230">
        <v>223500</v>
      </c>
      <c r="BF25" s="230">
        <v>18750</v>
      </c>
      <c r="BG25" s="229">
        <v>8.3900000000000002E-2</v>
      </c>
      <c r="BH25" s="230">
        <v>22325250</v>
      </c>
      <c r="BI25" s="230">
        <v>41637750</v>
      </c>
      <c r="BJ25" s="230">
        <v>-19312500</v>
      </c>
      <c r="BK25" s="229">
        <v>-0.46379999999999999</v>
      </c>
      <c r="BL25" s="230">
        <v>12213000</v>
      </c>
      <c r="BM25" s="230">
        <v>21831750</v>
      </c>
      <c r="BN25" s="230">
        <v>-9618750</v>
      </c>
      <c r="BO25" s="229">
        <v>-0.44059999999999999</v>
      </c>
      <c r="BP25" s="230">
        <v>47604000</v>
      </c>
      <c r="BQ25" s="230">
        <v>96652500</v>
      </c>
      <c r="BR25" s="230">
        <v>-49048500</v>
      </c>
      <c r="BS25" s="229">
        <v>-0.50749999999999995</v>
      </c>
      <c r="BT25" s="230">
        <v>8872665</v>
      </c>
      <c r="BU25" s="230">
        <v>7291551</v>
      </c>
      <c r="BV25" s="230">
        <v>1581114</v>
      </c>
      <c r="BW25" s="229">
        <v>0.21679999999999999</v>
      </c>
      <c r="BX25" s="230">
        <v>73353000</v>
      </c>
      <c r="BY25" s="230">
        <v>72893250</v>
      </c>
      <c r="BZ25" s="230">
        <v>459750</v>
      </c>
      <c r="CA25" s="229">
        <v>6.3E-3</v>
      </c>
      <c r="CB25" s="230">
        <v>1193250</v>
      </c>
      <c r="CC25" s="230">
        <v>2592750</v>
      </c>
      <c r="CD25" s="230">
        <v>-1399500</v>
      </c>
      <c r="CE25" s="229">
        <v>-0.53979999999999995</v>
      </c>
      <c r="CF25" s="230">
        <v>72051000</v>
      </c>
      <c r="CG25" s="230">
        <v>69084000</v>
      </c>
      <c r="CH25" s="230">
        <v>2967000</v>
      </c>
      <c r="CI25" s="229">
        <v>4.2900000000000001E-2</v>
      </c>
      <c r="CJ25" s="230">
        <v>1302000</v>
      </c>
      <c r="CK25" s="230">
        <v>1216500</v>
      </c>
      <c r="CL25" s="230">
        <v>85500</v>
      </c>
      <c r="CM25" s="229">
        <v>7.0300000000000001E-2</v>
      </c>
      <c r="CN25" s="230">
        <v>7968750</v>
      </c>
      <c r="CO25" s="230">
        <v>17652000</v>
      </c>
      <c r="CP25" s="230">
        <v>-9683250</v>
      </c>
      <c r="CQ25" s="229">
        <v>-0.54859999999999998</v>
      </c>
      <c r="CR25" s="230">
        <v>7205250</v>
      </c>
      <c r="CS25" s="230">
        <v>13152750</v>
      </c>
      <c r="CT25" s="230">
        <v>-5947500</v>
      </c>
      <c r="CU25" s="229">
        <v>-0.45219999999999999</v>
      </c>
      <c r="CV25" s="230">
        <v>88527000</v>
      </c>
      <c r="CW25" s="230">
        <v>103698000</v>
      </c>
      <c r="CX25" s="230">
        <v>-15171000</v>
      </c>
      <c r="CY25" s="229">
        <v>-0.14630000000000001</v>
      </c>
      <c r="CZ25" s="228">
        <v>25.96</v>
      </c>
      <c r="DA25" s="228">
        <v>26.28</v>
      </c>
      <c r="DB25" s="228">
        <v>-0.32</v>
      </c>
      <c r="DC25" s="228">
        <v>-0.32</v>
      </c>
      <c r="DD25" s="228">
        <v>35.159999999999997</v>
      </c>
      <c r="DE25" s="228">
        <v>35.200000000000003</v>
      </c>
      <c r="DF25" s="228">
        <v>-9.1999999999999993</v>
      </c>
      <c r="DG25" s="228">
        <v>-0.04</v>
      </c>
      <c r="DH25" s="228">
        <v>25.92</v>
      </c>
      <c r="DI25" s="228">
        <v>26.21</v>
      </c>
      <c r="DJ25" s="228">
        <v>-0.28999999999999998</v>
      </c>
      <c r="DK25" s="228">
        <v>-0.28999999999999998</v>
      </c>
      <c r="DL25" s="228">
        <v>26.03</v>
      </c>
      <c r="DM25" s="228">
        <v>26.39</v>
      </c>
      <c r="DN25" s="228">
        <v>-0.36</v>
      </c>
      <c r="DO25" s="228">
        <v>-0.36</v>
      </c>
      <c r="DP25" s="228">
        <v>0.9</v>
      </c>
      <c r="DQ25" s="228">
        <v>0.75</v>
      </c>
      <c r="DR25" s="228">
        <v>0.15</v>
      </c>
      <c r="DS25" s="229">
        <v>0.2</v>
      </c>
      <c r="DT25" s="228">
        <v>950</v>
      </c>
      <c r="DU25" s="228">
        <v>950</v>
      </c>
      <c r="DV25" s="228">
        <v>0.55000000000000004</v>
      </c>
      <c r="DW25" s="228">
        <v>0.52</v>
      </c>
      <c r="DX25" s="228">
        <v>0.03</v>
      </c>
      <c r="DY25" s="229">
        <v>5.7700000000000001E-2</v>
      </c>
      <c r="DZ25" s="229">
        <v>0.98399999999999999</v>
      </c>
      <c r="EA25" s="230">
        <v>70300500</v>
      </c>
      <c r="EB25" s="229">
        <v>-5.0000000000000001E-4</v>
      </c>
      <c r="EC25" s="229">
        <v>0.98399999999999999</v>
      </c>
      <c r="ED25" s="228">
        <v>-0.28000000000000003</v>
      </c>
      <c r="EE25" s="229">
        <v>-2.9999999999999997E-4</v>
      </c>
      <c r="EF25" s="230">
        <v>5240329</v>
      </c>
      <c r="EG25" s="230">
        <v>4090622</v>
      </c>
      <c r="EH25" s="229">
        <v>0.28110000000000002</v>
      </c>
      <c r="EI25" s="229">
        <v>0.59060000000000001</v>
      </c>
      <c r="EJ25" s="231">
        <v>218101.37</v>
      </c>
      <c r="EK25" s="231">
        <v>114149.32</v>
      </c>
      <c r="EL25" s="231">
        <v>122360.09</v>
      </c>
      <c r="EM25" s="231">
        <v>39911</v>
      </c>
      <c r="EN25" s="231">
        <v>454610.78</v>
      </c>
      <c r="EO25" s="231">
        <v>917361.6</v>
      </c>
      <c r="EP25" s="231">
        <v>-462750.82</v>
      </c>
      <c r="EQ25" s="229">
        <v>-0.50439999999999996</v>
      </c>
      <c r="ER25" s="231">
        <v>76321</v>
      </c>
      <c r="ES25" s="231">
        <v>66725</v>
      </c>
      <c r="ET25" s="231">
        <v>680878</v>
      </c>
      <c r="EU25" s="231">
        <v>387962395</v>
      </c>
      <c r="EV25" s="231">
        <v>823924</v>
      </c>
      <c r="EW25" s="231">
        <v>978247</v>
      </c>
      <c r="EX25" s="231">
        <v>-154323</v>
      </c>
      <c r="EY25" s="229">
        <v>-0.1578</v>
      </c>
      <c r="EZ25" s="229">
        <v>0.22819999999999999</v>
      </c>
      <c r="FA25" s="227" t="s">
        <v>566</v>
      </c>
      <c r="FB25" s="161">
        <f t="shared" si="0"/>
        <v>72159750</v>
      </c>
    </row>
    <row r="26" spans="1:158" ht="17.25" thickBot="1" x14ac:dyDescent="0.3">
      <c r="A26" s="226">
        <v>46168</v>
      </c>
      <c r="B26" s="227" t="s">
        <v>172</v>
      </c>
      <c r="C26" s="227" t="s">
        <v>179</v>
      </c>
      <c r="D26" s="228">
        <v>3600</v>
      </c>
      <c r="E26" s="228">
        <v>202.22</v>
      </c>
      <c r="F26" s="228">
        <v>198.9</v>
      </c>
      <c r="G26" s="228">
        <v>3.32</v>
      </c>
      <c r="H26" s="229">
        <v>1.67E-2</v>
      </c>
      <c r="I26" s="228">
        <v>200.4</v>
      </c>
      <c r="J26" s="228">
        <v>196.97</v>
      </c>
      <c r="K26" s="228">
        <v>3.43</v>
      </c>
      <c r="L26" s="229">
        <v>1.7399999999999999E-2</v>
      </c>
      <c r="M26" s="228">
        <v>200.59</v>
      </c>
      <c r="N26" s="228">
        <v>197.52</v>
      </c>
      <c r="O26" s="228">
        <v>3.07</v>
      </c>
      <c r="P26" s="229">
        <v>1.55E-2</v>
      </c>
      <c r="Q26" s="228">
        <v>202.22</v>
      </c>
      <c r="R26" s="228">
        <v>198.9</v>
      </c>
      <c r="S26" s="228">
        <v>3.32</v>
      </c>
      <c r="T26" s="229">
        <v>1.67E-2</v>
      </c>
      <c r="U26" s="228">
        <v>203.84</v>
      </c>
      <c r="V26" s="228">
        <v>199.67</v>
      </c>
      <c r="W26" s="228">
        <v>4.17</v>
      </c>
      <c r="X26" s="229">
        <v>2.0899999999999998E-2</v>
      </c>
      <c r="Y26" s="228">
        <v>1.82</v>
      </c>
      <c r="Z26" s="228">
        <v>0.55000000000000004</v>
      </c>
      <c r="AA26" s="228">
        <v>1.27</v>
      </c>
      <c r="AB26" s="229">
        <v>9.1000000000000004E-3</v>
      </c>
      <c r="AC26" s="228">
        <v>0.19</v>
      </c>
      <c r="AD26" s="228">
        <v>0.55000000000000004</v>
      </c>
      <c r="AE26" s="228">
        <v>-0.36</v>
      </c>
      <c r="AF26" s="229">
        <v>8.9999999999999998E-4</v>
      </c>
      <c r="AG26" s="228">
        <v>1.82</v>
      </c>
      <c r="AH26" s="228">
        <v>1.93</v>
      </c>
      <c r="AI26" s="228">
        <v>-0.11</v>
      </c>
      <c r="AJ26" s="229">
        <v>9.1000000000000004E-3</v>
      </c>
      <c r="AK26" s="228">
        <v>3.44</v>
      </c>
      <c r="AL26" s="228">
        <v>2.7</v>
      </c>
      <c r="AM26" s="228">
        <v>0.74</v>
      </c>
      <c r="AN26" s="229">
        <v>1.72E-2</v>
      </c>
      <c r="AO26" s="228">
        <v>201.42</v>
      </c>
      <c r="AP26" s="228">
        <v>202.84</v>
      </c>
      <c r="AQ26" s="228">
        <v>0</v>
      </c>
      <c r="AR26" s="230">
        <v>48600000</v>
      </c>
      <c r="AS26" s="230">
        <v>69836400</v>
      </c>
      <c r="AT26" s="230">
        <v>-21236400</v>
      </c>
      <c r="AU26" s="229">
        <v>-0.30409999999999998</v>
      </c>
      <c r="AV26" s="230">
        <v>17640000</v>
      </c>
      <c r="AW26" s="230">
        <v>31399200</v>
      </c>
      <c r="AX26" s="230">
        <v>-13759200</v>
      </c>
      <c r="AY26" s="229">
        <v>-0.43819999999999998</v>
      </c>
      <c r="AZ26" s="230">
        <v>30459600</v>
      </c>
      <c r="BA26" s="230">
        <v>38156400</v>
      </c>
      <c r="BB26" s="230">
        <v>-7696800</v>
      </c>
      <c r="BC26" s="229">
        <v>-0.20169999999999999</v>
      </c>
      <c r="BD26" s="230">
        <v>500400</v>
      </c>
      <c r="BE26" s="230">
        <v>280800</v>
      </c>
      <c r="BF26" s="230">
        <v>219600</v>
      </c>
      <c r="BG26" s="229">
        <v>0.78210000000000002</v>
      </c>
      <c r="BH26" s="230">
        <v>68781600</v>
      </c>
      <c r="BI26" s="230">
        <v>38905200</v>
      </c>
      <c r="BJ26" s="230">
        <v>29876400</v>
      </c>
      <c r="BK26" s="229">
        <v>0.76790000000000003</v>
      </c>
      <c r="BL26" s="230">
        <v>22600800</v>
      </c>
      <c r="BM26" s="230">
        <v>14688000</v>
      </c>
      <c r="BN26" s="230">
        <v>7912800</v>
      </c>
      <c r="BO26" s="229">
        <v>0.53869999999999996</v>
      </c>
      <c r="BP26" s="230">
        <v>139982400</v>
      </c>
      <c r="BQ26" s="230">
        <v>123429600</v>
      </c>
      <c r="BR26" s="230">
        <v>16552800</v>
      </c>
      <c r="BS26" s="229">
        <v>0.1341</v>
      </c>
      <c r="BT26" s="230">
        <v>18677546</v>
      </c>
      <c r="BU26" s="230">
        <v>12175856</v>
      </c>
      <c r="BV26" s="230">
        <v>6501690</v>
      </c>
      <c r="BW26" s="229">
        <v>0.53400000000000003</v>
      </c>
      <c r="BX26" s="230">
        <v>103518000</v>
      </c>
      <c r="BY26" s="230">
        <v>101480400</v>
      </c>
      <c r="BZ26" s="230">
        <v>2037600</v>
      </c>
      <c r="CA26" s="229">
        <v>2.01E-2</v>
      </c>
      <c r="CB26" s="230">
        <v>3412800</v>
      </c>
      <c r="CC26" s="230">
        <v>10926000</v>
      </c>
      <c r="CD26" s="230">
        <v>-7513200</v>
      </c>
      <c r="CE26" s="229">
        <v>-0.68759999999999999</v>
      </c>
      <c r="CF26" s="230">
        <v>102229200</v>
      </c>
      <c r="CG26" s="230">
        <v>89568000</v>
      </c>
      <c r="CH26" s="230">
        <v>12661200</v>
      </c>
      <c r="CI26" s="229">
        <v>0.1414</v>
      </c>
      <c r="CJ26" s="230">
        <v>1288800</v>
      </c>
      <c r="CK26" s="230">
        <v>986400</v>
      </c>
      <c r="CL26" s="230">
        <v>302400</v>
      </c>
      <c r="CM26" s="229">
        <v>0.30659999999999998</v>
      </c>
      <c r="CN26" s="230">
        <v>18453600</v>
      </c>
      <c r="CO26" s="230">
        <v>37468800</v>
      </c>
      <c r="CP26" s="230">
        <v>-19015200</v>
      </c>
      <c r="CQ26" s="229">
        <v>-0.50749999999999995</v>
      </c>
      <c r="CR26" s="230">
        <v>11170800</v>
      </c>
      <c r="CS26" s="230">
        <v>24591600</v>
      </c>
      <c r="CT26" s="230">
        <v>-13420800</v>
      </c>
      <c r="CU26" s="229">
        <v>-0.54569999999999996</v>
      </c>
      <c r="CV26" s="230">
        <v>133142400</v>
      </c>
      <c r="CW26" s="230">
        <v>163540800</v>
      </c>
      <c r="CX26" s="230">
        <v>-30398400</v>
      </c>
      <c r="CY26" s="229">
        <v>-0.18590000000000001</v>
      </c>
      <c r="CZ26" s="228">
        <v>32.47</v>
      </c>
      <c r="DA26" s="228">
        <v>35.08</v>
      </c>
      <c r="DB26" s="228">
        <v>-2.61</v>
      </c>
      <c r="DC26" s="228">
        <v>-2.61</v>
      </c>
      <c r="DD26" s="228">
        <v>46.62</v>
      </c>
      <c r="DE26" s="228">
        <v>46.69</v>
      </c>
      <c r="DF26" s="228">
        <v>-14.15</v>
      </c>
      <c r="DG26" s="228">
        <v>-7.0000000000000007E-2</v>
      </c>
      <c r="DH26" s="228">
        <v>32.56</v>
      </c>
      <c r="DI26" s="228">
        <v>35.43</v>
      </c>
      <c r="DJ26" s="228">
        <v>-2.87</v>
      </c>
      <c r="DK26" s="228">
        <v>-2.87</v>
      </c>
      <c r="DL26" s="228">
        <v>32.159999999999997</v>
      </c>
      <c r="DM26" s="228">
        <v>34.31</v>
      </c>
      <c r="DN26" s="228">
        <v>-2.15</v>
      </c>
      <c r="DO26" s="228">
        <v>-2.15</v>
      </c>
      <c r="DP26" s="228">
        <v>0.61</v>
      </c>
      <c r="DQ26" s="228">
        <v>0.66</v>
      </c>
      <c r="DR26" s="228">
        <v>-0.05</v>
      </c>
      <c r="DS26" s="229">
        <v>-7.5800000000000006E-2</v>
      </c>
      <c r="DT26" s="228">
        <v>200</v>
      </c>
      <c r="DU26" s="228">
        <v>200</v>
      </c>
      <c r="DV26" s="228">
        <v>0.33</v>
      </c>
      <c r="DW26" s="228">
        <v>0.38</v>
      </c>
      <c r="DX26" s="228">
        <v>-0.05</v>
      </c>
      <c r="DY26" s="229">
        <v>-0.13159999999999999</v>
      </c>
      <c r="DZ26" s="229">
        <v>0.96809999999999996</v>
      </c>
      <c r="EA26" s="230">
        <v>90554400</v>
      </c>
      <c r="EB26" s="229">
        <v>8.0999999999999996E-3</v>
      </c>
      <c r="EC26" s="229">
        <v>0.96809999999999996</v>
      </c>
      <c r="ED26" s="228">
        <v>1.42</v>
      </c>
      <c r="EE26" s="229">
        <v>7.0000000000000001E-3</v>
      </c>
      <c r="EF26" s="230">
        <v>7604141</v>
      </c>
      <c r="EG26" s="230">
        <v>5265599</v>
      </c>
      <c r="EH26" s="229">
        <v>0.44409999999999999</v>
      </c>
      <c r="EI26" s="229">
        <v>0.40710000000000002</v>
      </c>
      <c r="EJ26" s="231">
        <v>145411</v>
      </c>
      <c r="EK26" s="231">
        <v>44740.11</v>
      </c>
      <c r="EL26" s="231">
        <v>98336.18</v>
      </c>
      <c r="EM26" s="231">
        <v>12033</v>
      </c>
      <c r="EN26" s="231">
        <v>288487.28999999998</v>
      </c>
      <c r="EO26" s="231">
        <v>247974.3</v>
      </c>
      <c r="EP26" s="231">
        <v>40512.99</v>
      </c>
      <c r="EQ26" s="229">
        <v>0.16339999999999999</v>
      </c>
      <c r="ER26" s="231">
        <v>38464</v>
      </c>
      <c r="ES26" s="231">
        <v>21608</v>
      </c>
      <c r="ET26" s="231">
        <v>209355</v>
      </c>
      <c r="EU26" s="231">
        <v>145616308</v>
      </c>
      <c r="EV26" s="231">
        <v>269427</v>
      </c>
      <c r="EW26" s="231">
        <v>324722</v>
      </c>
      <c r="EX26" s="231">
        <v>-55295</v>
      </c>
      <c r="EY26" s="229">
        <v>-0.17030000000000001</v>
      </c>
      <c r="EZ26" s="229">
        <v>0.9143</v>
      </c>
      <c r="FA26" s="227" t="s">
        <v>555</v>
      </c>
      <c r="FB26" s="161">
        <f t="shared" si="0"/>
        <v>100105200</v>
      </c>
    </row>
    <row r="27" spans="1:158" ht="17.25" thickBot="1" x14ac:dyDescent="0.3">
      <c r="A27" s="226">
        <v>46168</v>
      </c>
      <c r="B27" s="227" t="s">
        <v>172</v>
      </c>
      <c r="C27" s="227" t="s">
        <v>180</v>
      </c>
      <c r="D27" s="228">
        <v>2925</v>
      </c>
      <c r="E27" s="228">
        <v>272.85000000000002</v>
      </c>
      <c r="F27" s="228">
        <v>274.55</v>
      </c>
      <c r="G27" s="228">
        <v>-1.7</v>
      </c>
      <c r="H27" s="229">
        <v>-6.1999999999999998E-3</v>
      </c>
      <c r="I27" s="228">
        <v>270.55</v>
      </c>
      <c r="J27" s="228">
        <v>272.25</v>
      </c>
      <c r="K27" s="228">
        <v>-1.7</v>
      </c>
      <c r="L27" s="229">
        <v>-6.1999999999999998E-3</v>
      </c>
      <c r="M27" s="228">
        <v>271.05</v>
      </c>
      <c r="N27" s="228">
        <v>272.85000000000002</v>
      </c>
      <c r="O27" s="228">
        <v>-1.8</v>
      </c>
      <c r="P27" s="229">
        <v>-6.6E-3</v>
      </c>
      <c r="Q27" s="228">
        <v>272.85000000000002</v>
      </c>
      <c r="R27" s="228">
        <v>274.55</v>
      </c>
      <c r="S27" s="228">
        <v>-1.7</v>
      </c>
      <c r="T27" s="229">
        <v>-6.1999999999999998E-3</v>
      </c>
      <c r="U27" s="228">
        <v>274.45</v>
      </c>
      <c r="V27" s="228">
        <v>275.95</v>
      </c>
      <c r="W27" s="228">
        <v>-1.5</v>
      </c>
      <c r="X27" s="229">
        <v>-5.4000000000000003E-3</v>
      </c>
      <c r="Y27" s="228">
        <v>2.2999999999999998</v>
      </c>
      <c r="Z27" s="228">
        <v>0.6</v>
      </c>
      <c r="AA27" s="228">
        <v>1.7</v>
      </c>
      <c r="AB27" s="229">
        <v>8.5000000000000006E-3</v>
      </c>
      <c r="AC27" s="228">
        <v>0.5</v>
      </c>
      <c r="AD27" s="228">
        <v>0.6</v>
      </c>
      <c r="AE27" s="228">
        <v>-0.1</v>
      </c>
      <c r="AF27" s="229">
        <v>1.8E-3</v>
      </c>
      <c r="AG27" s="228">
        <v>2.2999999999999998</v>
      </c>
      <c r="AH27" s="228">
        <v>2.2999999999999998</v>
      </c>
      <c r="AI27" s="228">
        <v>0</v>
      </c>
      <c r="AJ27" s="229">
        <v>8.5000000000000006E-3</v>
      </c>
      <c r="AK27" s="228">
        <v>3.9</v>
      </c>
      <c r="AL27" s="228">
        <v>3.7</v>
      </c>
      <c r="AM27" s="228">
        <v>0.2</v>
      </c>
      <c r="AN27" s="229">
        <v>1.44E-2</v>
      </c>
      <c r="AO27" s="228">
        <v>271.54000000000002</v>
      </c>
      <c r="AP27" s="228">
        <v>273.42</v>
      </c>
      <c r="AQ27" s="228">
        <v>0</v>
      </c>
      <c r="AR27" s="230">
        <v>41028975</v>
      </c>
      <c r="AS27" s="230">
        <v>72832500</v>
      </c>
      <c r="AT27" s="230">
        <v>-31803525</v>
      </c>
      <c r="AU27" s="229">
        <v>-0.43669999999999998</v>
      </c>
      <c r="AV27" s="230">
        <v>15950025</v>
      </c>
      <c r="AW27" s="230">
        <v>31396950</v>
      </c>
      <c r="AX27" s="230">
        <v>-15446925</v>
      </c>
      <c r="AY27" s="229">
        <v>-0.49199999999999999</v>
      </c>
      <c r="AZ27" s="230">
        <v>24646050</v>
      </c>
      <c r="BA27" s="230">
        <v>40947075</v>
      </c>
      <c r="BB27" s="230">
        <v>-16301025</v>
      </c>
      <c r="BC27" s="229">
        <v>-0.39810000000000001</v>
      </c>
      <c r="BD27" s="230">
        <v>432900</v>
      </c>
      <c r="BE27" s="230">
        <v>488475</v>
      </c>
      <c r="BF27" s="230">
        <v>-55575</v>
      </c>
      <c r="BG27" s="229">
        <v>-0.1138</v>
      </c>
      <c r="BH27" s="230">
        <v>31955625</v>
      </c>
      <c r="BI27" s="230">
        <v>59213700</v>
      </c>
      <c r="BJ27" s="230">
        <v>-27258075</v>
      </c>
      <c r="BK27" s="229">
        <v>-0.46029999999999999</v>
      </c>
      <c r="BL27" s="230">
        <v>18228600</v>
      </c>
      <c r="BM27" s="230">
        <v>31970250</v>
      </c>
      <c r="BN27" s="230">
        <v>-13741650</v>
      </c>
      <c r="BO27" s="229">
        <v>-0.42980000000000002</v>
      </c>
      <c r="BP27" s="230">
        <v>91213200</v>
      </c>
      <c r="BQ27" s="230">
        <v>164016450</v>
      </c>
      <c r="BR27" s="230">
        <v>-72803250</v>
      </c>
      <c r="BS27" s="229">
        <v>-0.44390000000000002</v>
      </c>
      <c r="BT27" s="230">
        <v>10421729</v>
      </c>
      <c r="BU27" s="230">
        <v>18019324</v>
      </c>
      <c r="BV27" s="230">
        <v>-7597595</v>
      </c>
      <c r="BW27" s="229">
        <v>-0.42159999999999997</v>
      </c>
      <c r="BX27" s="230">
        <v>118860300</v>
      </c>
      <c r="BY27" s="230">
        <v>131715675</v>
      </c>
      <c r="BZ27" s="230">
        <v>-12855375</v>
      </c>
      <c r="CA27" s="229">
        <v>-9.7600000000000006E-2</v>
      </c>
      <c r="CB27" s="230">
        <v>14332500</v>
      </c>
      <c r="CC27" s="230">
        <v>25350975</v>
      </c>
      <c r="CD27" s="230">
        <v>-11018475</v>
      </c>
      <c r="CE27" s="229">
        <v>-0.43459999999999999</v>
      </c>
      <c r="CF27" s="230">
        <v>116216100</v>
      </c>
      <c r="CG27" s="230">
        <v>103925250</v>
      </c>
      <c r="CH27" s="230">
        <v>12290850</v>
      </c>
      <c r="CI27" s="229">
        <v>0.1183</v>
      </c>
      <c r="CJ27" s="230">
        <v>2644200</v>
      </c>
      <c r="CK27" s="230">
        <v>2439450</v>
      </c>
      <c r="CL27" s="230">
        <v>204750</v>
      </c>
      <c r="CM27" s="229">
        <v>8.3900000000000002E-2</v>
      </c>
      <c r="CN27" s="230">
        <v>16880175</v>
      </c>
      <c r="CO27" s="230">
        <v>44117775</v>
      </c>
      <c r="CP27" s="230">
        <v>-27237600</v>
      </c>
      <c r="CQ27" s="229">
        <v>-0.61739999999999995</v>
      </c>
      <c r="CR27" s="230">
        <v>20954700</v>
      </c>
      <c r="CS27" s="230">
        <v>39507975</v>
      </c>
      <c r="CT27" s="230">
        <v>-18553275</v>
      </c>
      <c r="CU27" s="229">
        <v>-0.46960000000000002</v>
      </c>
      <c r="CV27" s="230">
        <v>156695175</v>
      </c>
      <c r="CW27" s="230">
        <v>215341425</v>
      </c>
      <c r="CX27" s="230">
        <v>-58646250</v>
      </c>
      <c r="CY27" s="229">
        <v>-0.27229999999999999</v>
      </c>
      <c r="CZ27" s="228">
        <v>26.17</v>
      </c>
      <c r="DA27" s="228">
        <v>25.97</v>
      </c>
      <c r="DB27" s="228">
        <v>0.2</v>
      </c>
      <c r="DC27" s="228">
        <v>0.2</v>
      </c>
      <c r="DD27" s="228">
        <v>36.1</v>
      </c>
      <c r="DE27" s="228">
        <v>36.18</v>
      </c>
      <c r="DF27" s="228">
        <v>-9.93</v>
      </c>
      <c r="DG27" s="228">
        <v>-0.08</v>
      </c>
      <c r="DH27" s="228">
        <v>25.71</v>
      </c>
      <c r="DI27" s="228">
        <v>26</v>
      </c>
      <c r="DJ27" s="228">
        <v>-0.28999999999999998</v>
      </c>
      <c r="DK27" s="228">
        <v>-0.28999999999999998</v>
      </c>
      <c r="DL27" s="228">
        <v>26.86</v>
      </c>
      <c r="DM27" s="228">
        <v>25.92</v>
      </c>
      <c r="DN27" s="228">
        <v>0.94</v>
      </c>
      <c r="DO27" s="228">
        <v>0.94</v>
      </c>
      <c r="DP27" s="228">
        <v>1.24</v>
      </c>
      <c r="DQ27" s="228">
        <v>0.9</v>
      </c>
      <c r="DR27" s="228">
        <v>0.34</v>
      </c>
      <c r="DS27" s="229">
        <v>0.37780000000000002</v>
      </c>
      <c r="DT27" s="228">
        <v>290</v>
      </c>
      <c r="DU27" s="228">
        <v>250</v>
      </c>
      <c r="DV27" s="228">
        <v>0.56999999999999995</v>
      </c>
      <c r="DW27" s="228">
        <v>0.54</v>
      </c>
      <c r="DX27" s="228">
        <v>0.03</v>
      </c>
      <c r="DY27" s="229">
        <v>5.5599999999999997E-2</v>
      </c>
      <c r="DZ27" s="229">
        <v>0.89239999999999997</v>
      </c>
      <c r="EA27" s="230">
        <v>106364700</v>
      </c>
      <c r="EB27" s="229">
        <v>6.6E-3</v>
      </c>
      <c r="EC27" s="229">
        <v>0.89239999999999997</v>
      </c>
      <c r="ED27" s="228">
        <v>1.88</v>
      </c>
      <c r="EE27" s="229">
        <v>6.8999999999999999E-3</v>
      </c>
      <c r="EF27" s="230">
        <v>4923276</v>
      </c>
      <c r="EG27" s="230">
        <v>13197528</v>
      </c>
      <c r="EH27" s="229">
        <v>-0.627</v>
      </c>
      <c r="EI27" s="229">
        <v>0.47239999999999999</v>
      </c>
      <c r="EJ27" s="231">
        <v>90060.36</v>
      </c>
      <c r="EK27" s="231">
        <v>49543.44</v>
      </c>
      <c r="EL27" s="231">
        <v>111888.32000000001</v>
      </c>
      <c r="EM27" s="231">
        <v>16141</v>
      </c>
      <c r="EN27" s="231">
        <v>251492.12</v>
      </c>
      <c r="EO27" s="231">
        <v>450257.18</v>
      </c>
      <c r="EP27" s="231">
        <v>-198765.06</v>
      </c>
      <c r="EQ27" s="229">
        <v>-0.44140000000000001</v>
      </c>
      <c r="ER27" s="231">
        <v>47190</v>
      </c>
      <c r="ES27" s="231">
        <v>56997</v>
      </c>
      <c r="ET27" s="231">
        <v>324353</v>
      </c>
      <c r="EU27" s="231">
        <v>279476623</v>
      </c>
      <c r="EV27" s="231">
        <v>428539</v>
      </c>
      <c r="EW27" s="231">
        <v>591043</v>
      </c>
      <c r="EX27" s="231">
        <v>-162504</v>
      </c>
      <c r="EY27" s="229">
        <v>-0.27489999999999998</v>
      </c>
      <c r="EZ27" s="229">
        <v>0.56069999999999998</v>
      </c>
      <c r="FA27" s="227" t="s">
        <v>567</v>
      </c>
      <c r="FB27" s="161">
        <f t="shared" si="0"/>
        <v>104527800</v>
      </c>
    </row>
    <row r="28" spans="1:158" ht="17.25" thickBot="1" x14ac:dyDescent="0.3">
      <c r="A28" s="226">
        <v>46168</v>
      </c>
      <c r="B28" s="227" t="s">
        <v>172</v>
      </c>
      <c r="C28" s="227" t="s">
        <v>601</v>
      </c>
      <c r="D28" s="228">
        <v>5200</v>
      </c>
      <c r="E28" s="228">
        <v>145.86000000000001</v>
      </c>
      <c r="F28" s="228">
        <v>147.26</v>
      </c>
      <c r="G28" s="228">
        <v>-1.4</v>
      </c>
      <c r="H28" s="229">
        <v>-9.4999999999999998E-3</v>
      </c>
      <c r="I28" s="228">
        <v>144.99</v>
      </c>
      <c r="J28" s="228">
        <v>146.01</v>
      </c>
      <c r="K28" s="228">
        <v>-1.02</v>
      </c>
      <c r="L28" s="229">
        <v>-7.0000000000000001E-3</v>
      </c>
      <c r="M28" s="228">
        <v>145.15</v>
      </c>
      <c r="N28" s="228">
        <v>146.25</v>
      </c>
      <c r="O28" s="228">
        <v>-1.1000000000000001</v>
      </c>
      <c r="P28" s="229">
        <v>-7.4999999999999997E-3</v>
      </c>
      <c r="Q28" s="228">
        <v>145.86000000000001</v>
      </c>
      <c r="R28" s="228">
        <v>147.26</v>
      </c>
      <c r="S28" s="228">
        <v>-1.4</v>
      </c>
      <c r="T28" s="229">
        <v>-9.4999999999999998E-3</v>
      </c>
      <c r="U28" s="228">
        <v>146.63999999999999</v>
      </c>
      <c r="V28" s="228">
        <v>147.9</v>
      </c>
      <c r="W28" s="228">
        <v>-1.26</v>
      </c>
      <c r="X28" s="229">
        <v>-8.5000000000000006E-3</v>
      </c>
      <c r="Y28" s="228">
        <v>0.87</v>
      </c>
      <c r="Z28" s="228">
        <v>0.24</v>
      </c>
      <c r="AA28" s="228">
        <v>0.63</v>
      </c>
      <c r="AB28" s="229">
        <v>6.0000000000000001E-3</v>
      </c>
      <c r="AC28" s="228">
        <v>0.16</v>
      </c>
      <c r="AD28" s="228">
        <v>0.24</v>
      </c>
      <c r="AE28" s="228">
        <v>-0.08</v>
      </c>
      <c r="AF28" s="229">
        <v>1.1000000000000001E-3</v>
      </c>
      <c r="AG28" s="228">
        <v>0.87</v>
      </c>
      <c r="AH28" s="228">
        <v>1.25</v>
      </c>
      <c r="AI28" s="228">
        <v>-0.38</v>
      </c>
      <c r="AJ28" s="229">
        <v>6.0000000000000001E-3</v>
      </c>
      <c r="AK28" s="228">
        <v>1.65</v>
      </c>
      <c r="AL28" s="228">
        <v>1.89</v>
      </c>
      <c r="AM28" s="228">
        <v>-0.24</v>
      </c>
      <c r="AN28" s="229">
        <v>1.14E-2</v>
      </c>
      <c r="AO28" s="228">
        <v>144.99</v>
      </c>
      <c r="AP28" s="228">
        <v>145.9</v>
      </c>
      <c r="AQ28" s="228">
        <v>0</v>
      </c>
      <c r="AR28" s="230">
        <v>38105600</v>
      </c>
      <c r="AS28" s="230">
        <v>55229200</v>
      </c>
      <c r="AT28" s="230">
        <v>-17123600</v>
      </c>
      <c r="AU28" s="229">
        <v>-0.31</v>
      </c>
      <c r="AV28" s="230">
        <v>14253200</v>
      </c>
      <c r="AW28" s="230">
        <v>24341200</v>
      </c>
      <c r="AX28" s="230">
        <v>-10088000</v>
      </c>
      <c r="AY28" s="229">
        <v>-0.41439999999999999</v>
      </c>
      <c r="AZ28" s="230">
        <v>23270000</v>
      </c>
      <c r="BA28" s="230">
        <v>30378400</v>
      </c>
      <c r="BB28" s="230">
        <v>-7108400</v>
      </c>
      <c r="BC28" s="229">
        <v>-0.23400000000000001</v>
      </c>
      <c r="BD28" s="230">
        <v>582400</v>
      </c>
      <c r="BE28" s="230">
        <v>509600</v>
      </c>
      <c r="BF28" s="230">
        <v>72800</v>
      </c>
      <c r="BG28" s="229">
        <v>0.1429</v>
      </c>
      <c r="BH28" s="230">
        <v>22276800</v>
      </c>
      <c r="BI28" s="230">
        <v>50918400</v>
      </c>
      <c r="BJ28" s="230">
        <v>-28641600</v>
      </c>
      <c r="BK28" s="229">
        <v>-0.5625</v>
      </c>
      <c r="BL28" s="230">
        <v>11403600</v>
      </c>
      <c r="BM28" s="230">
        <v>19770400</v>
      </c>
      <c r="BN28" s="230">
        <v>-8366800</v>
      </c>
      <c r="BO28" s="229">
        <v>-0.42320000000000002</v>
      </c>
      <c r="BP28" s="230">
        <v>71786000</v>
      </c>
      <c r="BQ28" s="230">
        <v>125918000</v>
      </c>
      <c r="BR28" s="230">
        <v>-54132000</v>
      </c>
      <c r="BS28" s="229">
        <v>-0.4299</v>
      </c>
      <c r="BT28" s="230">
        <v>13401760</v>
      </c>
      <c r="BU28" s="230">
        <v>13039192</v>
      </c>
      <c r="BV28" s="230">
        <v>362568</v>
      </c>
      <c r="BW28" s="229">
        <v>2.7799999999999998E-2</v>
      </c>
      <c r="BX28" s="230">
        <v>62597600</v>
      </c>
      <c r="BY28" s="230">
        <v>74828000</v>
      </c>
      <c r="BZ28" s="230">
        <v>-12230400</v>
      </c>
      <c r="CA28" s="229">
        <v>-0.16339999999999999</v>
      </c>
      <c r="CB28" s="230">
        <v>9365200</v>
      </c>
      <c r="CC28" s="230">
        <v>17082000</v>
      </c>
      <c r="CD28" s="230">
        <v>-7716800</v>
      </c>
      <c r="CE28" s="229">
        <v>-0.45179999999999998</v>
      </c>
      <c r="CF28" s="230">
        <v>61609600</v>
      </c>
      <c r="CG28" s="230">
        <v>57059600</v>
      </c>
      <c r="CH28" s="230">
        <v>4550000</v>
      </c>
      <c r="CI28" s="229">
        <v>7.9699999999999993E-2</v>
      </c>
      <c r="CJ28" s="230">
        <v>988000</v>
      </c>
      <c r="CK28" s="230">
        <v>686400</v>
      </c>
      <c r="CL28" s="230">
        <v>301600</v>
      </c>
      <c r="CM28" s="229">
        <v>0.43940000000000001</v>
      </c>
      <c r="CN28" s="230">
        <v>10020400</v>
      </c>
      <c r="CO28" s="230">
        <v>27528800</v>
      </c>
      <c r="CP28" s="230">
        <v>-17508400</v>
      </c>
      <c r="CQ28" s="229">
        <v>-0.63600000000000001</v>
      </c>
      <c r="CR28" s="230">
        <v>8720400</v>
      </c>
      <c r="CS28" s="230">
        <v>18636800</v>
      </c>
      <c r="CT28" s="230">
        <v>-9916400</v>
      </c>
      <c r="CU28" s="229">
        <v>-0.53210000000000002</v>
      </c>
      <c r="CV28" s="230">
        <v>81338400</v>
      </c>
      <c r="CW28" s="230">
        <v>120993600</v>
      </c>
      <c r="CX28" s="230">
        <v>-39655200</v>
      </c>
      <c r="CY28" s="229">
        <v>-0.32769999999999999</v>
      </c>
      <c r="CZ28" s="228">
        <v>30.96</v>
      </c>
      <c r="DA28" s="228">
        <v>32.5</v>
      </c>
      <c r="DB28" s="228">
        <v>-1.54</v>
      </c>
      <c r="DC28" s="228">
        <v>-1.54</v>
      </c>
      <c r="DD28" s="228">
        <v>42.18</v>
      </c>
      <c r="DE28" s="228">
        <v>42.27</v>
      </c>
      <c r="DF28" s="228">
        <v>-11.22</v>
      </c>
      <c r="DG28" s="228">
        <v>-0.09</v>
      </c>
      <c r="DH28" s="228">
        <v>30.81</v>
      </c>
      <c r="DI28" s="228">
        <v>32.369999999999997</v>
      </c>
      <c r="DJ28" s="228">
        <v>-1.56</v>
      </c>
      <c r="DK28" s="228">
        <v>-1.56</v>
      </c>
      <c r="DL28" s="228">
        <v>31.24</v>
      </c>
      <c r="DM28" s="228">
        <v>32.69</v>
      </c>
      <c r="DN28" s="228">
        <v>-1.45</v>
      </c>
      <c r="DO28" s="228">
        <v>-1.45</v>
      </c>
      <c r="DP28" s="228">
        <v>0.87</v>
      </c>
      <c r="DQ28" s="228">
        <v>0.68</v>
      </c>
      <c r="DR28" s="228">
        <v>0.19</v>
      </c>
      <c r="DS28" s="229">
        <v>0.27939999999999998</v>
      </c>
      <c r="DT28" s="228">
        <v>150</v>
      </c>
      <c r="DU28" s="228">
        <v>140</v>
      </c>
      <c r="DV28" s="228">
        <v>0.51</v>
      </c>
      <c r="DW28" s="228">
        <v>0.39</v>
      </c>
      <c r="DX28" s="228">
        <v>0.12</v>
      </c>
      <c r="DY28" s="229">
        <v>0.30769999999999997</v>
      </c>
      <c r="DZ28" s="229">
        <v>0.86990000000000001</v>
      </c>
      <c r="EA28" s="230">
        <v>57746000</v>
      </c>
      <c r="EB28" s="229">
        <v>4.8999999999999998E-3</v>
      </c>
      <c r="EC28" s="229">
        <v>0.86990000000000001</v>
      </c>
      <c r="ED28" s="228">
        <v>0.91</v>
      </c>
      <c r="EE28" s="229">
        <v>6.3E-3</v>
      </c>
      <c r="EF28" s="230">
        <v>6137128</v>
      </c>
      <c r="EG28" s="230">
        <v>6181080</v>
      </c>
      <c r="EH28" s="229">
        <v>-7.1000000000000004E-3</v>
      </c>
      <c r="EI28" s="229">
        <v>0.45789999999999997</v>
      </c>
      <c r="EJ28" s="231">
        <v>33857.269999999997</v>
      </c>
      <c r="EK28" s="231">
        <v>16520.38</v>
      </c>
      <c r="EL28" s="231">
        <v>55472.46</v>
      </c>
      <c r="EM28" s="231">
        <v>6564</v>
      </c>
      <c r="EN28" s="231">
        <v>105850.11</v>
      </c>
      <c r="EO28" s="231">
        <v>184413.29</v>
      </c>
      <c r="EP28" s="231">
        <v>-78563.179999999993</v>
      </c>
      <c r="EQ28" s="229">
        <v>-0.42599999999999999</v>
      </c>
      <c r="ER28" s="231">
        <v>15035</v>
      </c>
      <c r="ES28" s="231">
        <v>12613</v>
      </c>
      <c r="ET28" s="231">
        <v>91313</v>
      </c>
      <c r="EU28" s="231">
        <v>181770921</v>
      </c>
      <c r="EV28" s="231">
        <v>118961</v>
      </c>
      <c r="EW28" s="231">
        <v>177853</v>
      </c>
      <c r="EX28" s="231">
        <v>-58892</v>
      </c>
      <c r="EY28" s="229">
        <v>-0.33110000000000001</v>
      </c>
      <c r="EZ28" s="229">
        <v>0.44750000000000001</v>
      </c>
      <c r="FA28" s="227" t="s">
        <v>567</v>
      </c>
      <c r="FB28" s="161">
        <f t="shared" si="0"/>
        <v>53232400</v>
      </c>
    </row>
    <row r="29" spans="1:158" ht="17.25" thickBot="1" x14ac:dyDescent="0.3">
      <c r="A29" s="226">
        <v>46168</v>
      </c>
      <c r="B29" s="227" t="s">
        <v>181</v>
      </c>
      <c r="C29" s="227" t="s">
        <v>182</v>
      </c>
      <c r="D29" s="228">
        <v>30</v>
      </c>
      <c r="E29" s="231">
        <v>55457.8</v>
      </c>
      <c r="F29" s="231">
        <v>55647.199999999997</v>
      </c>
      <c r="G29" s="228">
        <v>-189.4</v>
      </c>
      <c r="H29" s="229">
        <v>-3.3999999999999998E-3</v>
      </c>
      <c r="I29" s="231">
        <v>55092.9</v>
      </c>
      <c r="J29" s="231">
        <v>55293.65</v>
      </c>
      <c r="K29" s="228">
        <v>-200.75</v>
      </c>
      <c r="L29" s="229">
        <v>-3.5999999999999999E-3</v>
      </c>
      <c r="M29" s="231">
        <v>55090.8</v>
      </c>
      <c r="N29" s="231">
        <v>55431.4</v>
      </c>
      <c r="O29" s="228">
        <v>-340.6</v>
      </c>
      <c r="P29" s="229">
        <v>-6.1000000000000004E-3</v>
      </c>
      <c r="Q29" s="231">
        <v>55457.8</v>
      </c>
      <c r="R29" s="231">
        <v>55647.199999999997</v>
      </c>
      <c r="S29" s="228">
        <v>-189.4</v>
      </c>
      <c r="T29" s="229">
        <v>-3.3999999999999998E-3</v>
      </c>
      <c r="U29" s="231">
        <v>55754.400000000001</v>
      </c>
      <c r="V29" s="231">
        <v>55914.2</v>
      </c>
      <c r="W29" s="228">
        <v>-159.80000000000001</v>
      </c>
      <c r="X29" s="229">
        <v>-2.8999999999999998E-3</v>
      </c>
      <c r="Y29" s="228">
        <v>364.9</v>
      </c>
      <c r="Z29" s="228">
        <v>137.75</v>
      </c>
      <c r="AA29" s="228">
        <v>227.15</v>
      </c>
      <c r="AB29" s="229">
        <v>6.6E-3</v>
      </c>
      <c r="AC29" s="228">
        <v>-2.1</v>
      </c>
      <c r="AD29" s="228">
        <v>137.75</v>
      </c>
      <c r="AE29" s="228">
        <v>-139.85</v>
      </c>
      <c r="AF29" s="229">
        <v>0</v>
      </c>
      <c r="AG29" s="228">
        <v>364.9</v>
      </c>
      <c r="AH29" s="228">
        <v>353.55</v>
      </c>
      <c r="AI29" s="228">
        <v>11.35</v>
      </c>
      <c r="AJ29" s="229">
        <v>6.6E-3</v>
      </c>
      <c r="AK29" s="228">
        <v>661.5</v>
      </c>
      <c r="AL29" s="228">
        <v>620.54999999999995</v>
      </c>
      <c r="AM29" s="228">
        <v>40.950000000000003</v>
      </c>
      <c r="AN29" s="229">
        <v>1.2E-2</v>
      </c>
      <c r="AO29" s="231">
        <v>55229.55</v>
      </c>
      <c r="AP29" s="231">
        <v>55532.19</v>
      </c>
      <c r="AQ29" s="228">
        <v>0</v>
      </c>
      <c r="AR29" s="230">
        <v>1841640</v>
      </c>
      <c r="AS29" s="230">
        <v>2149290</v>
      </c>
      <c r="AT29" s="230">
        <v>-307650</v>
      </c>
      <c r="AU29" s="229">
        <v>-0.1431</v>
      </c>
      <c r="AV29" s="230">
        <v>745770</v>
      </c>
      <c r="AW29" s="230">
        <v>983220</v>
      </c>
      <c r="AX29" s="230">
        <v>-237450</v>
      </c>
      <c r="AY29" s="229">
        <v>-0.24149999999999999</v>
      </c>
      <c r="AZ29" s="230">
        <v>1036890</v>
      </c>
      <c r="BA29" s="230">
        <v>1096230</v>
      </c>
      <c r="BB29" s="230">
        <v>-59340</v>
      </c>
      <c r="BC29" s="229">
        <v>-5.4100000000000002E-2</v>
      </c>
      <c r="BD29" s="230">
        <v>58980</v>
      </c>
      <c r="BE29" s="230">
        <v>69840</v>
      </c>
      <c r="BF29" s="230">
        <v>-10860</v>
      </c>
      <c r="BG29" s="229">
        <v>-0.1555</v>
      </c>
      <c r="BH29" s="230">
        <v>1330368150</v>
      </c>
      <c r="BI29" s="230">
        <v>246051000</v>
      </c>
      <c r="BJ29" s="230">
        <v>1084317150</v>
      </c>
      <c r="BK29" s="229">
        <v>4.4069000000000003</v>
      </c>
      <c r="BL29" s="230">
        <v>1329517620</v>
      </c>
      <c r="BM29" s="230">
        <v>217637940</v>
      </c>
      <c r="BN29" s="230">
        <v>1111879680</v>
      </c>
      <c r="BO29" s="229">
        <v>5.1089000000000002</v>
      </c>
      <c r="BP29" s="230">
        <v>2661727410</v>
      </c>
      <c r="BQ29" s="230">
        <v>465838230</v>
      </c>
      <c r="BR29" s="230">
        <v>2195889180</v>
      </c>
      <c r="BS29" s="229">
        <v>4.7138</v>
      </c>
      <c r="BT29" s="228">
        <v>0</v>
      </c>
      <c r="BU29" s="228">
        <v>0</v>
      </c>
      <c r="BV29" s="228">
        <v>0</v>
      </c>
      <c r="BW29" s="229">
        <v>0</v>
      </c>
      <c r="BX29" s="230">
        <v>2528250</v>
      </c>
      <c r="BY29" s="230">
        <v>3156630</v>
      </c>
      <c r="BZ29" s="230">
        <v>-628380</v>
      </c>
      <c r="CA29" s="229">
        <v>-0.1991</v>
      </c>
      <c r="CB29" s="230">
        <v>827490</v>
      </c>
      <c r="CC29" s="230">
        <v>1148520</v>
      </c>
      <c r="CD29" s="230">
        <v>-321030</v>
      </c>
      <c r="CE29" s="229">
        <v>-0.27950000000000003</v>
      </c>
      <c r="CF29" s="230">
        <v>2413710</v>
      </c>
      <c r="CG29" s="230">
        <v>1908090</v>
      </c>
      <c r="CH29" s="230">
        <v>505620</v>
      </c>
      <c r="CI29" s="229">
        <v>0.26500000000000001</v>
      </c>
      <c r="CJ29" s="230">
        <v>114540</v>
      </c>
      <c r="CK29" s="230">
        <v>100020</v>
      </c>
      <c r="CL29" s="230">
        <v>14520</v>
      </c>
      <c r="CM29" s="229">
        <v>0.1452</v>
      </c>
      <c r="CN29" s="230">
        <v>9314040</v>
      </c>
      <c r="CO29" s="230">
        <v>25818660</v>
      </c>
      <c r="CP29" s="230">
        <v>-16504620</v>
      </c>
      <c r="CQ29" s="229">
        <v>-0.63929999999999998</v>
      </c>
      <c r="CR29" s="230">
        <v>9163620</v>
      </c>
      <c r="CS29" s="230">
        <v>25494000</v>
      </c>
      <c r="CT29" s="230">
        <v>-16330380</v>
      </c>
      <c r="CU29" s="229">
        <v>-0.64059999999999995</v>
      </c>
      <c r="CV29" s="230">
        <v>21005910</v>
      </c>
      <c r="CW29" s="230">
        <v>54469290</v>
      </c>
      <c r="CX29" s="230">
        <v>-33463380</v>
      </c>
      <c r="CY29" s="229">
        <v>-0.61439999999999995</v>
      </c>
      <c r="CZ29" s="228">
        <v>17.829999999999998</v>
      </c>
      <c r="DA29" s="228">
        <v>18.32</v>
      </c>
      <c r="DB29" s="228">
        <v>-0.49</v>
      </c>
      <c r="DC29" s="228">
        <v>-0.49</v>
      </c>
      <c r="DD29" s="228">
        <v>21.31</v>
      </c>
      <c r="DE29" s="228">
        <v>21.36</v>
      </c>
      <c r="DF29" s="228">
        <v>-3.48</v>
      </c>
      <c r="DG29" s="228">
        <v>-0.05</v>
      </c>
      <c r="DH29" s="228">
        <v>16.47</v>
      </c>
      <c r="DI29" s="228">
        <v>16.84</v>
      </c>
      <c r="DJ29" s="228">
        <v>-0.37</v>
      </c>
      <c r="DK29" s="228">
        <v>-0.37</v>
      </c>
      <c r="DL29" s="228">
        <v>19.27</v>
      </c>
      <c r="DM29" s="228">
        <v>19.95</v>
      </c>
      <c r="DN29" s="228">
        <v>-0.68</v>
      </c>
      <c r="DO29" s="228">
        <v>-0.68</v>
      </c>
      <c r="DP29" s="228">
        <v>0.98</v>
      </c>
      <c r="DQ29" s="228">
        <v>0.99</v>
      </c>
      <c r="DR29" s="228">
        <v>-0.01</v>
      </c>
      <c r="DS29" s="229">
        <v>-1.01E-2</v>
      </c>
      <c r="DT29" s="231">
        <v>55100</v>
      </c>
      <c r="DU29" s="231">
        <v>55000</v>
      </c>
      <c r="DV29" s="228">
        <v>1</v>
      </c>
      <c r="DW29" s="228">
        <v>0.88</v>
      </c>
      <c r="DX29" s="228">
        <v>0.12</v>
      </c>
      <c r="DY29" s="229">
        <v>0.13639999999999999</v>
      </c>
      <c r="DZ29" s="229">
        <v>0.75339999999999996</v>
      </c>
      <c r="EA29" s="230">
        <v>2008110</v>
      </c>
      <c r="EB29" s="229">
        <v>6.7000000000000002E-3</v>
      </c>
      <c r="EC29" s="229">
        <v>0.75339999999999996</v>
      </c>
      <c r="ED29" s="228">
        <v>302.64</v>
      </c>
      <c r="EE29" s="229">
        <v>5.4999999999999997E-3</v>
      </c>
      <c r="EF29" s="228">
        <v>0</v>
      </c>
      <c r="EG29" s="228">
        <v>0</v>
      </c>
      <c r="EH29" s="229">
        <v>0</v>
      </c>
      <c r="EI29" s="229">
        <v>0</v>
      </c>
      <c r="EJ29" s="231">
        <v>739950752.80999994</v>
      </c>
      <c r="EK29" s="231">
        <v>730189234.33000004</v>
      </c>
      <c r="EL29" s="231">
        <v>1020626.37</v>
      </c>
      <c r="EM29" s="228">
        <v>0</v>
      </c>
      <c r="EN29" s="231">
        <v>1471160613.51</v>
      </c>
      <c r="EO29" s="231">
        <v>256947967.84</v>
      </c>
      <c r="EP29" s="231">
        <v>1214212645.6700001</v>
      </c>
      <c r="EQ29" s="229">
        <v>4.7255000000000003</v>
      </c>
      <c r="ER29" s="231">
        <v>5375214</v>
      </c>
      <c r="ES29" s="231">
        <v>4988004</v>
      </c>
      <c r="ET29" s="231">
        <v>1402452</v>
      </c>
      <c r="EU29" s="228">
        <v>0</v>
      </c>
      <c r="EV29" s="231">
        <v>11765670</v>
      </c>
      <c r="EW29" s="231">
        <v>30210142</v>
      </c>
      <c r="EX29" s="231">
        <v>-18444472</v>
      </c>
      <c r="EY29" s="229">
        <v>-0.61050000000000004</v>
      </c>
      <c r="EZ29" s="229">
        <v>0</v>
      </c>
      <c r="FA29" s="227" t="s">
        <v>567</v>
      </c>
      <c r="FB29" s="161">
        <f t="shared" si="0"/>
        <v>1700760</v>
      </c>
    </row>
    <row r="30" spans="1:158" ht="17.25" thickBot="1" x14ac:dyDescent="0.3">
      <c r="A30" s="226">
        <v>46168</v>
      </c>
      <c r="B30" s="227" t="s">
        <v>184</v>
      </c>
      <c r="C30" s="227" t="s">
        <v>668</v>
      </c>
      <c r="D30" s="228">
        <v>350</v>
      </c>
      <c r="E30" s="231">
        <v>1324.6</v>
      </c>
      <c r="F30" s="231">
        <v>1311.8</v>
      </c>
      <c r="G30" s="228">
        <v>12.8</v>
      </c>
      <c r="H30" s="229">
        <v>9.7999999999999997E-3</v>
      </c>
      <c r="I30" s="231">
        <v>1329.9</v>
      </c>
      <c r="J30" s="231">
        <v>1326.1</v>
      </c>
      <c r="K30" s="228">
        <v>3.8</v>
      </c>
      <c r="L30" s="229">
        <v>2.8999999999999998E-3</v>
      </c>
      <c r="M30" s="231">
        <v>1327.7</v>
      </c>
      <c r="N30" s="231">
        <v>1327.3</v>
      </c>
      <c r="O30" s="228">
        <v>0.4</v>
      </c>
      <c r="P30" s="229">
        <v>2.9999999999999997E-4</v>
      </c>
      <c r="Q30" s="231">
        <v>1324.6</v>
      </c>
      <c r="R30" s="231">
        <v>1311.8</v>
      </c>
      <c r="S30" s="228">
        <v>12.8</v>
      </c>
      <c r="T30" s="229">
        <v>9.7999999999999997E-3</v>
      </c>
      <c r="U30" s="231">
        <v>1320.6</v>
      </c>
      <c r="V30" s="231">
        <v>1310.9</v>
      </c>
      <c r="W30" s="228">
        <v>9.6999999999999993</v>
      </c>
      <c r="X30" s="229">
        <v>7.4000000000000003E-3</v>
      </c>
      <c r="Y30" s="228">
        <v>-5.3</v>
      </c>
      <c r="Z30" s="228">
        <v>1.2</v>
      </c>
      <c r="AA30" s="228">
        <v>-6.5</v>
      </c>
      <c r="AB30" s="229">
        <v>-4.0000000000000001E-3</v>
      </c>
      <c r="AC30" s="228">
        <v>-2.2000000000000002</v>
      </c>
      <c r="AD30" s="228">
        <v>1.2</v>
      </c>
      <c r="AE30" s="228">
        <v>-3.4</v>
      </c>
      <c r="AF30" s="229">
        <v>-1.6999999999999999E-3</v>
      </c>
      <c r="AG30" s="228">
        <v>-5.3</v>
      </c>
      <c r="AH30" s="228">
        <v>-14.3</v>
      </c>
      <c r="AI30" s="228">
        <v>9</v>
      </c>
      <c r="AJ30" s="229">
        <v>-4.0000000000000001E-3</v>
      </c>
      <c r="AK30" s="228">
        <v>-9.3000000000000007</v>
      </c>
      <c r="AL30" s="228">
        <v>-15.2</v>
      </c>
      <c r="AM30" s="228">
        <v>5.9</v>
      </c>
      <c r="AN30" s="229">
        <v>-7.0000000000000001E-3</v>
      </c>
      <c r="AO30" s="231">
        <v>1333.99</v>
      </c>
      <c r="AP30" s="231">
        <v>1326.78</v>
      </c>
      <c r="AQ30" s="228">
        <v>0</v>
      </c>
      <c r="AR30" s="230">
        <v>2244550</v>
      </c>
      <c r="AS30" s="230">
        <v>3446800</v>
      </c>
      <c r="AT30" s="230">
        <v>-1202250</v>
      </c>
      <c r="AU30" s="229">
        <v>-0.3488</v>
      </c>
      <c r="AV30" s="230">
        <v>956200</v>
      </c>
      <c r="AW30" s="230">
        <v>1597750</v>
      </c>
      <c r="AX30" s="230">
        <v>-641550</v>
      </c>
      <c r="AY30" s="229">
        <v>-0.40150000000000002</v>
      </c>
      <c r="AZ30" s="230">
        <v>1257200</v>
      </c>
      <c r="BA30" s="230">
        <v>1823150</v>
      </c>
      <c r="BB30" s="230">
        <v>-565950</v>
      </c>
      <c r="BC30" s="229">
        <v>-0.31040000000000001</v>
      </c>
      <c r="BD30" s="230">
        <v>31150</v>
      </c>
      <c r="BE30" s="230">
        <v>25900</v>
      </c>
      <c r="BF30" s="230">
        <v>5250</v>
      </c>
      <c r="BG30" s="229">
        <v>0.20269999999999999</v>
      </c>
      <c r="BH30" s="230">
        <v>3527650</v>
      </c>
      <c r="BI30" s="230">
        <v>3988600</v>
      </c>
      <c r="BJ30" s="230">
        <v>-460950</v>
      </c>
      <c r="BK30" s="229">
        <v>-0.11559999999999999</v>
      </c>
      <c r="BL30" s="230">
        <v>1050000</v>
      </c>
      <c r="BM30" s="230">
        <v>1421350</v>
      </c>
      <c r="BN30" s="230">
        <v>-371350</v>
      </c>
      <c r="BO30" s="229">
        <v>-0.26129999999999998</v>
      </c>
      <c r="BP30" s="230">
        <v>6822200</v>
      </c>
      <c r="BQ30" s="230">
        <v>8856750</v>
      </c>
      <c r="BR30" s="230">
        <v>-2034550</v>
      </c>
      <c r="BS30" s="229">
        <v>-0.22969999999999999</v>
      </c>
      <c r="BT30" s="230">
        <v>736494</v>
      </c>
      <c r="BU30" s="230">
        <v>905094</v>
      </c>
      <c r="BV30" s="230">
        <v>-168600</v>
      </c>
      <c r="BW30" s="229">
        <v>-0.18629999999999999</v>
      </c>
      <c r="BX30" s="230">
        <v>3314925</v>
      </c>
      <c r="BY30" s="230">
        <v>3832925</v>
      </c>
      <c r="BZ30" s="230">
        <v>-518000</v>
      </c>
      <c r="CA30" s="229">
        <v>-0.1351</v>
      </c>
      <c r="CB30" s="230">
        <v>406700</v>
      </c>
      <c r="CC30" s="230">
        <v>790300</v>
      </c>
      <c r="CD30" s="230">
        <v>-383600</v>
      </c>
      <c r="CE30" s="229">
        <v>-0.4854</v>
      </c>
      <c r="CF30" s="230">
        <v>3183600</v>
      </c>
      <c r="CG30" s="230">
        <v>2923200</v>
      </c>
      <c r="CH30" s="230">
        <v>260400</v>
      </c>
      <c r="CI30" s="229">
        <v>8.9099999999999999E-2</v>
      </c>
      <c r="CJ30" s="230">
        <v>131325</v>
      </c>
      <c r="CK30" s="230">
        <v>119425</v>
      </c>
      <c r="CL30" s="230">
        <v>11900</v>
      </c>
      <c r="CM30" s="229">
        <v>9.9599999999999994E-2</v>
      </c>
      <c r="CN30" s="230">
        <v>1320000</v>
      </c>
      <c r="CO30" s="230">
        <v>3827400</v>
      </c>
      <c r="CP30" s="230">
        <v>-2507400</v>
      </c>
      <c r="CQ30" s="229">
        <v>-0.65510000000000002</v>
      </c>
      <c r="CR30" s="230">
        <v>977900</v>
      </c>
      <c r="CS30" s="230">
        <v>2064300</v>
      </c>
      <c r="CT30" s="230">
        <v>-1086400</v>
      </c>
      <c r="CU30" s="229">
        <v>-0.52629999999999999</v>
      </c>
      <c r="CV30" s="230">
        <v>5612825</v>
      </c>
      <c r="CW30" s="230">
        <v>9724625</v>
      </c>
      <c r="CX30" s="230">
        <v>-4111800</v>
      </c>
      <c r="CY30" s="229">
        <v>-0.42280000000000001</v>
      </c>
      <c r="CZ30" s="228">
        <v>39.53</v>
      </c>
      <c r="DA30" s="228">
        <v>40.96</v>
      </c>
      <c r="DB30" s="228">
        <v>-1.43</v>
      </c>
      <c r="DC30" s="228">
        <v>-1.43</v>
      </c>
      <c r="DD30" s="228">
        <v>51.86</v>
      </c>
      <c r="DE30" s="228">
        <v>51.98</v>
      </c>
      <c r="DF30" s="228">
        <v>-12.33</v>
      </c>
      <c r="DG30" s="228">
        <v>-0.12</v>
      </c>
      <c r="DH30" s="228">
        <v>39.619999999999997</v>
      </c>
      <c r="DI30" s="228">
        <v>41.49</v>
      </c>
      <c r="DJ30" s="228">
        <v>-1.87</v>
      </c>
      <c r="DK30" s="228">
        <v>-1.87</v>
      </c>
      <c r="DL30" s="228">
        <v>39.19</v>
      </c>
      <c r="DM30" s="228">
        <v>39.229999999999997</v>
      </c>
      <c r="DN30" s="228">
        <v>-0.04</v>
      </c>
      <c r="DO30" s="228">
        <v>-0.04</v>
      </c>
      <c r="DP30" s="228">
        <v>0.74</v>
      </c>
      <c r="DQ30" s="228">
        <v>0.54</v>
      </c>
      <c r="DR30" s="228">
        <v>0.2</v>
      </c>
      <c r="DS30" s="229">
        <v>0.37040000000000001</v>
      </c>
      <c r="DT30" s="231">
        <v>1500</v>
      </c>
      <c r="DU30" s="231">
        <v>1300</v>
      </c>
      <c r="DV30" s="228">
        <v>0.3</v>
      </c>
      <c r="DW30" s="228">
        <v>0.36</v>
      </c>
      <c r="DX30" s="228">
        <v>-0.06</v>
      </c>
      <c r="DY30" s="229">
        <v>-0.16669999999999999</v>
      </c>
      <c r="DZ30" s="229">
        <v>0.89070000000000005</v>
      </c>
      <c r="EA30" s="230">
        <v>3042625</v>
      </c>
      <c r="EB30" s="229">
        <v>-2.3E-3</v>
      </c>
      <c r="EC30" s="229">
        <v>0.89070000000000005</v>
      </c>
      <c r="ED30" s="228">
        <v>-7.21</v>
      </c>
      <c r="EE30" s="229">
        <v>-5.4000000000000003E-3</v>
      </c>
      <c r="EF30" s="230">
        <v>253762</v>
      </c>
      <c r="EG30" s="230">
        <v>396305</v>
      </c>
      <c r="EH30" s="229">
        <v>-0.35970000000000002</v>
      </c>
      <c r="EI30" s="229">
        <v>0.34460000000000002</v>
      </c>
      <c r="EJ30" s="231">
        <v>49743.34</v>
      </c>
      <c r="EK30" s="231">
        <v>14134.92</v>
      </c>
      <c r="EL30" s="231">
        <v>29936.47</v>
      </c>
      <c r="EM30" s="231">
        <v>7151</v>
      </c>
      <c r="EN30" s="231">
        <v>93814.73</v>
      </c>
      <c r="EO30" s="231">
        <v>121456.83</v>
      </c>
      <c r="EP30" s="231">
        <v>-27642.1</v>
      </c>
      <c r="EQ30" s="229">
        <v>-0.2276</v>
      </c>
      <c r="ER30" s="231">
        <v>18482</v>
      </c>
      <c r="ES30" s="231">
        <v>12850</v>
      </c>
      <c r="ET30" s="231">
        <v>43904</v>
      </c>
      <c r="EU30" s="231">
        <v>13786716</v>
      </c>
      <c r="EV30" s="231">
        <v>75237</v>
      </c>
      <c r="EW30" s="231">
        <v>132181</v>
      </c>
      <c r="EX30" s="231">
        <v>-56944</v>
      </c>
      <c r="EY30" s="229">
        <v>-0.43080000000000002</v>
      </c>
      <c r="EZ30" s="229">
        <v>0.40710000000000002</v>
      </c>
      <c r="FA30" s="227" t="s">
        <v>691</v>
      </c>
      <c r="FB30" s="161">
        <f t="shared" si="0"/>
        <v>2908225</v>
      </c>
    </row>
    <row r="31" spans="1:158" ht="17.25" thickBot="1" x14ac:dyDescent="0.3">
      <c r="A31" s="226">
        <v>46168</v>
      </c>
      <c r="B31" s="227" t="s">
        <v>184</v>
      </c>
      <c r="C31" s="227" t="s">
        <v>185</v>
      </c>
      <c r="D31" s="228">
        <v>1425</v>
      </c>
      <c r="E31" s="228">
        <v>423.25</v>
      </c>
      <c r="F31" s="228">
        <v>424.25</v>
      </c>
      <c r="G31" s="228">
        <v>-1</v>
      </c>
      <c r="H31" s="229">
        <v>-2.3999999999999998E-3</v>
      </c>
      <c r="I31" s="228">
        <v>420.1</v>
      </c>
      <c r="J31" s="228">
        <v>421.85</v>
      </c>
      <c r="K31" s="228">
        <v>-1.75</v>
      </c>
      <c r="L31" s="229">
        <v>-4.1000000000000003E-3</v>
      </c>
      <c r="M31" s="228">
        <v>420.35</v>
      </c>
      <c r="N31" s="228">
        <v>421.75</v>
      </c>
      <c r="O31" s="228">
        <v>-1.4</v>
      </c>
      <c r="P31" s="229">
        <v>-3.3E-3</v>
      </c>
      <c r="Q31" s="228">
        <v>423.25</v>
      </c>
      <c r="R31" s="228">
        <v>424.25</v>
      </c>
      <c r="S31" s="228">
        <v>-1</v>
      </c>
      <c r="T31" s="229">
        <v>-2.3999999999999998E-3</v>
      </c>
      <c r="U31" s="228">
        <v>425.75</v>
      </c>
      <c r="V31" s="228">
        <v>426.75</v>
      </c>
      <c r="W31" s="228">
        <v>-1</v>
      </c>
      <c r="X31" s="229">
        <v>-2.3E-3</v>
      </c>
      <c r="Y31" s="228">
        <v>3.15</v>
      </c>
      <c r="Z31" s="228">
        <v>-0.1</v>
      </c>
      <c r="AA31" s="228">
        <v>3.25</v>
      </c>
      <c r="AB31" s="229">
        <v>7.4999999999999997E-3</v>
      </c>
      <c r="AC31" s="228">
        <v>0.25</v>
      </c>
      <c r="AD31" s="228">
        <v>-0.1</v>
      </c>
      <c r="AE31" s="228">
        <v>0.35</v>
      </c>
      <c r="AF31" s="229">
        <v>5.9999999999999995E-4</v>
      </c>
      <c r="AG31" s="228">
        <v>3.15</v>
      </c>
      <c r="AH31" s="228">
        <v>2.4</v>
      </c>
      <c r="AI31" s="228">
        <v>0.75</v>
      </c>
      <c r="AJ31" s="229">
        <v>7.4999999999999997E-3</v>
      </c>
      <c r="AK31" s="228">
        <v>5.65</v>
      </c>
      <c r="AL31" s="228">
        <v>4.9000000000000004</v>
      </c>
      <c r="AM31" s="228">
        <v>0.75</v>
      </c>
      <c r="AN31" s="229">
        <v>1.34E-2</v>
      </c>
      <c r="AO31" s="228">
        <v>421.69</v>
      </c>
      <c r="AP31" s="228">
        <v>424.48</v>
      </c>
      <c r="AQ31" s="228">
        <v>0</v>
      </c>
      <c r="AR31" s="230">
        <v>48033900</v>
      </c>
      <c r="AS31" s="230">
        <v>60489825</v>
      </c>
      <c r="AT31" s="230">
        <v>-12455925</v>
      </c>
      <c r="AU31" s="229">
        <v>-0.2059</v>
      </c>
      <c r="AV31" s="230">
        <v>21781125</v>
      </c>
      <c r="AW31" s="230">
        <v>29508900</v>
      </c>
      <c r="AX31" s="230">
        <v>-7727775</v>
      </c>
      <c r="AY31" s="229">
        <v>-0.26190000000000002</v>
      </c>
      <c r="AZ31" s="230">
        <v>25057200</v>
      </c>
      <c r="BA31" s="230">
        <v>30279825</v>
      </c>
      <c r="BB31" s="230">
        <v>-5222625</v>
      </c>
      <c r="BC31" s="229">
        <v>-0.17249999999999999</v>
      </c>
      <c r="BD31" s="230">
        <v>1195575</v>
      </c>
      <c r="BE31" s="230">
        <v>701100</v>
      </c>
      <c r="BF31" s="230">
        <v>494475</v>
      </c>
      <c r="BG31" s="229">
        <v>0.70530000000000004</v>
      </c>
      <c r="BH31" s="230">
        <v>53226600</v>
      </c>
      <c r="BI31" s="230">
        <v>67393950</v>
      </c>
      <c r="BJ31" s="230">
        <v>-14167350</v>
      </c>
      <c r="BK31" s="229">
        <v>-0.2102</v>
      </c>
      <c r="BL31" s="230">
        <v>23814600</v>
      </c>
      <c r="BM31" s="230">
        <v>27391350</v>
      </c>
      <c r="BN31" s="230">
        <v>-3576750</v>
      </c>
      <c r="BO31" s="229">
        <v>-0.13059999999999999</v>
      </c>
      <c r="BP31" s="230">
        <v>125075100</v>
      </c>
      <c r="BQ31" s="230">
        <v>155275125</v>
      </c>
      <c r="BR31" s="230">
        <v>-30200025</v>
      </c>
      <c r="BS31" s="229">
        <v>-0.19450000000000001</v>
      </c>
      <c r="BT31" s="230">
        <v>12918938</v>
      </c>
      <c r="BU31" s="230">
        <v>9640444</v>
      </c>
      <c r="BV31" s="230">
        <v>3278494</v>
      </c>
      <c r="BW31" s="229">
        <v>0.34010000000000001</v>
      </c>
      <c r="BX31" s="230">
        <v>108348450</v>
      </c>
      <c r="BY31" s="230">
        <v>116181675</v>
      </c>
      <c r="BZ31" s="230">
        <v>-7833225</v>
      </c>
      <c r="CA31" s="229">
        <v>-6.7400000000000002E-2</v>
      </c>
      <c r="CB31" s="230">
        <v>7938675</v>
      </c>
      <c r="CC31" s="230">
        <v>24377475</v>
      </c>
      <c r="CD31" s="230">
        <v>-16438800</v>
      </c>
      <c r="CE31" s="229">
        <v>-0.67430000000000001</v>
      </c>
      <c r="CF31" s="230">
        <v>104824425</v>
      </c>
      <c r="CG31" s="230">
        <v>89039700</v>
      </c>
      <c r="CH31" s="230">
        <v>15784725</v>
      </c>
      <c r="CI31" s="229">
        <v>0.17730000000000001</v>
      </c>
      <c r="CJ31" s="230">
        <v>3524025</v>
      </c>
      <c r="CK31" s="230">
        <v>2764500</v>
      </c>
      <c r="CL31" s="230">
        <v>759525</v>
      </c>
      <c r="CM31" s="229">
        <v>0.2747</v>
      </c>
      <c r="CN31" s="230">
        <v>24702375</v>
      </c>
      <c r="CO31" s="230">
        <v>61018500</v>
      </c>
      <c r="CP31" s="230">
        <v>-36316125</v>
      </c>
      <c r="CQ31" s="229">
        <v>-0.59519999999999995</v>
      </c>
      <c r="CR31" s="230">
        <v>19997025</v>
      </c>
      <c r="CS31" s="230">
        <v>34720125</v>
      </c>
      <c r="CT31" s="230">
        <v>-14723100</v>
      </c>
      <c r="CU31" s="229">
        <v>-0.42409999999999998</v>
      </c>
      <c r="CV31" s="230">
        <v>153047850</v>
      </c>
      <c r="CW31" s="230">
        <v>211920300</v>
      </c>
      <c r="CX31" s="230">
        <v>-58872450</v>
      </c>
      <c r="CY31" s="229">
        <v>-0.27779999999999999</v>
      </c>
      <c r="CZ31" s="228">
        <v>25.18</v>
      </c>
      <c r="DA31" s="228">
        <v>26.15</v>
      </c>
      <c r="DB31" s="228">
        <v>-0.97</v>
      </c>
      <c r="DC31" s="228">
        <v>-0.97</v>
      </c>
      <c r="DD31" s="228">
        <v>36.01</v>
      </c>
      <c r="DE31" s="228">
        <v>36.1</v>
      </c>
      <c r="DF31" s="228">
        <v>-10.83</v>
      </c>
      <c r="DG31" s="228">
        <v>-0.09</v>
      </c>
      <c r="DH31" s="228">
        <v>25.42</v>
      </c>
      <c r="DI31" s="228">
        <v>26.41</v>
      </c>
      <c r="DJ31" s="228">
        <v>-0.99</v>
      </c>
      <c r="DK31" s="228">
        <v>-0.99</v>
      </c>
      <c r="DL31" s="228">
        <v>24.73</v>
      </c>
      <c r="DM31" s="228">
        <v>25.74</v>
      </c>
      <c r="DN31" s="228">
        <v>-1.01</v>
      </c>
      <c r="DO31" s="228">
        <v>-1.01</v>
      </c>
      <c r="DP31" s="228">
        <v>0.81</v>
      </c>
      <c r="DQ31" s="228">
        <v>0.56999999999999995</v>
      </c>
      <c r="DR31" s="228">
        <v>0.24</v>
      </c>
      <c r="DS31" s="229">
        <v>0.42109999999999997</v>
      </c>
      <c r="DT31" s="228">
        <v>440</v>
      </c>
      <c r="DU31" s="228">
        <v>420</v>
      </c>
      <c r="DV31" s="228">
        <v>0.45</v>
      </c>
      <c r="DW31" s="228">
        <v>0.41</v>
      </c>
      <c r="DX31" s="228">
        <v>0.04</v>
      </c>
      <c r="DY31" s="229">
        <v>9.7600000000000006E-2</v>
      </c>
      <c r="DZ31" s="229">
        <v>0.93169999999999997</v>
      </c>
      <c r="EA31" s="230">
        <v>91804200</v>
      </c>
      <c r="EB31" s="229">
        <v>6.8999999999999999E-3</v>
      </c>
      <c r="EC31" s="229">
        <v>0.93169999999999997</v>
      </c>
      <c r="ED31" s="228">
        <v>2.79</v>
      </c>
      <c r="EE31" s="229">
        <v>6.6E-3</v>
      </c>
      <c r="EF31" s="230">
        <v>6605374</v>
      </c>
      <c r="EG31" s="230">
        <v>5411007</v>
      </c>
      <c r="EH31" s="229">
        <v>0.22070000000000001</v>
      </c>
      <c r="EI31" s="229">
        <v>0.51129999999999998</v>
      </c>
      <c r="EJ31" s="231">
        <v>234816</v>
      </c>
      <c r="EK31" s="231">
        <v>102446</v>
      </c>
      <c r="EL31" s="231">
        <v>203315.46</v>
      </c>
      <c r="EM31" s="231">
        <v>31903</v>
      </c>
      <c r="EN31" s="231">
        <v>540577.46</v>
      </c>
      <c r="EO31" s="231">
        <v>664574.36</v>
      </c>
      <c r="EP31" s="231">
        <v>-123996.9</v>
      </c>
      <c r="EQ31" s="229">
        <v>-0.18659999999999999</v>
      </c>
      <c r="ER31" s="231">
        <v>109524</v>
      </c>
      <c r="ES31" s="231">
        <v>83461</v>
      </c>
      <c r="ET31" s="231">
        <v>458673</v>
      </c>
      <c r="EU31" s="231">
        <v>535778534</v>
      </c>
      <c r="EV31" s="231">
        <v>651658</v>
      </c>
      <c r="EW31" s="231">
        <v>913111</v>
      </c>
      <c r="EX31" s="231">
        <v>-261453</v>
      </c>
      <c r="EY31" s="229">
        <v>-0.2863</v>
      </c>
      <c r="EZ31" s="229">
        <v>0.28570000000000001</v>
      </c>
      <c r="FA31" s="227" t="s">
        <v>567</v>
      </c>
      <c r="FB31" s="161">
        <f t="shared" si="0"/>
        <v>100409775</v>
      </c>
    </row>
    <row r="32" spans="1:158" ht="17.25" thickBot="1" x14ac:dyDescent="0.3">
      <c r="A32" s="226">
        <v>46168</v>
      </c>
      <c r="B32" s="227" t="s">
        <v>162</v>
      </c>
      <c r="C32" s="227" t="s">
        <v>187</v>
      </c>
      <c r="D32" s="228">
        <v>500</v>
      </c>
      <c r="E32" s="231">
        <v>1947.6</v>
      </c>
      <c r="F32" s="231">
        <v>1933.1</v>
      </c>
      <c r="G32" s="228">
        <v>14.5</v>
      </c>
      <c r="H32" s="229">
        <v>7.4999999999999997E-3</v>
      </c>
      <c r="I32" s="231">
        <v>1930.4</v>
      </c>
      <c r="J32" s="231">
        <v>1918.3</v>
      </c>
      <c r="K32" s="228">
        <v>12.1</v>
      </c>
      <c r="L32" s="229">
        <v>6.3E-3</v>
      </c>
      <c r="M32" s="231">
        <v>1931.2</v>
      </c>
      <c r="N32" s="231">
        <v>1920.7</v>
      </c>
      <c r="O32" s="228">
        <v>10.5</v>
      </c>
      <c r="P32" s="229">
        <v>5.4999999999999997E-3</v>
      </c>
      <c r="Q32" s="231">
        <v>1947.6</v>
      </c>
      <c r="R32" s="231">
        <v>1933.1</v>
      </c>
      <c r="S32" s="228">
        <v>14.5</v>
      </c>
      <c r="T32" s="229">
        <v>7.4999999999999997E-3</v>
      </c>
      <c r="U32" s="231">
        <v>1954.1</v>
      </c>
      <c r="V32" s="231">
        <v>1941.1</v>
      </c>
      <c r="W32" s="228">
        <v>13</v>
      </c>
      <c r="X32" s="229">
        <v>6.7000000000000002E-3</v>
      </c>
      <c r="Y32" s="228">
        <v>17.2</v>
      </c>
      <c r="Z32" s="228">
        <v>2.4</v>
      </c>
      <c r="AA32" s="228">
        <v>14.8</v>
      </c>
      <c r="AB32" s="229">
        <v>8.8999999999999999E-3</v>
      </c>
      <c r="AC32" s="228">
        <v>0.8</v>
      </c>
      <c r="AD32" s="228">
        <v>2.4</v>
      </c>
      <c r="AE32" s="228">
        <v>-1.6</v>
      </c>
      <c r="AF32" s="229">
        <v>4.0000000000000002E-4</v>
      </c>
      <c r="AG32" s="228">
        <v>17.2</v>
      </c>
      <c r="AH32" s="228">
        <v>14.8</v>
      </c>
      <c r="AI32" s="228">
        <v>2.4</v>
      </c>
      <c r="AJ32" s="229">
        <v>8.8999999999999999E-3</v>
      </c>
      <c r="AK32" s="228">
        <v>23.7</v>
      </c>
      <c r="AL32" s="228">
        <v>22.8</v>
      </c>
      <c r="AM32" s="228">
        <v>0.9</v>
      </c>
      <c r="AN32" s="229">
        <v>1.23E-2</v>
      </c>
      <c r="AO32" s="231">
        <v>1924.34</v>
      </c>
      <c r="AP32" s="231">
        <v>1939.49</v>
      </c>
      <c r="AQ32" s="228">
        <v>0</v>
      </c>
      <c r="AR32" s="230">
        <v>2313500</v>
      </c>
      <c r="AS32" s="230">
        <v>4224000</v>
      </c>
      <c r="AT32" s="230">
        <v>-1910500</v>
      </c>
      <c r="AU32" s="229">
        <v>-0.45229999999999998</v>
      </c>
      <c r="AV32" s="230">
        <v>996500</v>
      </c>
      <c r="AW32" s="230">
        <v>1942500</v>
      </c>
      <c r="AX32" s="230">
        <v>-946000</v>
      </c>
      <c r="AY32" s="229">
        <v>-0.48699999999999999</v>
      </c>
      <c r="AZ32" s="230">
        <v>1308000</v>
      </c>
      <c r="BA32" s="230">
        <v>2257500</v>
      </c>
      <c r="BB32" s="230">
        <v>-949500</v>
      </c>
      <c r="BC32" s="229">
        <v>-0.42059999999999997</v>
      </c>
      <c r="BD32" s="230">
        <v>9000</v>
      </c>
      <c r="BE32" s="230">
        <v>24000</v>
      </c>
      <c r="BF32" s="230">
        <v>-15000</v>
      </c>
      <c r="BG32" s="229">
        <v>-0.625</v>
      </c>
      <c r="BH32" s="230">
        <v>4570000</v>
      </c>
      <c r="BI32" s="230">
        <v>6938500</v>
      </c>
      <c r="BJ32" s="230">
        <v>-2368500</v>
      </c>
      <c r="BK32" s="229">
        <v>-0.34139999999999998</v>
      </c>
      <c r="BL32" s="230">
        <v>1195500</v>
      </c>
      <c r="BM32" s="230">
        <v>2497500</v>
      </c>
      <c r="BN32" s="230">
        <v>-1302000</v>
      </c>
      <c r="BO32" s="229">
        <v>-0.52129999999999999</v>
      </c>
      <c r="BP32" s="230">
        <v>8079000</v>
      </c>
      <c r="BQ32" s="230">
        <v>13660000</v>
      </c>
      <c r="BR32" s="230">
        <v>-5581000</v>
      </c>
      <c r="BS32" s="229">
        <v>-0.40860000000000002</v>
      </c>
      <c r="BT32" s="230">
        <v>1034954</v>
      </c>
      <c r="BU32" s="230">
        <v>921513</v>
      </c>
      <c r="BV32" s="230">
        <v>113441</v>
      </c>
      <c r="BW32" s="229">
        <v>0.1231</v>
      </c>
      <c r="BX32" s="230">
        <v>6855000</v>
      </c>
      <c r="BY32" s="230">
        <v>7316500</v>
      </c>
      <c r="BZ32" s="230">
        <v>-461500</v>
      </c>
      <c r="CA32" s="229">
        <v>-6.3100000000000003E-2</v>
      </c>
      <c r="CB32" s="230">
        <v>526000</v>
      </c>
      <c r="CC32" s="230">
        <v>1046500</v>
      </c>
      <c r="CD32" s="230">
        <v>-520500</v>
      </c>
      <c r="CE32" s="229">
        <v>-0.49740000000000001</v>
      </c>
      <c r="CF32" s="230">
        <v>6805000</v>
      </c>
      <c r="CG32" s="230">
        <v>6222500</v>
      </c>
      <c r="CH32" s="230">
        <v>582500</v>
      </c>
      <c r="CI32" s="229">
        <v>9.3600000000000003E-2</v>
      </c>
      <c r="CJ32" s="230">
        <v>50000</v>
      </c>
      <c r="CK32" s="230">
        <v>47500</v>
      </c>
      <c r="CL32" s="230">
        <v>2500</v>
      </c>
      <c r="CM32" s="229">
        <v>5.2600000000000001E-2</v>
      </c>
      <c r="CN32" s="230">
        <v>982500</v>
      </c>
      <c r="CO32" s="230">
        <v>3600500</v>
      </c>
      <c r="CP32" s="230">
        <v>-2618000</v>
      </c>
      <c r="CQ32" s="229">
        <v>-0.72709999999999997</v>
      </c>
      <c r="CR32" s="230">
        <v>764500</v>
      </c>
      <c r="CS32" s="230">
        <v>2436500</v>
      </c>
      <c r="CT32" s="230">
        <v>-1672000</v>
      </c>
      <c r="CU32" s="229">
        <v>-0.68620000000000003</v>
      </c>
      <c r="CV32" s="230">
        <v>8602000</v>
      </c>
      <c r="CW32" s="230">
        <v>13353500</v>
      </c>
      <c r="CX32" s="230">
        <v>-4751500</v>
      </c>
      <c r="CY32" s="229">
        <v>-0.35580000000000001</v>
      </c>
      <c r="CZ32" s="228">
        <v>28.47</v>
      </c>
      <c r="DA32" s="228">
        <v>29.09</v>
      </c>
      <c r="DB32" s="228">
        <v>-0.62</v>
      </c>
      <c r="DC32" s="228">
        <v>-0.62</v>
      </c>
      <c r="DD32" s="228">
        <v>39.28</v>
      </c>
      <c r="DE32" s="228">
        <v>39.369999999999997</v>
      </c>
      <c r="DF32" s="228">
        <v>-10.81</v>
      </c>
      <c r="DG32" s="228">
        <v>-0.09</v>
      </c>
      <c r="DH32" s="228">
        <v>28.47</v>
      </c>
      <c r="DI32" s="228">
        <v>29</v>
      </c>
      <c r="DJ32" s="228">
        <v>-0.53</v>
      </c>
      <c r="DK32" s="228">
        <v>-0.53</v>
      </c>
      <c r="DL32" s="228">
        <v>28.45</v>
      </c>
      <c r="DM32" s="228">
        <v>29.31</v>
      </c>
      <c r="DN32" s="228">
        <v>-0.86</v>
      </c>
      <c r="DO32" s="228">
        <v>-0.86</v>
      </c>
      <c r="DP32" s="228">
        <v>0.78</v>
      </c>
      <c r="DQ32" s="228">
        <v>0.68</v>
      </c>
      <c r="DR32" s="228">
        <v>0.1</v>
      </c>
      <c r="DS32" s="229">
        <v>0.14710000000000001</v>
      </c>
      <c r="DT32" s="231">
        <v>2000</v>
      </c>
      <c r="DU32" s="231">
        <v>1800</v>
      </c>
      <c r="DV32" s="228">
        <v>0.26</v>
      </c>
      <c r="DW32" s="228">
        <v>0.36</v>
      </c>
      <c r="DX32" s="228">
        <v>-0.1</v>
      </c>
      <c r="DY32" s="229">
        <v>-0.27779999999999999</v>
      </c>
      <c r="DZ32" s="229">
        <v>0.92869999999999997</v>
      </c>
      <c r="EA32" s="230">
        <v>6270000</v>
      </c>
      <c r="EB32" s="229">
        <v>8.5000000000000006E-3</v>
      </c>
      <c r="EC32" s="229">
        <v>0.92869999999999997</v>
      </c>
      <c r="ED32" s="228">
        <v>15.15</v>
      </c>
      <c r="EE32" s="229">
        <v>7.9000000000000008E-3</v>
      </c>
      <c r="EF32" s="230">
        <v>500082</v>
      </c>
      <c r="EG32" s="230">
        <v>462390</v>
      </c>
      <c r="EH32" s="229">
        <v>8.1500000000000003E-2</v>
      </c>
      <c r="EI32" s="229">
        <v>0.48320000000000002</v>
      </c>
      <c r="EJ32" s="231">
        <v>90812.62</v>
      </c>
      <c r="EK32" s="231">
        <v>22856</v>
      </c>
      <c r="EL32" s="231">
        <v>44719.92</v>
      </c>
      <c r="EM32" s="231">
        <v>7292</v>
      </c>
      <c r="EN32" s="231">
        <v>158388.54</v>
      </c>
      <c r="EO32" s="231">
        <v>267327.98</v>
      </c>
      <c r="EP32" s="231">
        <v>-108939.44</v>
      </c>
      <c r="EQ32" s="229">
        <v>-0.40749999999999997</v>
      </c>
      <c r="ER32" s="231">
        <v>19487</v>
      </c>
      <c r="ES32" s="231">
        <v>14252</v>
      </c>
      <c r="ET32" s="231">
        <v>133511</v>
      </c>
      <c r="EU32" s="231">
        <v>40107751</v>
      </c>
      <c r="EV32" s="231">
        <v>167250</v>
      </c>
      <c r="EW32" s="231">
        <v>257531</v>
      </c>
      <c r="EX32" s="231">
        <v>-90281</v>
      </c>
      <c r="EY32" s="229">
        <v>-0.35060000000000002</v>
      </c>
      <c r="EZ32" s="229">
        <v>0.2145</v>
      </c>
      <c r="FA32" s="227" t="s">
        <v>691</v>
      </c>
      <c r="FB32" s="161">
        <f t="shared" si="0"/>
        <v>6329000</v>
      </c>
    </row>
    <row r="33" spans="1:158" ht="17.25" thickBot="1" x14ac:dyDescent="0.3">
      <c r="A33" s="226">
        <v>46168</v>
      </c>
      <c r="B33" s="227" t="s">
        <v>188</v>
      </c>
      <c r="C33" s="227" t="s">
        <v>189</v>
      </c>
      <c r="D33" s="228">
        <v>475</v>
      </c>
      <c r="E33" s="231">
        <v>1861.7</v>
      </c>
      <c r="F33" s="231">
        <v>1889.6</v>
      </c>
      <c r="G33" s="228">
        <v>-27.9</v>
      </c>
      <c r="H33" s="229">
        <v>-1.4800000000000001E-2</v>
      </c>
      <c r="I33" s="231">
        <v>1846.9</v>
      </c>
      <c r="J33" s="231">
        <v>1874.8</v>
      </c>
      <c r="K33" s="228">
        <v>-27.9</v>
      </c>
      <c r="L33" s="229">
        <v>-1.49E-2</v>
      </c>
      <c r="M33" s="231">
        <v>1846</v>
      </c>
      <c r="N33" s="231">
        <v>1877.7</v>
      </c>
      <c r="O33" s="228">
        <v>-31.7</v>
      </c>
      <c r="P33" s="229">
        <v>-1.6899999999999998E-2</v>
      </c>
      <c r="Q33" s="231">
        <v>1861.7</v>
      </c>
      <c r="R33" s="231">
        <v>1889.6</v>
      </c>
      <c r="S33" s="228">
        <v>-27.9</v>
      </c>
      <c r="T33" s="229">
        <v>-1.4800000000000001E-2</v>
      </c>
      <c r="U33" s="231">
        <v>1863</v>
      </c>
      <c r="V33" s="231">
        <v>1887.8</v>
      </c>
      <c r="W33" s="228">
        <v>-24.8</v>
      </c>
      <c r="X33" s="229">
        <v>-1.3100000000000001E-2</v>
      </c>
      <c r="Y33" s="228">
        <v>14.8</v>
      </c>
      <c r="Z33" s="228">
        <v>2.9</v>
      </c>
      <c r="AA33" s="228">
        <v>11.9</v>
      </c>
      <c r="AB33" s="229">
        <v>8.0000000000000002E-3</v>
      </c>
      <c r="AC33" s="228">
        <v>-0.9</v>
      </c>
      <c r="AD33" s="228">
        <v>2.9</v>
      </c>
      <c r="AE33" s="228">
        <v>-3.8</v>
      </c>
      <c r="AF33" s="229">
        <v>-5.0000000000000001E-4</v>
      </c>
      <c r="AG33" s="228">
        <v>14.8</v>
      </c>
      <c r="AH33" s="228">
        <v>14.8</v>
      </c>
      <c r="AI33" s="228">
        <v>0</v>
      </c>
      <c r="AJ33" s="229">
        <v>8.0000000000000002E-3</v>
      </c>
      <c r="AK33" s="228">
        <v>16.100000000000001</v>
      </c>
      <c r="AL33" s="228">
        <v>13</v>
      </c>
      <c r="AM33" s="228">
        <v>3.1</v>
      </c>
      <c r="AN33" s="229">
        <v>8.6999999999999994E-3</v>
      </c>
      <c r="AO33" s="231">
        <v>1859.52</v>
      </c>
      <c r="AP33" s="231">
        <v>1873.28</v>
      </c>
      <c r="AQ33" s="228">
        <v>0</v>
      </c>
      <c r="AR33" s="230">
        <v>12887700</v>
      </c>
      <c r="AS33" s="230">
        <v>24945100</v>
      </c>
      <c r="AT33" s="230">
        <v>-12057400</v>
      </c>
      <c r="AU33" s="229">
        <v>-0.4834</v>
      </c>
      <c r="AV33" s="230">
        <v>4756175</v>
      </c>
      <c r="AW33" s="230">
        <v>11527300</v>
      </c>
      <c r="AX33" s="230">
        <v>-6771125</v>
      </c>
      <c r="AY33" s="229">
        <v>-0.58740000000000003</v>
      </c>
      <c r="AZ33" s="230">
        <v>7907800</v>
      </c>
      <c r="BA33" s="230">
        <v>13269125</v>
      </c>
      <c r="BB33" s="230">
        <v>-5361325</v>
      </c>
      <c r="BC33" s="229">
        <v>-0.40400000000000003</v>
      </c>
      <c r="BD33" s="230">
        <v>223725</v>
      </c>
      <c r="BE33" s="230">
        <v>148675</v>
      </c>
      <c r="BF33" s="230">
        <v>75050</v>
      </c>
      <c r="BG33" s="229">
        <v>0.50480000000000003</v>
      </c>
      <c r="BH33" s="230">
        <v>15633675</v>
      </c>
      <c r="BI33" s="230">
        <v>29494650</v>
      </c>
      <c r="BJ33" s="230">
        <v>-13860975</v>
      </c>
      <c r="BK33" s="229">
        <v>-0.46989999999999998</v>
      </c>
      <c r="BL33" s="230">
        <v>8682525</v>
      </c>
      <c r="BM33" s="230">
        <v>16428350</v>
      </c>
      <c r="BN33" s="230">
        <v>-7745825</v>
      </c>
      <c r="BO33" s="229">
        <v>-0.47149999999999997</v>
      </c>
      <c r="BP33" s="230">
        <v>37203900</v>
      </c>
      <c r="BQ33" s="230">
        <v>70868100</v>
      </c>
      <c r="BR33" s="230">
        <v>-33664200</v>
      </c>
      <c r="BS33" s="229">
        <v>-0.47499999999999998</v>
      </c>
      <c r="BT33" s="230">
        <v>5942370</v>
      </c>
      <c r="BU33" s="230">
        <v>6040945</v>
      </c>
      <c r="BV33" s="230">
        <v>-98575</v>
      </c>
      <c r="BW33" s="229">
        <v>-1.6299999999999999E-2</v>
      </c>
      <c r="BX33" s="230">
        <v>57618450</v>
      </c>
      <c r="BY33" s="230">
        <v>57594700</v>
      </c>
      <c r="BZ33" s="230">
        <v>23750</v>
      </c>
      <c r="CA33" s="229">
        <v>4.0000000000000002E-4</v>
      </c>
      <c r="CB33" s="230">
        <v>4581850</v>
      </c>
      <c r="CC33" s="230">
        <v>5287225</v>
      </c>
      <c r="CD33" s="230">
        <v>-705375</v>
      </c>
      <c r="CE33" s="229">
        <v>-0.13339999999999999</v>
      </c>
      <c r="CF33" s="230">
        <v>56990975</v>
      </c>
      <c r="CG33" s="230">
        <v>51831050</v>
      </c>
      <c r="CH33" s="230">
        <v>5159925</v>
      </c>
      <c r="CI33" s="229">
        <v>9.9599999999999994E-2</v>
      </c>
      <c r="CJ33" s="230">
        <v>627475</v>
      </c>
      <c r="CK33" s="230">
        <v>476425</v>
      </c>
      <c r="CL33" s="230">
        <v>151050</v>
      </c>
      <c r="CM33" s="229">
        <v>0.317</v>
      </c>
      <c r="CN33" s="230">
        <v>7433750</v>
      </c>
      <c r="CO33" s="230">
        <v>24047350</v>
      </c>
      <c r="CP33" s="230">
        <v>-16613600</v>
      </c>
      <c r="CQ33" s="229">
        <v>-0.69089999999999996</v>
      </c>
      <c r="CR33" s="230">
        <v>3993800</v>
      </c>
      <c r="CS33" s="230">
        <v>12346200</v>
      </c>
      <c r="CT33" s="230">
        <v>-8352400</v>
      </c>
      <c r="CU33" s="229">
        <v>-0.67649999999999999</v>
      </c>
      <c r="CV33" s="230">
        <v>69046000</v>
      </c>
      <c r="CW33" s="230">
        <v>93988250</v>
      </c>
      <c r="CX33" s="230">
        <v>-24942250</v>
      </c>
      <c r="CY33" s="229">
        <v>-0.26540000000000002</v>
      </c>
      <c r="CZ33" s="228">
        <v>18.899999999999999</v>
      </c>
      <c r="DA33" s="228">
        <v>18.88</v>
      </c>
      <c r="DB33" s="228">
        <v>0.02</v>
      </c>
      <c r="DC33" s="228">
        <v>0.02</v>
      </c>
      <c r="DD33" s="228">
        <v>25.66</v>
      </c>
      <c r="DE33" s="228">
        <v>25.65</v>
      </c>
      <c r="DF33" s="228">
        <v>-6.76</v>
      </c>
      <c r="DG33" s="228">
        <v>0.01</v>
      </c>
      <c r="DH33" s="228">
        <v>19.22</v>
      </c>
      <c r="DI33" s="228">
        <v>18.86</v>
      </c>
      <c r="DJ33" s="228">
        <v>0.36</v>
      </c>
      <c r="DK33" s="228">
        <v>0.36</v>
      </c>
      <c r="DL33" s="228">
        <v>18.329999999999998</v>
      </c>
      <c r="DM33" s="228">
        <v>18.93</v>
      </c>
      <c r="DN33" s="228">
        <v>-0.6</v>
      </c>
      <c r="DO33" s="228">
        <v>-0.6</v>
      </c>
      <c r="DP33" s="228">
        <v>0.54</v>
      </c>
      <c r="DQ33" s="228">
        <v>0.51</v>
      </c>
      <c r="DR33" s="228">
        <v>0.03</v>
      </c>
      <c r="DS33" s="229">
        <v>5.8799999999999998E-2</v>
      </c>
      <c r="DT33" s="231">
        <v>1920</v>
      </c>
      <c r="DU33" s="231">
        <v>1800</v>
      </c>
      <c r="DV33" s="228">
        <v>0.56000000000000005</v>
      </c>
      <c r="DW33" s="228">
        <v>0.56000000000000005</v>
      </c>
      <c r="DX33" s="228">
        <v>0</v>
      </c>
      <c r="DY33" s="229">
        <v>0</v>
      </c>
      <c r="DZ33" s="229">
        <v>0.92630000000000001</v>
      </c>
      <c r="EA33" s="230">
        <v>52307475</v>
      </c>
      <c r="EB33" s="229">
        <v>8.5000000000000006E-3</v>
      </c>
      <c r="EC33" s="229">
        <v>0.92630000000000001</v>
      </c>
      <c r="ED33" s="228">
        <v>13.76</v>
      </c>
      <c r="EE33" s="229">
        <v>7.4000000000000003E-3</v>
      </c>
      <c r="EF33" s="230">
        <v>3804471</v>
      </c>
      <c r="EG33" s="230">
        <v>4574795</v>
      </c>
      <c r="EH33" s="229">
        <v>-0.16839999999999999</v>
      </c>
      <c r="EI33" s="229">
        <v>0.64019999999999999</v>
      </c>
      <c r="EJ33" s="231">
        <v>302090.84999999998</v>
      </c>
      <c r="EK33" s="231">
        <v>163503.88</v>
      </c>
      <c r="EL33" s="231">
        <v>240763.49</v>
      </c>
      <c r="EM33" s="231">
        <v>40820</v>
      </c>
      <c r="EN33" s="231">
        <v>706358.22</v>
      </c>
      <c r="EO33" s="231">
        <v>1343396.86</v>
      </c>
      <c r="EP33" s="231">
        <v>-637038.64</v>
      </c>
      <c r="EQ33" s="229">
        <v>-0.47420000000000001</v>
      </c>
      <c r="ER33" s="231">
        <v>144986</v>
      </c>
      <c r="ES33" s="231">
        <v>74665</v>
      </c>
      <c r="ET33" s="231">
        <v>1072691</v>
      </c>
      <c r="EU33" s="231">
        <v>342859930</v>
      </c>
      <c r="EV33" s="231">
        <v>1292341</v>
      </c>
      <c r="EW33" s="231">
        <v>1775354</v>
      </c>
      <c r="EX33" s="231">
        <v>-483013</v>
      </c>
      <c r="EY33" s="229">
        <v>-0.27210000000000001</v>
      </c>
      <c r="EZ33" s="229">
        <v>0.2014</v>
      </c>
      <c r="FA33" s="227" t="s">
        <v>566</v>
      </c>
      <c r="FB33" s="161">
        <f t="shared" si="0"/>
        <v>53036600</v>
      </c>
    </row>
    <row r="34" spans="1:158" ht="17.25" thickBot="1" x14ac:dyDescent="0.3">
      <c r="A34" s="226">
        <v>46168</v>
      </c>
      <c r="B34" s="227" t="s">
        <v>184</v>
      </c>
      <c r="C34" s="227" t="s">
        <v>190</v>
      </c>
      <c r="D34" s="228">
        <v>2625</v>
      </c>
      <c r="E34" s="228">
        <v>420.35</v>
      </c>
      <c r="F34" s="228">
        <v>422.8</v>
      </c>
      <c r="G34" s="228">
        <v>-2.4500000000000002</v>
      </c>
      <c r="H34" s="229">
        <v>-5.7999999999999996E-3</v>
      </c>
      <c r="I34" s="228">
        <v>417.75</v>
      </c>
      <c r="J34" s="228">
        <v>419.4</v>
      </c>
      <c r="K34" s="228">
        <v>-1.65</v>
      </c>
      <c r="L34" s="229">
        <v>-3.8999999999999998E-3</v>
      </c>
      <c r="M34" s="228">
        <v>416.7</v>
      </c>
      <c r="N34" s="228">
        <v>420.1</v>
      </c>
      <c r="O34" s="228">
        <v>-3.4</v>
      </c>
      <c r="P34" s="229">
        <v>-8.0999999999999996E-3</v>
      </c>
      <c r="Q34" s="228">
        <v>420.35</v>
      </c>
      <c r="R34" s="228">
        <v>422.8</v>
      </c>
      <c r="S34" s="228">
        <v>-2.4500000000000002</v>
      </c>
      <c r="T34" s="229">
        <v>-5.7999999999999996E-3</v>
      </c>
      <c r="U34" s="228">
        <v>422.45</v>
      </c>
      <c r="V34" s="228">
        <v>424.4</v>
      </c>
      <c r="W34" s="228">
        <v>-1.95</v>
      </c>
      <c r="X34" s="229">
        <v>-4.5999999999999999E-3</v>
      </c>
      <c r="Y34" s="228">
        <v>2.6</v>
      </c>
      <c r="Z34" s="228">
        <v>0.7</v>
      </c>
      <c r="AA34" s="228">
        <v>1.9</v>
      </c>
      <c r="AB34" s="229">
        <v>6.1999999999999998E-3</v>
      </c>
      <c r="AC34" s="228">
        <v>-1.05</v>
      </c>
      <c r="AD34" s="228">
        <v>0.7</v>
      </c>
      <c r="AE34" s="228">
        <v>-1.75</v>
      </c>
      <c r="AF34" s="229">
        <v>-2.5000000000000001E-3</v>
      </c>
      <c r="AG34" s="228">
        <v>2.6</v>
      </c>
      <c r="AH34" s="228">
        <v>3.4</v>
      </c>
      <c r="AI34" s="228">
        <v>-0.8</v>
      </c>
      <c r="AJ34" s="229">
        <v>6.1999999999999998E-3</v>
      </c>
      <c r="AK34" s="228">
        <v>4.7</v>
      </c>
      <c r="AL34" s="228">
        <v>5</v>
      </c>
      <c r="AM34" s="228">
        <v>-0.3</v>
      </c>
      <c r="AN34" s="229">
        <v>1.1299999999999999E-2</v>
      </c>
      <c r="AO34" s="228">
        <v>417.22</v>
      </c>
      <c r="AP34" s="228">
        <v>420.45</v>
      </c>
      <c r="AQ34" s="228">
        <v>0</v>
      </c>
      <c r="AR34" s="230">
        <v>53568375</v>
      </c>
      <c r="AS34" s="230">
        <v>59884125</v>
      </c>
      <c r="AT34" s="230">
        <v>-6315750</v>
      </c>
      <c r="AU34" s="229">
        <v>-0.1055</v>
      </c>
      <c r="AV34" s="230">
        <v>24241875</v>
      </c>
      <c r="AW34" s="230">
        <v>26964000</v>
      </c>
      <c r="AX34" s="230">
        <v>-2722125</v>
      </c>
      <c r="AY34" s="229">
        <v>-0.10100000000000001</v>
      </c>
      <c r="AZ34" s="230">
        <v>28830375</v>
      </c>
      <c r="BA34" s="230">
        <v>32235000</v>
      </c>
      <c r="BB34" s="230">
        <v>-3404625</v>
      </c>
      <c r="BC34" s="229">
        <v>-0.1056</v>
      </c>
      <c r="BD34" s="230">
        <v>496125</v>
      </c>
      <c r="BE34" s="230">
        <v>685125</v>
      </c>
      <c r="BF34" s="230">
        <v>-189000</v>
      </c>
      <c r="BG34" s="229">
        <v>-0.27589999999999998</v>
      </c>
      <c r="BH34" s="230">
        <v>55631625</v>
      </c>
      <c r="BI34" s="230">
        <v>92218875</v>
      </c>
      <c r="BJ34" s="230">
        <v>-36587250</v>
      </c>
      <c r="BK34" s="229">
        <v>-0.3967</v>
      </c>
      <c r="BL34" s="230">
        <v>28644000</v>
      </c>
      <c r="BM34" s="230">
        <v>42661500</v>
      </c>
      <c r="BN34" s="230">
        <v>-14017500</v>
      </c>
      <c r="BO34" s="229">
        <v>-0.3286</v>
      </c>
      <c r="BP34" s="230">
        <v>137844000</v>
      </c>
      <c r="BQ34" s="230">
        <v>194764500</v>
      </c>
      <c r="BR34" s="230">
        <v>-56920500</v>
      </c>
      <c r="BS34" s="229">
        <v>-0.2923</v>
      </c>
      <c r="BT34" s="230">
        <v>10065183</v>
      </c>
      <c r="BU34" s="230">
        <v>11818420</v>
      </c>
      <c r="BV34" s="230">
        <v>-1753237</v>
      </c>
      <c r="BW34" s="229">
        <v>-0.14829999999999999</v>
      </c>
      <c r="BX34" s="230">
        <v>121831500</v>
      </c>
      <c r="BY34" s="230">
        <v>131152875</v>
      </c>
      <c r="BZ34" s="230">
        <v>-9321375</v>
      </c>
      <c r="CA34" s="229">
        <v>-7.1099999999999997E-2</v>
      </c>
      <c r="CB34" s="230">
        <v>11082750</v>
      </c>
      <c r="CC34" s="230">
        <v>21049875</v>
      </c>
      <c r="CD34" s="230">
        <v>-9967125</v>
      </c>
      <c r="CE34" s="229">
        <v>-0.47349999999999998</v>
      </c>
      <c r="CF34" s="230">
        <v>120760500</v>
      </c>
      <c r="CG34" s="230">
        <v>109142250</v>
      </c>
      <c r="CH34" s="230">
        <v>11618250</v>
      </c>
      <c r="CI34" s="229">
        <v>0.1065</v>
      </c>
      <c r="CJ34" s="230">
        <v>1071000</v>
      </c>
      <c r="CK34" s="230">
        <v>960750</v>
      </c>
      <c r="CL34" s="230">
        <v>110250</v>
      </c>
      <c r="CM34" s="229">
        <v>0.1148</v>
      </c>
      <c r="CN34" s="230">
        <v>22126125</v>
      </c>
      <c r="CO34" s="230">
        <v>49560000</v>
      </c>
      <c r="CP34" s="230">
        <v>-27433875</v>
      </c>
      <c r="CQ34" s="229">
        <v>-0.55349999999999999</v>
      </c>
      <c r="CR34" s="230">
        <v>14539875</v>
      </c>
      <c r="CS34" s="230">
        <v>40524750</v>
      </c>
      <c r="CT34" s="230">
        <v>-25984875</v>
      </c>
      <c r="CU34" s="229">
        <v>-0.64119999999999999</v>
      </c>
      <c r="CV34" s="230">
        <v>158497500</v>
      </c>
      <c r="CW34" s="230">
        <v>221237625</v>
      </c>
      <c r="CX34" s="230">
        <v>-62740125</v>
      </c>
      <c r="CY34" s="229">
        <v>-0.28360000000000002</v>
      </c>
      <c r="CZ34" s="228">
        <v>34.24</v>
      </c>
      <c r="DA34" s="228">
        <v>35.6</v>
      </c>
      <c r="DB34" s="228">
        <v>-1.36</v>
      </c>
      <c r="DC34" s="228">
        <v>-1.36</v>
      </c>
      <c r="DD34" s="228">
        <v>47.6</v>
      </c>
      <c r="DE34" s="228">
        <v>47.72</v>
      </c>
      <c r="DF34" s="228">
        <v>-13.36</v>
      </c>
      <c r="DG34" s="228">
        <v>-0.12</v>
      </c>
      <c r="DH34" s="228">
        <v>34.08</v>
      </c>
      <c r="DI34" s="228">
        <v>35.51</v>
      </c>
      <c r="DJ34" s="228">
        <v>-1.43</v>
      </c>
      <c r="DK34" s="228">
        <v>-1.43</v>
      </c>
      <c r="DL34" s="228">
        <v>34.56</v>
      </c>
      <c r="DM34" s="228">
        <v>35.82</v>
      </c>
      <c r="DN34" s="228">
        <v>-1.26</v>
      </c>
      <c r="DO34" s="228">
        <v>-1.26</v>
      </c>
      <c r="DP34" s="228">
        <v>0.66</v>
      </c>
      <c r="DQ34" s="228">
        <v>0.82</v>
      </c>
      <c r="DR34" s="228">
        <v>-0.16</v>
      </c>
      <c r="DS34" s="229">
        <v>-0.1951</v>
      </c>
      <c r="DT34" s="228">
        <v>420</v>
      </c>
      <c r="DU34" s="228">
        <v>400</v>
      </c>
      <c r="DV34" s="228">
        <v>0.51</v>
      </c>
      <c r="DW34" s="228">
        <v>0.46</v>
      </c>
      <c r="DX34" s="228">
        <v>0.05</v>
      </c>
      <c r="DY34" s="229">
        <v>0.1087</v>
      </c>
      <c r="DZ34" s="229">
        <v>0.91659999999999997</v>
      </c>
      <c r="EA34" s="230">
        <v>110103000</v>
      </c>
      <c r="EB34" s="229">
        <v>8.8000000000000005E-3</v>
      </c>
      <c r="EC34" s="229">
        <v>0.91659999999999997</v>
      </c>
      <c r="ED34" s="228">
        <v>3.23</v>
      </c>
      <c r="EE34" s="229">
        <v>7.7000000000000002E-3</v>
      </c>
      <c r="EF34" s="230">
        <v>3709325</v>
      </c>
      <c r="EG34" s="230">
        <v>4881442</v>
      </c>
      <c r="EH34" s="229">
        <v>-0.24010000000000001</v>
      </c>
      <c r="EI34" s="229">
        <v>0.36849999999999999</v>
      </c>
      <c r="EJ34" s="231">
        <v>240780.72</v>
      </c>
      <c r="EK34" s="231">
        <v>115518.49</v>
      </c>
      <c r="EL34" s="231">
        <v>224454.69</v>
      </c>
      <c r="EM34" s="231">
        <v>21404</v>
      </c>
      <c r="EN34" s="231">
        <v>580753.9</v>
      </c>
      <c r="EO34" s="231">
        <v>815745.66</v>
      </c>
      <c r="EP34" s="231">
        <v>-234991.76</v>
      </c>
      <c r="EQ34" s="229">
        <v>-0.28810000000000002</v>
      </c>
      <c r="ER34" s="231">
        <v>92803</v>
      </c>
      <c r="ES34" s="231">
        <v>56344</v>
      </c>
      <c r="ET34" s="231">
        <v>512141</v>
      </c>
      <c r="EU34" s="231">
        <v>192361942</v>
      </c>
      <c r="EV34" s="231">
        <v>661288</v>
      </c>
      <c r="EW34" s="231">
        <v>901561</v>
      </c>
      <c r="EX34" s="231">
        <v>-240273</v>
      </c>
      <c r="EY34" s="229">
        <v>-0.26650000000000001</v>
      </c>
      <c r="EZ34" s="229">
        <v>0.82399999999999995</v>
      </c>
      <c r="FA34" s="227" t="s">
        <v>567</v>
      </c>
      <c r="FB34" s="161">
        <f t="shared" si="0"/>
        <v>110748750</v>
      </c>
    </row>
    <row r="35" spans="1:158" ht="17.25" thickBot="1" x14ac:dyDescent="0.3">
      <c r="A35" s="226">
        <v>46168</v>
      </c>
      <c r="B35" s="227" t="s">
        <v>170</v>
      </c>
      <c r="C35" s="227" t="s">
        <v>191</v>
      </c>
      <c r="D35" s="228">
        <v>2500</v>
      </c>
      <c r="E35" s="228">
        <v>439.85</v>
      </c>
      <c r="F35" s="228">
        <v>433.35</v>
      </c>
      <c r="G35" s="228">
        <v>6.5</v>
      </c>
      <c r="H35" s="229">
        <v>1.4999999999999999E-2</v>
      </c>
      <c r="I35" s="228">
        <v>436.15</v>
      </c>
      <c r="J35" s="228">
        <v>430.05</v>
      </c>
      <c r="K35" s="228">
        <v>6.1</v>
      </c>
      <c r="L35" s="229">
        <v>1.4200000000000001E-2</v>
      </c>
      <c r="M35" s="228">
        <v>436.65</v>
      </c>
      <c r="N35" s="228">
        <v>430.55</v>
      </c>
      <c r="O35" s="228">
        <v>6.1</v>
      </c>
      <c r="P35" s="229">
        <v>1.4200000000000001E-2</v>
      </c>
      <c r="Q35" s="228">
        <v>439.85</v>
      </c>
      <c r="R35" s="228">
        <v>433.35</v>
      </c>
      <c r="S35" s="228">
        <v>6.5</v>
      </c>
      <c r="T35" s="229">
        <v>1.4999999999999999E-2</v>
      </c>
      <c r="U35" s="228">
        <v>441.8</v>
      </c>
      <c r="V35" s="228">
        <v>434.95</v>
      </c>
      <c r="W35" s="228">
        <v>6.85</v>
      </c>
      <c r="X35" s="229">
        <v>1.5699999999999999E-2</v>
      </c>
      <c r="Y35" s="228">
        <v>3.7</v>
      </c>
      <c r="Z35" s="228">
        <v>0.5</v>
      </c>
      <c r="AA35" s="228">
        <v>3.2</v>
      </c>
      <c r="AB35" s="229">
        <v>8.5000000000000006E-3</v>
      </c>
      <c r="AC35" s="228">
        <v>0.5</v>
      </c>
      <c r="AD35" s="228">
        <v>0.5</v>
      </c>
      <c r="AE35" s="228">
        <v>0</v>
      </c>
      <c r="AF35" s="229">
        <v>1.1000000000000001E-3</v>
      </c>
      <c r="AG35" s="228">
        <v>3.7</v>
      </c>
      <c r="AH35" s="228">
        <v>3.3</v>
      </c>
      <c r="AI35" s="228">
        <v>0.4</v>
      </c>
      <c r="AJ35" s="229">
        <v>8.5000000000000006E-3</v>
      </c>
      <c r="AK35" s="228">
        <v>5.65</v>
      </c>
      <c r="AL35" s="228">
        <v>4.9000000000000004</v>
      </c>
      <c r="AM35" s="228">
        <v>0.75</v>
      </c>
      <c r="AN35" s="229">
        <v>1.2999999999999999E-2</v>
      </c>
      <c r="AO35" s="228">
        <v>435.14</v>
      </c>
      <c r="AP35" s="228">
        <v>439.09</v>
      </c>
      <c r="AQ35" s="228">
        <v>0</v>
      </c>
      <c r="AR35" s="230">
        <v>20912500</v>
      </c>
      <c r="AS35" s="230">
        <v>25295000</v>
      </c>
      <c r="AT35" s="230">
        <v>-4382500</v>
      </c>
      <c r="AU35" s="229">
        <v>-0.17330000000000001</v>
      </c>
      <c r="AV35" s="230">
        <v>6592500</v>
      </c>
      <c r="AW35" s="230">
        <v>12252500</v>
      </c>
      <c r="AX35" s="230">
        <v>-5660000</v>
      </c>
      <c r="AY35" s="229">
        <v>-0.46189999999999998</v>
      </c>
      <c r="AZ35" s="230">
        <v>14022500</v>
      </c>
      <c r="BA35" s="230">
        <v>12820000</v>
      </c>
      <c r="BB35" s="230">
        <v>1202500</v>
      </c>
      <c r="BC35" s="229">
        <v>9.3799999999999994E-2</v>
      </c>
      <c r="BD35" s="230">
        <v>297500</v>
      </c>
      <c r="BE35" s="230">
        <v>222500</v>
      </c>
      <c r="BF35" s="230">
        <v>75000</v>
      </c>
      <c r="BG35" s="229">
        <v>0.33710000000000001</v>
      </c>
      <c r="BH35" s="230">
        <v>36957500</v>
      </c>
      <c r="BI35" s="230">
        <v>29495000</v>
      </c>
      <c r="BJ35" s="230">
        <v>7462500</v>
      </c>
      <c r="BK35" s="229">
        <v>0.253</v>
      </c>
      <c r="BL35" s="230">
        <v>12717500</v>
      </c>
      <c r="BM35" s="230">
        <v>17425000</v>
      </c>
      <c r="BN35" s="230">
        <v>-4707500</v>
      </c>
      <c r="BO35" s="229">
        <v>-0.2702</v>
      </c>
      <c r="BP35" s="230">
        <v>70587500</v>
      </c>
      <c r="BQ35" s="230">
        <v>72215000</v>
      </c>
      <c r="BR35" s="230">
        <v>-1627500</v>
      </c>
      <c r="BS35" s="229">
        <v>-2.2499999999999999E-2</v>
      </c>
      <c r="BT35" s="230">
        <v>7314741</v>
      </c>
      <c r="BU35" s="230">
        <v>2088760</v>
      </c>
      <c r="BV35" s="230">
        <v>5225981</v>
      </c>
      <c r="BW35" s="229">
        <v>2.5019999999999998</v>
      </c>
      <c r="BX35" s="230">
        <v>40112500</v>
      </c>
      <c r="BY35" s="230">
        <v>41005000</v>
      </c>
      <c r="BZ35" s="230">
        <v>-892500</v>
      </c>
      <c r="CA35" s="229">
        <v>-2.18E-2</v>
      </c>
      <c r="CB35" s="230">
        <v>2785000</v>
      </c>
      <c r="CC35" s="230">
        <v>5767500</v>
      </c>
      <c r="CD35" s="230">
        <v>-2982500</v>
      </c>
      <c r="CE35" s="229">
        <v>-0.5171</v>
      </c>
      <c r="CF35" s="230">
        <v>39612500</v>
      </c>
      <c r="CG35" s="230">
        <v>34822500</v>
      </c>
      <c r="CH35" s="230">
        <v>4790000</v>
      </c>
      <c r="CI35" s="229">
        <v>0.1376</v>
      </c>
      <c r="CJ35" s="230">
        <v>500000</v>
      </c>
      <c r="CK35" s="230">
        <v>415000</v>
      </c>
      <c r="CL35" s="230">
        <v>85000</v>
      </c>
      <c r="CM35" s="229">
        <v>0.20480000000000001</v>
      </c>
      <c r="CN35" s="230">
        <v>9782500</v>
      </c>
      <c r="CO35" s="230">
        <v>24500000</v>
      </c>
      <c r="CP35" s="230">
        <v>-14717500</v>
      </c>
      <c r="CQ35" s="229">
        <v>-0.60070000000000001</v>
      </c>
      <c r="CR35" s="230">
        <v>6410000</v>
      </c>
      <c r="CS35" s="230">
        <v>20487500</v>
      </c>
      <c r="CT35" s="230">
        <v>-14077500</v>
      </c>
      <c r="CU35" s="229">
        <v>-0.68710000000000004</v>
      </c>
      <c r="CV35" s="230">
        <v>56305000</v>
      </c>
      <c r="CW35" s="230">
        <v>85992500</v>
      </c>
      <c r="CX35" s="230">
        <v>-29687500</v>
      </c>
      <c r="CY35" s="229">
        <v>-0.34520000000000001</v>
      </c>
      <c r="CZ35" s="228">
        <v>29.2</v>
      </c>
      <c r="DA35" s="228">
        <v>28.4</v>
      </c>
      <c r="DB35" s="228">
        <v>0.8</v>
      </c>
      <c r="DC35" s="228">
        <v>0.8</v>
      </c>
      <c r="DD35" s="228">
        <v>35.880000000000003</v>
      </c>
      <c r="DE35" s="228">
        <v>35.909999999999997</v>
      </c>
      <c r="DF35" s="228">
        <v>-6.68</v>
      </c>
      <c r="DG35" s="228">
        <v>-0.03</v>
      </c>
      <c r="DH35" s="228">
        <v>29.05</v>
      </c>
      <c r="DI35" s="228">
        <v>27.24</v>
      </c>
      <c r="DJ35" s="228">
        <v>1.81</v>
      </c>
      <c r="DK35" s="228">
        <v>1.81</v>
      </c>
      <c r="DL35" s="228">
        <v>29.81</v>
      </c>
      <c r="DM35" s="228">
        <v>30.12</v>
      </c>
      <c r="DN35" s="228">
        <v>-0.31</v>
      </c>
      <c r="DO35" s="228">
        <v>-0.31</v>
      </c>
      <c r="DP35" s="228">
        <v>0.66</v>
      </c>
      <c r="DQ35" s="228">
        <v>0.84</v>
      </c>
      <c r="DR35" s="228">
        <v>-0.18</v>
      </c>
      <c r="DS35" s="229">
        <v>-0.21429999999999999</v>
      </c>
      <c r="DT35" s="228">
        <v>440</v>
      </c>
      <c r="DU35" s="228">
        <v>380</v>
      </c>
      <c r="DV35" s="228">
        <v>0.34</v>
      </c>
      <c r="DW35" s="228">
        <v>0.59</v>
      </c>
      <c r="DX35" s="228">
        <v>-0.25</v>
      </c>
      <c r="DY35" s="229">
        <v>-0.42370000000000002</v>
      </c>
      <c r="DZ35" s="229">
        <v>0.93510000000000004</v>
      </c>
      <c r="EA35" s="230">
        <v>35237500</v>
      </c>
      <c r="EB35" s="229">
        <v>7.3000000000000001E-3</v>
      </c>
      <c r="EC35" s="229">
        <v>0.93510000000000004</v>
      </c>
      <c r="ED35" s="228">
        <v>3.95</v>
      </c>
      <c r="EE35" s="229">
        <v>9.1000000000000004E-3</v>
      </c>
      <c r="EF35" s="230">
        <v>4218640</v>
      </c>
      <c r="EG35" s="230">
        <v>989539</v>
      </c>
      <c r="EH35" s="229">
        <v>3.2631999999999999</v>
      </c>
      <c r="EI35" s="229">
        <v>0.57669999999999999</v>
      </c>
      <c r="EJ35" s="231">
        <v>167473.97</v>
      </c>
      <c r="EK35" s="231">
        <v>54126.31</v>
      </c>
      <c r="EL35" s="231">
        <v>91570.69</v>
      </c>
      <c r="EM35" s="231">
        <v>7943</v>
      </c>
      <c r="EN35" s="231">
        <v>313170.96999999997</v>
      </c>
      <c r="EO35" s="231">
        <v>313382.26</v>
      </c>
      <c r="EP35" s="228">
        <v>-211.29</v>
      </c>
      <c r="EQ35" s="229">
        <v>-6.9999999999999999E-4</v>
      </c>
      <c r="ER35" s="231">
        <v>43160</v>
      </c>
      <c r="ES35" s="231">
        <v>26273</v>
      </c>
      <c r="ET35" s="231">
        <v>176445</v>
      </c>
      <c r="EU35" s="231">
        <v>108004143</v>
      </c>
      <c r="EV35" s="231">
        <v>245877</v>
      </c>
      <c r="EW35" s="231">
        <v>360427</v>
      </c>
      <c r="EX35" s="231">
        <v>-114550</v>
      </c>
      <c r="EY35" s="229">
        <v>-0.31780000000000003</v>
      </c>
      <c r="EZ35" s="229">
        <v>0.52129999999999999</v>
      </c>
      <c r="FA35" s="227" t="s">
        <v>691</v>
      </c>
      <c r="FB35" s="161">
        <f t="shared" si="0"/>
        <v>37327500</v>
      </c>
    </row>
    <row r="36" spans="1:158" ht="17.25" thickBot="1" x14ac:dyDescent="0.3">
      <c r="A36" s="226">
        <v>46168</v>
      </c>
      <c r="B36" s="227" t="s">
        <v>184</v>
      </c>
      <c r="C36" s="227" t="s">
        <v>675</v>
      </c>
      <c r="D36" s="228">
        <v>325</v>
      </c>
      <c r="E36" s="231">
        <v>1651</v>
      </c>
      <c r="F36" s="231">
        <v>1659.6</v>
      </c>
      <c r="G36" s="228">
        <v>-8.6</v>
      </c>
      <c r="H36" s="229">
        <v>-5.1999999999999998E-3</v>
      </c>
      <c r="I36" s="231">
        <v>1640.9</v>
      </c>
      <c r="J36" s="231">
        <v>1652.3</v>
      </c>
      <c r="K36" s="228">
        <v>-11.4</v>
      </c>
      <c r="L36" s="229">
        <v>-6.8999999999999999E-3</v>
      </c>
      <c r="M36" s="231">
        <v>1646.1</v>
      </c>
      <c r="N36" s="231">
        <v>1659.6</v>
      </c>
      <c r="O36" s="228">
        <v>-13.5</v>
      </c>
      <c r="P36" s="229">
        <v>-8.0999999999999996E-3</v>
      </c>
      <c r="Q36" s="231">
        <v>1651</v>
      </c>
      <c r="R36" s="231">
        <v>1659.6</v>
      </c>
      <c r="S36" s="228">
        <v>-8.6</v>
      </c>
      <c r="T36" s="229">
        <v>-5.1999999999999998E-3</v>
      </c>
      <c r="U36" s="231">
        <v>1649.7</v>
      </c>
      <c r="V36" s="231">
        <v>1655</v>
      </c>
      <c r="W36" s="228">
        <v>-5.3</v>
      </c>
      <c r="X36" s="229">
        <v>-3.2000000000000002E-3</v>
      </c>
      <c r="Y36" s="228">
        <v>10.1</v>
      </c>
      <c r="Z36" s="228">
        <v>7.3</v>
      </c>
      <c r="AA36" s="228">
        <v>2.8</v>
      </c>
      <c r="AB36" s="229">
        <v>6.1999999999999998E-3</v>
      </c>
      <c r="AC36" s="228">
        <v>5.2</v>
      </c>
      <c r="AD36" s="228">
        <v>7.3</v>
      </c>
      <c r="AE36" s="228">
        <v>-2.1</v>
      </c>
      <c r="AF36" s="229">
        <v>3.2000000000000002E-3</v>
      </c>
      <c r="AG36" s="228">
        <v>10.1</v>
      </c>
      <c r="AH36" s="228">
        <v>7.3</v>
      </c>
      <c r="AI36" s="228">
        <v>2.8</v>
      </c>
      <c r="AJ36" s="229">
        <v>6.1999999999999998E-3</v>
      </c>
      <c r="AK36" s="228">
        <v>8.8000000000000007</v>
      </c>
      <c r="AL36" s="228">
        <v>2.7</v>
      </c>
      <c r="AM36" s="228">
        <v>6.1</v>
      </c>
      <c r="AN36" s="229">
        <v>5.4000000000000003E-3</v>
      </c>
      <c r="AO36" s="231">
        <v>1637.05</v>
      </c>
      <c r="AP36" s="231">
        <v>1640.23</v>
      </c>
      <c r="AQ36" s="228">
        <v>0</v>
      </c>
      <c r="AR36" s="230">
        <v>1455675</v>
      </c>
      <c r="AS36" s="230">
        <v>2430675</v>
      </c>
      <c r="AT36" s="230">
        <v>-975000</v>
      </c>
      <c r="AU36" s="229">
        <v>-0.40110000000000001</v>
      </c>
      <c r="AV36" s="230">
        <v>568750</v>
      </c>
      <c r="AW36" s="230">
        <v>1112475</v>
      </c>
      <c r="AX36" s="230">
        <v>-543725</v>
      </c>
      <c r="AY36" s="229">
        <v>-0.48880000000000001</v>
      </c>
      <c r="AZ36" s="230">
        <v>873600</v>
      </c>
      <c r="BA36" s="230">
        <v>1310725</v>
      </c>
      <c r="BB36" s="230">
        <v>-437125</v>
      </c>
      <c r="BC36" s="229">
        <v>-0.33350000000000002</v>
      </c>
      <c r="BD36" s="230">
        <v>13325</v>
      </c>
      <c r="BE36" s="230">
        <v>7475</v>
      </c>
      <c r="BF36" s="230">
        <v>5850</v>
      </c>
      <c r="BG36" s="229">
        <v>0.78259999999999996</v>
      </c>
      <c r="BH36" s="230">
        <v>1451450</v>
      </c>
      <c r="BI36" s="230">
        <v>1719250</v>
      </c>
      <c r="BJ36" s="230">
        <v>-267800</v>
      </c>
      <c r="BK36" s="229">
        <v>-0.15579999999999999</v>
      </c>
      <c r="BL36" s="230">
        <v>1039350</v>
      </c>
      <c r="BM36" s="230">
        <v>1121575</v>
      </c>
      <c r="BN36" s="230">
        <v>-82225</v>
      </c>
      <c r="BO36" s="229">
        <v>-7.3300000000000004E-2</v>
      </c>
      <c r="BP36" s="230">
        <v>3946475</v>
      </c>
      <c r="BQ36" s="230">
        <v>5271500</v>
      </c>
      <c r="BR36" s="230">
        <v>-1325025</v>
      </c>
      <c r="BS36" s="229">
        <v>-0.25140000000000001</v>
      </c>
      <c r="BT36" s="230">
        <v>547060</v>
      </c>
      <c r="BU36" s="230">
        <v>260921</v>
      </c>
      <c r="BV36" s="230">
        <v>286139</v>
      </c>
      <c r="BW36" s="229">
        <v>1.0966</v>
      </c>
      <c r="BX36" s="230">
        <v>2878850</v>
      </c>
      <c r="BY36" s="230">
        <v>3290625</v>
      </c>
      <c r="BZ36" s="230">
        <v>-411775</v>
      </c>
      <c r="CA36" s="229">
        <v>-0.12509999999999999</v>
      </c>
      <c r="CB36" s="230">
        <v>488475</v>
      </c>
      <c r="CC36" s="230">
        <v>638300</v>
      </c>
      <c r="CD36" s="230">
        <v>-149825</v>
      </c>
      <c r="CE36" s="229">
        <v>-0.23469999999999999</v>
      </c>
      <c r="CF36" s="230">
        <v>2847000</v>
      </c>
      <c r="CG36" s="230">
        <v>2627300</v>
      </c>
      <c r="CH36" s="230">
        <v>219700</v>
      </c>
      <c r="CI36" s="229">
        <v>8.3599999999999994E-2</v>
      </c>
      <c r="CJ36" s="230">
        <v>31850</v>
      </c>
      <c r="CK36" s="230">
        <v>25025</v>
      </c>
      <c r="CL36" s="230">
        <v>6825</v>
      </c>
      <c r="CM36" s="229">
        <v>0.2727</v>
      </c>
      <c r="CN36" s="230">
        <v>529425</v>
      </c>
      <c r="CO36" s="230">
        <v>2509000</v>
      </c>
      <c r="CP36" s="230">
        <v>-1979575</v>
      </c>
      <c r="CQ36" s="229">
        <v>-0.78900000000000003</v>
      </c>
      <c r="CR36" s="230">
        <v>393900</v>
      </c>
      <c r="CS36" s="230">
        <v>1395550</v>
      </c>
      <c r="CT36" s="230">
        <v>-1001650</v>
      </c>
      <c r="CU36" s="229">
        <v>-0.7177</v>
      </c>
      <c r="CV36" s="230">
        <v>3802175</v>
      </c>
      <c r="CW36" s="230">
        <v>7195175</v>
      </c>
      <c r="CX36" s="230">
        <v>-3393000</v>
      </c>
      <c r="CY36" s="229">
        <v>-0.47160000000000002</v>
      </c>
      <c r="CZ36" s="228">
        <v>35.56</v>
      </c>
      <c r="DA36" s="228">
        <v>37.04</v>
      </c>
      <c r="DB36" s="228">
        <v>-1.48</v>
      </c>
      <c r="DC36" s="228">
        <v>-1.48</v>
      </c>
      <c r="DD36" s="228">
        <v>42.29</v>
      </c>
      <c r="DE36" s="228">
        <v>42.39</v>
      </c>
      <c r="DF36" s="228">
        <v>-6.73</v>
      </c>
      <c r="DG36" s="228">
        <v>-0.1</v>
      </c>
      <c r="DH36" s="228">
        <v>35.58</v>
      </c>
      <c r="DI36" s="228">
        <v>37.06</v>
      </c>
      <c r="DJ36" s="228">
        <v>-1.48</v>
      </c>
      <c r="DK36" s="228">
        <v>-1.48</v>
      </c>
      <c r="DL36" s="228">
        <v>35.53</v>
      </c>
      <c r="DM36" s="228">
        <v>37</v>
      </c>
      <c r="DN36" s="228">
        <v>-1.47</v>
      </c>
      <c r="DO36" s="228">
        <v>-1.47</v>
      </c>
      <c r="DP36" s="228">
        <v>0.74</v>
      </c>
      <c r="DQ36" s="228">
        <v>0.56000000000000005</v>
      </c>
      <c r="DR36" s="228">
        <v>0.18</v>
      </c>
      <c r="DS36" s="229">
        <v>0.32140000000000002</v>
      </c>
      <c r="DT36" s="231">
        <v>1800</v>
      </c>
      <c r="DU36" s="231">
        <v>1800</v>
      </c>
      <c r="DV36" s="228">
        <v>0.72</v>
      </c>
      <c r="DW36" s="228">
        <v>0.65</v>
      </c>
      <c r="DX36" s="228">
        <v>7.0000000000000007E-2</v>
      </c>
      <c r="DY36" s="229">
        <v>0.1077</v>
      </c>
      <c r="DZ36" s="229">
        <v>0.85489999999999999</v>
      </c>
      <c r="EA36" s="230">
        <v>2652325</v>
      </c>
      <c r="EB36" s="229">
        <v>3.0000000000000001E-3</v>
      </c>
      <c r="EC36" s="229">
        <v>0.85489999999999999</v>
      </c>
      <c r="ED36" s="228">
        <v>3.18</v>
      </c>
      <c r="EE36" s="229">
        <v>1.9E-3</v>
      </c>
      <c r="EF36" s="230">
        <v>151795</v>
      </c>
      <c r="EG36" s="230">
        <v>116585</v>
      </c>
      <c r="EH36" s="229">
        <v>0.30199999999999999</v>
      </c>
      <c r="EI36" s="229">
        <v>0.27750000000000002</v>
      </c>
      <c r="EJ36" s="231">
        <v>25391.24</v>
      </c>
      <c r="EK36" s="231">
        <v>16984.310000000001</v>
      </c>
      <c r="EL36" s="231">
        <v>23857.86</v>
      </c>
      <c r="EM36" s="231">
        <v>5806</v>
      </c>
      <c r="EN36" s="231">
        <v>66233.41</v>
      </c>
      <c r="EO36" s="231">
        <v>89135.52</v>
      </c>
      <c r="EP36" s="231">
        <v>-22902.11</v>
      </c>
      <c r="EQ36" s="229">
        <v>-0.25690000000000002</v>
      </c>
      <c r="ER36" s="231">
        <v>9294</v>
      </c>
      <c r="ES36" s="231">
        <v>6449</v>
      </c>
      <c r="ET36" s="231">
        <v>47529</v>
      </c>
      <c r="EU36" s="231">
        <v>15745076</v>
      </c>
      <c r="EV36" s="231">
        <v>63272</v>
      </c>
      <c r="EW36" s="231">
        <v>123772</v>
      </c>
      <c r="EX36" s="231">
        <v>-60500</v>
      </c>
      <c r="EY36" s="229">
        <v>-0.48880000000000001</v>
      </c>
      <c r="EZ36" s="229">
        <v>0.24149999999999999</v>
      </c>
      <c r="FA36" s="227" t="s">
        <v>567</v>
      </c>
      <c r="FB36" s="161">
        <f t="shared" si="0"/>
        <v>2390375</v>
      </c>
    </row>
    <row r="37" spans="1:158" ht="17.25" thickBot="1" x14ac:dyDescent="0.3">
      <c r="A37" s="226">
        <v>46168</v>
      </c>
      <c r="B37" s="227" t="s">
        <v>162</v>
      </c>
      <c r="C37" s="227" t="s">
        <v>192</v>
      </c>
      <c r="D37" s="228">
        <v>25</v>
      </c>
      <c r="E37" s="231">
        <v>36060</v>
      </c>
      <c r="F37" s="231">
        <v>36645</v>
      </c>
      <c r="G37" s="228">
        <v>-585</v>
      </c>
      <c r="H37" s="229">
        <v>-1.6E-2</v>
      </c>
      <c r="I37" s="231">
        <v>35835</v>
      </c>
      <c r="J37" s="231">
        <v>36310</v>
      </c>
      <c r="K37" s="228">
        <v>-475</v>
      </c>
      <c r="L37" s="229">
        <v>-1.3100000000000001E-2</v>
      </c>
      <c r="M37" s="231">
        <v>35805</v>
      </c>
      <c r="N37" s="231">
        <v>36425</v>
      </c>
      <c r="O37" s="228">
        <v>-620</v>
      </c>
      <c r="P37" s="229">
        <v>-1.7000000000000001E-2</v>
      </c>
      <c r="Q37" s="231">
        <v>36060</v>
      </c>
      <c r="R37" s="231">
        <v>36645</v>
      </c>
      <c r="S37" s="228">
        <v>-585</v>
      </c>
      <c r="T37" s="229">
        <v>-1.6E-2</v>
      </c>
      <c r="U37" s="231">
        <v>36305</v>
      </c>
      <c r="V37" s="231">
        <v>36840</v>
      </c>
      <c r="W37" s="228">
        <v>-535</v>
      </c>
      <c r="X37" s="229">
        <v>-1.4500000000000001E-2</v>
      </c>
      <c r="Y37" s="228">
        <v>225</v>
      </c>
      <c r="Z37" s="228">
        <v>115</v>
      </c>
      <c r="AA37" s="228">
        <v>110</v>
      </c>
      <c r="AB37" s="229">
        <v>6.3E-3</v>
      </c>
      <c r="AC37" s="228">
        <v>-30</v>
      </c>
      <c r="AD37" s="228">
        <v>115</v>
      </c>
      <c r="AE37" s="228">
        <v>-145</v>
      </c>
      <c r="AF37" s="229">
        <v>-8.0000000000000004E-4</v>
      </c>
      <c r="AG37" s="228">
        <v>225</v>
      </c>
      <c r="AH37" s="228">
        <v>335</v>
      </c>
      <c r="AI37" s="228">
        <v>-110</v>
      </c>
      <c r="AJ37" s="229">
        <v>6.3E-3</v>
      </c>
      <c r="AK37" s="228">
        <v>470</v>
      </c>
      <c r="AL37" s="228">
        <v>530</v>
      </c>
      <c r="AM37" s="228">
        <v>-60</v>
      </c>
      <c r="AN37" s="229">
        <v>1.3100000000000001E-2</v>
      </c>
      <c r="AO37" s="231">
        <v>36052.050000000003</v>
      </c>
      <c r="AP37" s="231">
        <v>36307.72</v>
      </c>
      <c r="AQ37" s="228">
        <v>0</v>
      </c>
      <c r="AR37" s="230">
        <v>90650</v>
      </c>
      <c r="AS37" s="230">
        <v>193025</v>
      </c>
      <c r="AT37" s="230">
        <v>-102375</v>
      </c>
      <c r="AU37" s="229">
        <v>-0.53039999999999998</v>
      </c>
      <c r="AV37" s="230">
        <v>39175</v>
      </c>
      <c r="AW37" s="230">
        <v>94650</v>
      </c>
      <c r="AX37" s="230">
        <v>-55475</v>
      </c>
      <c r="AY37" s="229">
        <v>-0.58609999999999995</v>
      </c>
      <c r="AZ37" s="230">
        <v>50650</v>
      </c>
      <c r="BA37" s="230">
        <v>97625</v>
      </c>
      <c r="BB37" s="230">
        <v>-46975</v>
      </c>
      <c r="BC37" s="229">
        <v>-0.48120000000000002</v>
      </c>
      <c r="BD37" s="228">
        <v>825</v>
      </c>
      <c r="BE37" s="228">
        <v>750</v>
      </c>
      <c r="BF37" s="228">
        <v>75</v>
      </c>
      <c r="BG37" s="229">
        <v>0.1</v>
      </c>
      <c r="BH37" s="230">
        <v>516175</v>
      </c>
      <c r="BI37" s="230">
        <v>1411925</v>
      </c>
      <c r="BJ37" s="230">
        <v>-895750</v>
      </c>
      <c r="BK37" s="229">
        <v>-0.63439999999999996</v>
      </c>
      <c r="BL37" s="230">
        <v>174225</v>
      </c>
      <c r="BM37" s="230">
        <v>599250</v>
      </c>
      <c r="BN37" s="230">
        <v>-425025</v>
      </c>
      <c r="BO37" s="229">
        <v>-0.70930000000000004</v>
      </c>
      <c r="BP37" s="230">
        <v>781050</v>
      </c>
      <c r="BQ37" s="230">
        <v>2204200</v>
      </c>
      <c r="BR37" s="230">
        <v>-1423150</v>
      </c>
      <c r="BS37" s="229">
        <v>-0.64570000000000005</v>
      </c>
      <c r="BT37" s="230">
        <v>23817</v>
      </c>
      <c r="BU37" s="230">
        <v>23843</v>
      </c>
      <c r="BV37" s="228">
        <v>-26</v>
      </c>
      <c r="BW37" s="229">
        <v>-1.1000000000000001E-3</v>
      </c>
      <c r="BX37" s="230">
        <v>346750</v>
      </c>
      <c r="BY37" s="230">
        <v>363625</v>
      </c>
      <c r="BZ37" s="230">
        <v>-16875</v>
      </c>
      <c r="CA37" s="229">
        <v>-4.6399999999999997E-2</v>
      </c>
      <c r="CB37" s="230">
        <v>15325</v>
      </c>
      <c r="CC37" s="230">
        <v>38625</v>
      </c>
      <c r="CD37" s="230">
        <v>-23300</v>
      </c>
      <c r="CE37" s="229">
        <v>-0.60319999999999996</v>
      </c>
      <c r="CF37" s="230">
        <v>341950</v>
      </c>
      <c r="CG37" s="230">
        <v>320900</v>
      </c>
      <c r="CH37" s="230">
        <v>21050</v>
      </c>
      <c r="CI37" s="229">
        <v>6.5600000000000006E-2</v>
      </c>
      <c r="CJ37" s="230">
        <v>4800</v>
      </c>
      <c r="CK37" s="230">
        <v>4100</v>
      </c>
      <c r="CL37" s="228">
        <v>700</v>
      </c>
      <c r="CM37" s="229">
        <v>0.17069999999999999</v>
      </c>
      <c r="CN37" s="230">
        <v>98350</v>
      </c>
      <c r="CO37" s="230">
        <v>333575</v>
      </c>
      <c r="CP37" s="230">
        <v>-235225</v>
      </c>
      <c r="CQ37" s="229">
        <v>-0.70520000000000005</v>
      </c>
      <c r="CR37" s="230">
        <v>49350</v>
      </c>
      <c r="CS37" s="230">
        <v>140150</v>
      </c>
      <c r="CT37" s="230">
        <v>-90800</v>
      </c>
      <c r="CU37" s="229">
        <v>-0.64790000000000003</v>
      </c>
      <c r="CV37" s="230">
        <v>494450</v>
      </c>
      <c r="CW37" s="230">
        <v>837350</v>
      </c>
      <c r="CX37" s="230">
        <v>-342900</v>
      </c>
      <c r="CY37" s="229">
        <v>-0.40949999999999998</v>
      </c>
      <c r="CZ37" s="228">
        <v>28.51</v>
      </c>
      <c r="DA37" s="228">
        <v>29.08</v>
      </c>
      <c r="DB37" s="228">
        <v>-0.56999999999999995</v>
      </c>
      <c r="DC37" s="228">
        <v>-0.56999999999999995</v>
      </c>
      <c r="DD37" s="228">
        <v>34.979999999999997</v>
      </c>
      <c r="DE37" s="228">
        <v>35</v>
      </c>
      <c r="DF37" s="228">
        <v>-6.47</v>
      </c>
      <c r="DG37" s="228">
        <v>-0.02</v>
      </c>
      <c r="DH37" s="228">
        <v>28.76</v>
      </c>
      <c r="DI37" s="228">
        <v>28.77</v>
      </c>
      <c r="DJ37" s="228">
        <v>-0.01</v>
      </c>
      <c r="DK37" s="228">
        <v>-0.01</v>
      </c>
      <c r="DL37" s="228">
        <v>27.99</v>
      </c>
      <c r="DM37" s="228">
        <v>29.96</v>
      </c>
      <c r="DN37" s="228">
        <v>-1.97</v>
      </c>
      <c r="DO37" s="228">
        <v>-1.97</v>
      </c>
      <c r="DP37" s="228">
        <v>0.5</v>
      </c>
      <c r="DQ37" s="228">
        <v>0.42</v>
      </c>
      <c r="DR37" s="228">
        <v>0.08</v>
      </c>
      <c r="DS37" s="229">
        <v>0.1905</v>
      </c>
      <c r="DT37" s="231">
        <v>40000</v>
      </c>
      <c r="DU37" s="231">
        <v>33000</v>
      </c>
      <c r="DV37" s="228">
        <v>0.34</v>
      </c>
      <c r="DW37" s="228">
        <v>0.42</v>
      </c>
      <c r="DX37" s="228">
        <v>-0.08</v>
      </c>
      <c r="DY37" s="229">
        <v>-0.1905</v>
      </c>
      <c r="DZ37" s="229">
        <v>0.9577</v>
      </c>
      <c r="EA37" s="230">
        <v>325000</v>
      </c>
      <c r="EB37" s="229">
        <v>7.1000000000000004E-3</v>
      </c>
      <c r="EC37" s="229">
        <v>0.9577</v>
      </c>
      <c r="ED37" s="228">
        <v>255.67</v>
      </c>
      <c r="EE37" s="229">
        <v>7.1000000000000004E-3</v>
      </c>
      <c r="EF37" s="230">
        <v>8473</v>
      </c>
      <c r="EG37" s="230">
        <v>8324</v>
      </c>
      <c r="EH37" s="229">
        <v>1.7899999999999999E-2</v>
      </c>
      <c r="EI37" s="229">
        <v>0.35580000000000001</v>
      </c>
      <c r="EJ37" s="231">
        <v>196770.95</v>
      </c>
      <c r="EK37" s="231">
        <v>60519.7</v>
      </c>
      <c r="EL37" s="231">
        <v>32814.949999999997</v>
      </c>
      <c r="EM37" s="231">
        <v>8212</v>
      </c>
      <c r="EN37" s="231">
        <v>290105.59999999998</v>
      </c>
      <c r="EO37" s="231">
        <v>819757.64</v>
      </c>
      <c r="EP37" s="231">
        <v>-529652.04</v>
      </c>
      <c r="EQ37" s="229">
        <v>-0.64610000000000001</v>
      </c>
      <c r="ER37" s="231">
        <v>38190</v>
      </c>
      <c r="ES37" s="231">
        <v>16865</v>
      </c>
      <c r="ET37" s="231">
        <v>125050</v>
      </c>
      <c r="EU37" s="231">
        <v>868841</v>
      </c>
      <c r="EV37" s="231">
        <v>180105</v>
      </c>
      <c r="EW37" s="231">
        <v>310240</v>
      </c>
      <c r="EX37" s="231">
        <v>-130135</v>
      </c>
      <c r="EY37" s="229">
        <v>-0.41949999999999998</v>
      </c>
      <c r="EZ37" s="229">
        <v>0.56910000000000005</v>
      </c>
      <c r="FA37" s="227" t="s">
        <v>567</v>
      </c>
      <c r="FB37" s="161">
        <f t="shared" si="0"/>
        <v>331425</v>
      </c>
    </row>
    <row r="38" spans="1:158" ht="17.25" thickBot="1" x14ac:dyDescent="0.3">
      <c r="A38" s="226">
        <v>46168</v>
      </c>
      <c r="B38" s="227" t="s">
        <v>193</v>
      </c>
      <c r="C38" s="227" t="s">
        <v>194</v>
      </c>
      <c r="D38" s="228">
        <v>1975</v>
      </c>
      <c r="E38" s="228">
        <v>306.3</v>
      </c>
      <c r="F38" s="228">
        <v>309.89999999999998</v>
      </c>
      <c r="G38" s="228">
        <v>-3.6</v>
      </c>
      <c r="H38" s="229">
        <v>-1.1599999999999999E-2</v>
      </c>
      <c r="I38" s="228">
        <v>304.60000000000002</v>
      </c>
      <c r="J38" s="228">
        <v>308.25</v>
      </c>
      <c r="K38" s="228">
        <v>-3.65</v>
      </c>
      <c r="L38" s="229">
        <v>-1.18E-2</v>
      </c>
      <c r="M38" s="228">
        <v>304.8</v>
      </c>
      <c r="N38" s="228">
        <v>308.25</v>
      </c>
      <c r="O38" s="228">
        <v>-3.45</v>
      </c>
      <c r="P38" s="229">
        <v>-1.12E-2</v>
      </c>
      <c r="Q38" s="228">
        <v>306.3</v>
      </c>
      <c r="R38" s="228">
        <v>309.89999999999998</v>
      </c>
      <c r="S38" s="228">
        <v>-3.6</v>
      </c>
      <c r="T38" s="229">
        <v>-1.1599999999999999E-2</v>
      </c>
      <c r="U38" s="228">
        <v>308.05</v>
      </c>
      <c r="V38" s="228">
        <v>311.60000000000002</v>
      </c>
      <c r="W38" s="228">
        <v>-3.55</v>
      </c>
      <c r="X38" s="229">
        <v>-1.14E-2</v>
      </c>
      <c r="Y38" s="228">
        <v>1.7</v>
      </c>
      <c r="Z38" s="228">
        <v>0</v>
      </c>
      <c r="AA38" s="228">
        <v>1.7</v>
      </c>
      <c r="AB38" s="229">
        <v>5.5999999999999999E-3</v>
      </c>
      <c r="AC38" s="228">
        <v>0.2</v>
      </c>
      <c r="AD38" s="228">
        <v>0</v>
      </c>
      <c r="AE38" s="228">
        <v>0.2</v>
      </c>
      <c r="AF38" s="229">
        <v>6.9999999999999999E-4</v>
      </c>
      <c r="AG38" s="228">
        <v>1.7</v>
      </c>
      <c r="AH38" s="228">
        <v>1.65</v>
      </c>
      <c r="AI38" s="228">
        <v>0.05</v>
      </c>
      <c r="AJ38" s="229">
        <v>5.5999999999999999E-3</v>
      </c>
      <c r="AK38" s="228">
        <v>3.45</v>
      </c>
      <c r="AL38" s="228">
        <v>3.35</v>
      </c>
      <c r="AM38" s="228">
        <v>0.1</v>
      </c>
      <c r="AN38" s="229">
        <v>1.1299999999999999E-2</v>
      </c>
      <c r="AO38" s="228">
        <v>304.20999999999998</v>
      </c>
      <c r="AP38" s="228">
        <v>306.20999999999998</v>
      </c>
      <c r="AQ38" s="228">
        <v>0</v>
      </c>
      <c r="AR38" s="230">
        <v>12399050</v>
      </c>
      <c r="AS38" s="230">
        <v>36239275</v>
      </c>
      <c r="AT38" s="230">
        <v>-23840225</v>
      </c>
      <c r="AU38" s="229">
        <v>-0.65790000000000004</v>
      </c>
      <c r="AV38" s="230">
        <v>5125125</v>
      </c>
      <c r="AW38" s="230">
        <v>17798700</v>
      </c>
      <c r="AX38" s="230">
        <v>-12673575</v>
      </c>
      <c r="AY38" s="229">
        <v>-0.71209999999999996</v>
      </c>
      <c r="AZ38" s="230">
        <v>7098150</v>
      </c>
      <c r="BA38" s="230">
        <v>18166050</v>
      </c>
      <c r="BB38" s="230">
        <v>-11067900</v>
      </c>
      <c r="BC38" s="229">
        <v>-0.60929999999999995</v>
      </c>
      <c r="BD38" s="230">
        <v>175775</v>
      </c>
      <c r="BE38" s="230">
        <v>274525</v>
      </c>
      <c r="BF38" s="230">
        <v>-98750</v>
      </c>
      <c r="BG38" s="229">
        <v>-0.35970000000000002</v>
      </c>
      <c r="BH38" s="230">
        <v>22957400</v>
      </c>
      <c r="BI38" s="230">
        <v>85450350</v>
      </c>
      <c r="BJ38" s="230">
        <v>-62492950</v>
      </c>
      <c r="BK38" s="229">
        <v>-0.73129999999999995</v>
      </c>
      <c r="BL38" s="230">
        <v>12732825</v>
      </c>
      <c r="BM38" s="230">
        <v>35721825</v>
      </c>
      <c r="BN38" s="230">
        <v>-22989000</v>
      </c>
      <c r="BO38" s="229">
        <v>-0.64359999999999995</v>
      </c>
      <c r="BP38" s="230">
        <v>48089275</v>
      </c>
      <c r="BQ38" s="230">
        <v>157411450</v>
      </c>
      <c r="BR38" s="230">
        <v>-109322175</v>
      </c>
      <c r="BS38" s="229">
        <v>-0.69450000000000001</v>
      </c>
      <c r="BT38" s="230">
        <v>8858712</v>
      </c>
      <c r="BU38" s="230">
        <v>14959578</v>
      </c>
      <c r="BV38" s="230">
        <v>-6100866</v>
      </c>
      <c r="BW38" s="229">
        <v>-0.4078</v>
      </c>
      <c r="BX38" s="230">
        <v>49487575</v>
      </c>
      <c r="BY38" s="230">
        <v>58339525</v>
      </c>
      <c r="BZ38" s="230">
        <v>-8851950</v>
      </c>
      <c r="CA38" s="229">
        <v>-0.1517</v>
      </c>
      <c r="CB38" s="230">
        <v>7672875</v>
      </c>
      <c r="CC38" s="230">
        <v>10586000</v>
      </c>
      <c r="CD38" s="230">
        <v>-2913125</v>
      </c>
      <c r="CE38" s="229">
        <v>-0.2752</v>
      </c>
      <c r="CF38" s="230">
        <v>47005000</v>
      </c>
      <c r="CG38" s="230">
        <v>45328225</v>
      </c>
      <c r="CH38" s="230">
        <v>1676775</v>
      </c>
      <c r="CI38" s="229">
        <v>3.6999999999999998E-2</v>
      </c>
      <c r="CJ38" s="230">
        <v>2482575</v>
      </c>
      <c r="CK38" s="230">
        <v>2425300</v>
      </c>
      <c r="CL38" s="230">
        <v>57275</v>
      </c>
      <c r="CM38" s="229">
        <v>2.3599999999999999E-2</v>
      </c>
      <c r="CN38" s="230">
        <v>8249575</v>
      </c>
      <c r="CO38" s="230">
        <v>25965325</v>
      </c>
      <c r="CP38" s="230">
        <v>-17715750</v>
      </c>
      <c r="CQ38" s="229">
        <v>-0.68230000000000002</v>
      </c>
      <c r="CR38" s="230">
        <v>6213350</v>
      </c>
      <c r="CS38" s="230">
        <v>19593975</v>
      </c>
      <c r="CT38" s="230">
        <v>-13380625</v>
      </c>
      <c r="CU38" s="229">
        <v>-0.68289999999999995</v>
      </c>
      <c r="CV38" s="230">
        <v>63950500</v>
      </c>
      <c r="CW38" s="230">
        <v>103898825</v>
      </c>
      <c r="CX38" s="230">
        <v>-39948325</v>
      </c>
      <c r="CY38" s="229">
        <v>-0.38450000000000001</v>
      </c>
      <c r="CZ38" s="228">
        <v>31.3</v>
      </c>
      <c r="DA38" s="228">
        <v>34.69</v>
      </c>
      <c r="DB38" s="228">
        <v>-3.39</v>
      </c>
      <c r="DC38" s="228">
        <v>-3.39</v>
      </c>
      <c r="DD38" s="228">
        <v>37.82</v>
      </c>
      <c r="DE38" s="228">
        <v>37.880000000000003</v>
      </c>
      <c r="DF38" s="228">
        <v>-6.52</v>
      </c>
      <c r="DG38" s="228">
        <v>-0.06</v>
      </c>
      <c r="DH38" s="228">
        <v>31.18</v>
      </c>
      <c r="DI38" s="228">
        <v>34.47</v>
      </c>
      <c r="DJ38" s="228">
        <v>-3.29</v>
      </c>
      <c r="DK38" s="228">
        <v>-3.29</v>
      </c>
      <c r="DL38" s="228">
        <v>31.49</v>
      </c>
      <c r="DM38" s="228">
        <v>35.090000000000003</v>
      </c>
      <c r="DN38" s="228">
        <v>-3.6</v>
      </c>
      <c r="DO38" s="228">
        <v>-3.6</v>
      </c>
      <c r="DP38" s="228">
        <v>0.75</v>
      </c>
      <c r="DQ38" s="228">
        <v>0.75</v>
      </c>
      <c r="DR38" s="228">
        <v>0</v>
      </c>
      <c r="DS38" s="229">
        <v>0</v>
      </c>
      <c r="DT38" s="228">
        <v>350</v>
      </c>
      <c r="DU38" s="228">
        <v>280</v>
      </c>
      <c r="DV38" s="228">
        <v>0.55000000000000004</v>
      </c>
      <c r="DW38" s="228">
        <v>0.42</v>
      </c>
      <c r="DX38" s="228">
        <v>0.13</v>
      </c>
      <c r="DY38" s="229">
        <v>0.3095</v>
      </c>
      <c r="DZ38" s="229">
        <v>0.86580000000000001</v>
      </c>
      <c r="EA38" s="230">
        <v>47753525</v>
      </c>
      <c r="EB38" s="229">
        <v>4.8999999999999998E-3</v>
      </c>
      <c r="EC38" s="229">
        <v>0.86580000000000001</v>
      </c>
      <c r="ED38" s="228">
        <v>2</v>
      </c>
      <c r="EE38" s="229">
        <v>6.6E-3</v>
      </c>
      <c r="EF38" s="230">
        <v>4373689</v>
      </c>
      <c r="EG38" s="230">
        <v>6833106</v>
      </c>
      <c r="EH38" s="229">
        <v>-0.3599</v>
      </c>
      <c r="EI38" s="229">
        <v>0.49370000000000003</v>
      </c>
      <c r="EJ38" s="231">
        <v>73646.740000000005</v>
      </c>
      <c r="EK38" s="231">
        <v>39059.43</v>
      </c>
      <c r="EL38" s="231">
        <v>37868.29</v>
      </c>
      <c r="EM38" s="231">
        <v>13107</v>
      </c>
      <c r="EN38" s="231">
        <v>150574.46</v>
      </c>
      <c r="EO38" s="231">
        <v>489376.74</v>
      </c>
      <c r="EP38" s="231">
        <v>-338802.28</v>
      </c>
      <c r="EQ38" s="229">
        <v>-0.69230000000000003</v>
      </c>
      <c r="ER38" s="231">
        <v>26229</v>
      </c>
      <c r="ES38" s="231">
        <v>18184</v>
      </c>
      <c r="ET38" s="231">
        <v>151624</v>
      </c>
      <c r="EU38" s="231">
        <v>306020745</v>
      </c>
      <c r="EV38" s="231">
        <v>196037</v>
      </c>
      <c r="EW38" s="231">
        <v>320775</v>
      </c>
      <c r="EX38" s="231">
        <v>-124738</v>
      </c>
      <c r="EY38" s="229">
        <v>-0.38890000000000002</v>
      </c>
      <c r="EZ38" s="229">
        <v>0.20899999999999999</v>
      </c>
      <c r="FA38" s="227" t="s">
        <v>567</v>
      </c>
      <c r="FB38" s="161">
        <f t="shared" si="0"/>
        <v>41814700</v>
      </c>
    </row>
    <row r="39" spans="1:158" ht="17.25" thickBot="1" x14ac:dyDescent="0.3">
      <c r="A39" s="226">
        <v>46168</v>
      </c>
      <c r="B39" s="227" t="s">
        <v>168</v>
      </c>
      <c r="C39" s="227" t="s">
        <v>195</v>
      </c>
      <c r="D39" s="228">
        <v>125</v>
      </c>
      <c r="E39" s="231">
        <v>5363.5</v>
      </c>
      <c r="F39" s="231">
        <v>5345</v>
      </c>
      <c r="G39" s="228">
        <v>18.5</v>
      </c>
      <c r="H39" s="229">
        <v>3.5000000000000001E-3</v>
      </c>
      <c r="I39" s="231">
        <v>5338</v>
      </c>
      <c r="J39" s="231">
        <v>5327</v>
      </c>
      <c r="K39" s="228">
        <v>11</v>
      </c>
      <c r="L39" s="229">
        <v>2.0999999999999999E-3</v>
      </c>
      <c r="M39" s="231">
        <v>5331.5</v>
      </c>
      <c r="N39" s="231">
        <v>5339.5</v>
      </c>
      <c r="O39" s="228">
        <v>-8</v>
      </c>
      <c r="P39" s="229">
        <v>-1.5E-3</v>
      </c>
      <c r="Q39" s="231">
        <v>5363.5</v>
      </c>
      <c r="R39" s="231">
        <v>5345</v>
      </c>
      <c r="S39" s="228">
        <v>18.5</v>
      </c>
      <c r="T39" s="229">
        <v>3.5000000000000001E-3</v>
      </c>
      <c r="U39" s="231">
        <v>5391</v>
      </c>
      <c r="V39" s="231">
        <v>5378</v>
      </c>
      <c r="W39" s="228">
        <v>13</v>
      </c>
      <c r="X39" s="229">
        <v>2.3999999999999998E-3</v>
      </c>
      <c r="Y39" s="228">
        <v>25.5</v>
      </c>
      <c r="Z39" s="228">
        <v>12.5</v>
      </c>
      <c r="AA39" s="228">
        <v>13</v>
      </c>
      <c r="AB39" s="229">
        <v>4.7999999999999996E-3</v>
      </c>
      <c r="AC39" s="228">
        <v>-6.5</v>
      </c>
      <c r="AD39" s="228">
        <v>12.5</v>
      </c>
      <c r="AE39" s="228">
        <v>-19</v>
      </c>
      <c r="AF39" s="229">
        <v>-1.1999999999999999E-3</v>
      </c>
      <c r="AG39" s="228">
        <v>25.5</v>
      </c>
      <c r="AH39" s="228">
        <v>18</v>
      </c>
      <c r="AI39" s="228">
        <v>7.5</v>
      </c>
      <c r="AJ39" s="229">
        <v>4.7999999999999996E-3</v>
      </c>
      <c r="AK39" s="228">
        <v>53</v>
      </c>
      <c r="AL39" s="228">
        <v>51</v>
      </c>
      <c r="AM39" s="228">
        <v>2</v>
      </c>
      <c r="AN39" s="229">
        <v>9.9000000000000008E-3</v>
      </c>
      <c r="AO39" s="231">
        <v>5323.42</v>
      </c>
      <c r="AP39" s="231">
        <v>5342.41</v>
      </c>
      <c r="AQ39" s="228">
        <v>0</v>
      </c>
      <c r="AR39" s="230">
        <v>1022500</v>
      </c>
      <c r="AS39" s="230">
        <v>1904125</v>
      </c>
      <c r="AT39" s="230">
        <v>-881625</v>
      </c>
      <c r="AU39" s="229">
        <v>-0.46300000000000002</v>
      </c>
      <c r="AV39" s="230">
        <v>494500</v>
      </c>
      <c r="AW39" s="230">
        <v>920375</v>
      </c>
      <c r="AX39" s="230">
        <v>-425875</v>
      </c>
      <c r="AY39" s="229">
        <v>-0.4627</v>
      </c>
      <c r="AZ39" s="230">
        <v>523375</v>
      </c>
      <c r="BA39" s="230">
        <v>963125</v>
      </c>
      <c r="BB39" s="230">
        <v>-439750</v>
      </c>
      <c r="BC39" s="229">
        <v>-0.45660000000000001</v>
      </c>
      <c r="BD39" s="230">
        <v>4625</v>
      </c>
      <c r="BE39" s="230">
        <v>20625</v>
      </c>
      <c r="BF39" s="230">
        <v>-16000</v>
      </c>
      <c r="BG39" s="229">
        <v>-0.77580000000000005</v>
      </c>
      <c r="BH39" s="230">
        <v>1260500</v>
      </c>
      <c r="BI39" s="230">
        <v>1831000</v>
      </c>
      <c r="BJ39" s="230">
        <v>-570500</v>
      </c>
      <c r="BK39" s="229">
        <v>-0.31159999999999999</v>
      </c>
      <c r="BL39" s="230">
        <v>592875</v>
      </c>
      <c r="BM39" s="230">
        <v>819750</v>
      </c>
      <c r="BN39" s="230">
        <v>-226875</v>
      </c>
      <c r="BO39" s="229">
        <v>-0.27679999999999999</v>
      </c>
      <c r="BP39" s="230">
        <v>2875875</v>
      </c>
      <c r="BQ39" s="230">
        <v>4554875</v>
      </c>
      <c r="BR39" s="230">
        <v>-1679000</v>
      </c>
      <c r="BS39" s="229">
        <v>-0.36859999999999998</v>
      </c>
      <c r="BT39" s="230">
        <v>199074</v>
      </c>
      <c r="BU39" s="230">
        <v>291931</v>
      </c>
      <c r="BV39" s="230">
        <v>-92857</v>
      </c>
      <c r="BW39" s="229">
        <v>-0.31809999999999999</v>
      </c>
      <c r="BX39" s="230">
        <v>2476250</v>
      </c>
      <c r="BY39" s="230">
        <v>2910625</v>
      </c>
      <c r="BZ39" s="230">
        <v>-434375</v>
      </c>
      <c r="CA39" s="229">
        <v>-0.1492</v>
      </c>
      <c r="CB39" s="230">
        <v>439000</v>
      </c>
      <c r="CC39" s="230">
        <v>630250</v>
      </c>
      <c r="CD39" s="230">
        <v>-191250</v>
      </c>
      <c r="CE39" s="229">
        <v>-0.30349999999999999</v>
      </c>
      <c r="CF39" s="230">
        <v>2444000</v>
      </c>
      <c r="CG39" s="230">
        <v>2250875</v>
      </c>
      <c r="CH39" s="230">
        <v>193125</v>
      </c>
      <c r="CI39" s="229">
        <v>8.5800000000000001E-2</v>
      </c>
      <c r="CJ39" s="230">
        <v>32250</v>
      </c>
      <c r="CK39" s="230">
        <v>29500</v>
      </c>
      <c r="CL39" s="230">
        <v>2750</v>
      </c>
      <c r="CM39" s="229">
        <v>9.3200000000000005E-2</v>
      </c>
      <c r="CN39" s="230">
        <v>376625</v>
      </c>
      <c r="CO39" s="230">
        <v>1952250</v>
      </c>
      <c r="CP39" s="230">
        <v>-1575625</v>
      </c>
      <c r="CQ39" s="229">
        <v>-0.80710000000000004</v>
      </c>
      <c r="CR39" s="230">
        <v>365500</v>
      </c>
      <c r="CS39" s="230">
        <v>1126250</v>
      </c>
      <c r="CT39" s="230">
        <v>-760750</v>
      </c>
      <c r="CU39" s="229">
        <v>-0.67549999999999999</v>
      </c>
      <c r="CV39" s="230">
        <v>3218375</v>
      </c>
      <c r="CW39" s="230">
        <v>5989125</v>
      </c>
      <c r="CX39" s="230">
        <v>-2770750</v>
      </c>
      <c r="CY39" s="229">
        <v>-0.46260000000000001</v>
      </c>
      <c r="CZ39" s="228">
        <v>21.34</v>
      </c>
      <c r="DA39" s="228">
        <v>22.6</v>
      </c>
      <c r="DB39" s="228">
        <v>-1.26</v>
      </c>
      <c r="DC39" s="228">
        <v>-1.26</v>
      </c>
      <c r="DD39" s="228">
        <v>25.51</v>
      </c>
      <c r="DE39" s="228">
        <v>25.57</v>
      </c>
      <c r="DF39" s="228">
        <v>-4.17</v>
      </c>
      <c r="DG39" s="228">
        <v>-0.06</v>
      </c>
      <c r="DH39" s="228">
        <v>21.51</v>
      </c>
      <c r="DI39" s="228">
        <v>23.1</v>
      </c>
      <c r="DJ39" s="228">
        <v>-1.59</v>
      </c>
      <c r="DK39" s="228">
        <v>-1.59</v>
      </c>
      <c r="DL39" s="228">
        <v>21.11</v>
      </c>
      <c r="DM39" s="228">
        <v>21.89</v>
      </c>
      <c r="DN39" s="228">
        <v>-0.78</v>
      </c>
      <c r="DO39" s="228">
        <v>-0.78</v>
      </c>
      <c r="DP39" s="228">
        <v>0.97</v>
      </c>
      <c r="DQ39" s="228">
        <v>0.57999999999999996</v>
      </c>
      <c r="DR39" s="228">
        <v>0.39</v>
      </c>
      <c r="DS39" s="229">
        <v>0.6724</v>
      </c>
      <c r="DT39" s="231">
        <v>5700</v>
      </c>
      <c r="DU39" s="231">
        <v>5400</v>
      </c>
      <c r="DV39" s="228">
        <v>0.47</v>
      </c>
      <c r="DW39" s="228">
        <v>0.45</v>
      </c>
      <c r="DX39" s="228">
        <v>0.02</v>
      </c>
      <c r="DY39" s="229">
        <v>4.4400000000000002E-2</v>
      </c>
      <c r="DZ39" s="229">
        <v>0.84940000000000004</v>
      </c>
      <c r="EA39" s="230">
        <v>2280375</v>
      </c>
      <c r="EB39" s="229">
        <v>6.0000000000000001E-3</v>
      </c>
      <c r="EC39" s="229">
        <v>0.84940000000000004</v>
      </c>
      <c r="ED39" s="228">
        <v>18.989999999999998</v>
      </c>
      <c r="EE39" s="229">
        <v>3.5999999999999999E-3</v>
      </c>
      <c r="EF39" s="230">
        <v>108519</v>
      </c>
      <c r="EG39" s="230">
        <v>182959</v>
      </c>
      <c r="EH39" s="229">
        <v>-0.40689999999999998</v>
      </c>
      <c r="EI39" s="229">
        <v>0.54510000000000003</v>
      </c>
      <c r="EJ39" s="231">
        <v>70317.89</v>
      </c>
      <c r="EK39" s="231">
        <v>32111.75</v>
      </c>
      <c r="EL39" s="231">
        <v>54533.74</v>
      </c>
      <c r="EM39" s="231">
        <v>10069</v>
      </c>
      <c r="EN39" s="231">
        <v>156963.38</v>
      </c>
      <c r="EO39" s="231">
        <v>248989.96</v>
      </c>
      <c r="EP39" s="231">
        <v>-92026.58</v>
      </c>
      <c r="EQ39" s="229">
        <v>-0.36959999999999998</v>
      </c>
      <c r="ER39" s="231">
        <v>21030</v>
      </c>
      <c r="ES39" s="231">
        <v>19496</v>
      </c>
      <c r="ET39" s="231">
        <v>132823</v>
      </c>
      <c r="EU39" s="231">
        <v>14553559</v>
      </c>
      <c r="EV39" s="231">
        <v>173348</v>
      </c>
      <c r="EW39" s="231">
        <v>328695</v>
      </c>
      <c r="EX39" s="231">
        <v>-155347</v>
      </c>
      <c r="EY39" s="229">
        <v>-0.47260000000000002</v>
      </c>
      <c r="EZ39" s="229">
        <v>0.22109999999999999</v>
      </c>
      <c r="FA39" s="227" t="s">
        <v>691</v>
      </c>
      <c r="FB39" s="161">
        <f t="shared" si="0"/>
        <v>2037250</v>
      </c>
    </row>
    <row r="40" spans="1:158" ht="17.25" thickBot="1" x14ac:dyDescent="0.3">
      <c r="A40" s="226">
        <v>46168</v>
      </c>
      <c r="B40" s="227" t="s">
        <v>175</v>
      </c>
      <c r="C40" s="227" t="s">
        <v>583</v>
      </c>
      <c r="D40" s="228">
        <v>375</v>
      </c>
      <c r="E40" s="231">
        <v>4421.3999999999996</v>
      </c>
      <c r="F40" s="231">
        <v>4326.3</v>
      </c>
      <c r="G40" s="228">
        <v>95.1</v>
      </c>
      <c r="H40" s="229">
        <v>2.1999999999999999E-2</v>
      </c>
      <c r="I40" s="231">
        <v>4403.3</v>
      </c>
      <c r="J40" s="231">
        <v>4291.2</v>
      </c>
      <c r="K40" s="228">
        <v>112.1</v>
      </c>
      <c r="L40" s="229">
        <v>2.6100000000000002E-2</v>
      </c>
      <c r="M40" s="231">
        <v>4412.3</v>
      </c>
      <c r="N40" s="231">
        <v>4292.5</v>
      </c>
      <c r="O40" s="228">
        <v>119.8</v>
      </c>
      <c r="P40" s="229">
        <v>2.7900000000000001E-2</v>
      </c>
      <c r="Q40" s="231">
        <v>4421.3999999999996</v>
      </c>
      <c r="R40" s="231">
        <v>4326.3</v>
      </c>
      <c r="S40" s="228">
        <v>95.1</v>
      </c>
      <c r="T40" s="229">
        <v>2.1999999999999999E-2</v>
      </c>
      <c r="U40" s="231">
        <v>4429.3999999999996</v>
      </c>
      <c r="V40" s="231">
        <v>4337.2</v>
      </c>
      <c r="W40" s="228">
        <v>92.2</v>
      </c>
      <c r="X40" s="229">
        <v>2.1299999999999999E-2</v>
      </c>
      <c r="Y40" s="228">
        <v>18.100000000000001</v>
      </c>
      <c r="Z40" s="228">
        <v>1.3</v>
      </c>
      <c r="AA40" s="228">
        <v>16.8</v>
      </c>
      <c r="AB40" s="229">
        <v>4.1000000000000003E-3</v>
      </c>
      <c r="AC40" s="228">
        <v>9</v>
      </c>
      <c r="AD40" s="228">
        <v>1.3</v>
      </c>
      <c r="AE40" s="228">
        <v>7.7</v>
      </c>
      <c r="AF40" s="229">
        <v>2E-3</v>
      </c>
      <c r="AG40" s="228">
        <v>18.100000000000001</v>
      </c>
      <c r="AH40" s="228">
        <v>35.1</v>
      </c>
      <c r="AI40" s="228">
        <v>-17</v>
      </c>
      <c r="AJ40" s="229">
        <v>4.1000000000000003E-3</v>
      </c>
      <c r="AK40" s="228">
        <v>26.1</v>
      </c>
      <c r="AL40" s="228">
        <v>46</v>
      </c>
      <c r="AM40" s="228">
        <v>-19.899999999999999</v>
      </c>
      <c r="AN40" s="229">
        <v>5.8999999999999999E-3</v>
      </c>
      <c r="AO40" s="231">
        <v>4350.91</v>
      </c>
      <c r="AP40" s="231">
        <v>4380.6099999999997</v>
      </c>
      <c r="AQ40" s="228">
        <v>0</v>
      </c>
      <c r="AR40" s="230">
        <v>6581625</v>
      </c>
      <c r="AS40" s="230">
        <v>5451375</v>
      </c>
      <c r="AT40" s="230">
        <v>1130250</v>
      </c>
      <c r="AU40" s="229">
        <v>0.20730000000000001</v>
      </c>
      <c r="AV40" s="230">
        <v>2545875</v>
      </c>
      <c r="AW40" s="230">
        <v>2214000</v>
      </c>
      <c r="AX40" s="230">
        <v>331875</v>
      </c>
      <c r="AY40" s="229">
        <v>0.14990000000000001</v>
      </c>
      <c r="AZ40" s="230">
        <v>3697875</v>
      </c>
      <c r="BA40" s="230">
        <v>3088875</v>
      </c>
      <c r="BB40" s="230">
        <v>609000</v>
      </c>
      <c r="BC40" s="229">
        <v>0.19719999999999999</v>
      </c>
      <c r="BD40" s="230">
        <v>337875</v>
      </c>
      <c r="BE40" s="230">
        <v>148500</v>
      </c>
      <c r="BF40" s="230">
        <v>189375</v>
      </c>
      <c r="BG40" s="229">
        <v>1.2753000000000001</v>
      </c>
      <c r="BH40" s="230">
        <v>18846000</v>
      </c>
      <c r="BI40" s="230">
        <v>22834500</v>
      </c>
      <c r="BJ40" s="230">
        <v>-3988500</v>
      </c>
      <c r="BK40" s="229">
        <v>-0.17469999999999999</v>
      </c>
      <c r="BL40" s="230">
        <v>14119125</v>
      </c>
      <c r="BM40" s="230">
        <v>19838250</v>
      </c>
      <c r="BN40" s="230">
        <v>-5719125</v>
      </c>
      <c r="BO40" s="229">
        <v>-0.2883</v>
      </c>
      <c r="BP40" s="230">
        <v>39546750</v>
      </c>
      <c r="BQ40" s="230">
        <v>48124125</v>
      </c>
      <c r="BR40" s="230">
        <v>-8577375</v>
      </c>
      <c r="BS40" s="229">
        <v>-0.1782</v>
      </c>
      <c r="BT40" s="230">
        <v>3782550</v>
      </c>
      <c r="BU40" s="230">
        <v>2791628</v>
      </c>
      <c r="BV40" s="230">
        <v>990922</v>
      </c>
      <c r="BW40" s="229">
        <v>0.35499999999999998</v>
      </c>
      <c r="BX40" s="230">
        <v>7613200</v>
      </c>
      <c r="BY40" s="230">
        <v>8481850</v>
      </c>
      <c r="BZ40" s="230">
        <v>-868650</v>
      </c>
      <c r="CA40" s="229">
        <v>-0.1024</v>
      </c>
      <c r="CB40" s="230">
        <v>1080000</v>
      </c>
      <c r="CC40" s="230">
        <v>1779750</v>
      </c>
      <c r="CD40" s="230">
        <v>-699750</v>
      </c>
      <c r="CE40" s="229">
        <v>-0.39319999999999999</v>
      </c>
      <c r="CF40" s="230">
        <v>7413000</v>
      </c>
      <c r="CG40" s="230">
        <v>6547500</v>
      </c>
      <c r="CH40" s="230">
        <v>865500</v>
      </c>
      <c r="CI40" s="229">
        <v>0.13220000000000001</v>
      </c>
      <c r="CJ40" s="230">
        <v>200200</v>
      </c>
      <c r="CK40" s="230">
        <v>154600</v>
      </c>
      <c r="CL40" s="230">
        <v>45600</v>
      </c>
      <c r="CM40" s="229">
        <v>0.29499999999999998</v>
      </c>
      <c r="CN40" s="230">
        <v>3963100</v>
      </c>
      <c r="CO40" s="230">
        <v>7603600</v>
      </c>
      <c r="CP40" s="230">
        <v>-3640500</v>
      </c>
      <c r="CQ40" s="229">
        <v>-0.4788</v>
      </c>
      <c r="CR40" s="230">
        <v>3920750</v>
      </c>
      <c r="CS40" s="230">
        <v>8549850</v>
      </c>
      <c r="CT40" s="230">
        <v>-4629100</v>
      </c>
      <c r="CU40" s="229">
        <v>-0.54139999999999999</v>
      </c>
      <c r="CV40" s="230">
        <v>15497050</v>
      </c>
      <c r="CW40" s="230">
        <v>24635300</v>
      </c>
      <c r="CX40" s="230">
        <v>-9138250</v>
      </c>
      <c r="CY40" s="229">
        <v>-0.37090000000000001</v>
      </c>
      <c r="CZ40" s="228">
        <v>32.950000000000003</v>
      </c>
      <c r="DA40" s="228">
        <v>34.15</v>
      </c>
      <c r="DB40" s="228">
        <v>-1.2</v>
      </c>
      <c r="DC40" s="228">
        <v>-1.2</v>
      </c>
      <c r="DD40" s="228">
        <v>56.83</v>
      </c>
      <c r="DE40" s="228">
        <v>56.87</v>
      </c>
      <c r="DF40" s="228">
        <v>-23.88</v>
      </c>
      <c r="DG40" s="228">
        <v>-0.04</v>
      </c>
      <c r="DH40" s="228">
        <v>32.049999999999997</v>
      </c>
      <c r="DI40" s="228">
        <v>33.590000000000003</v>
      </c>
      <c r="DJ40" s="228">
        <v>-1.54</v>
      </c>
      <c r="DK40" s="228">
        <v>-1.54</v>
      </c>
      <c r="DL40" s="228">
        <v>34.31</v>
      </c>
      <c r="DM40" s="228">
        <v>34.92</v>
      </c>
      <c r="DN40" s="228">
        <v>-0.61</v>
      </c>
      <c r="DO40" s="228">
        <v>-0.61</v>
      </c>
      <c r="DP40" s="228">
        <v>0.99</v>
      </c>
      <c r="DQ40" s="228">
        <v>1.1200000000000001</v>
      </c>
      <c r="DR40" s="228">
        <v>-0.13</v>
      </c>
      <c r="DS40" s="229">
        <v>-0.11609999999999999</v>
      </c>
      <c r="DT40" s="231">
        <v>4400</v>
      </c>
      <c r="DU40" s="231">
        <v>4000</v>
      </c>
      <c r="DV40" s="228">
        <v>0.75</v>
      </c>
      <c r="DW40" s="228">
        <v>0.87</v>
      </c>
      <c r="DX40" s="228">
        <v>-0.12</v>
      </c>
      <c r="DY40" s="229">
        <v>-0.13789999999999999</v>
      </c>
      <c r="DZ40" s="229">
        <v>0.87580000000000002</v>
      </c>
      <c r="EA40" s="230">
        <v>6702100</v>
      </c>
      <c r="EB40" s="229">
        <v>2.0999999999999999E-3</v>
      </c>
      <c r="EC40" s="229">
        <v>0.87580000000000002</v>
      </c>
      <c r="ED40" s="228">
        <v>29.7</v>
      </c>
      <c r="EE40" s="229">
        <v>6.7999999999999996E-3</v>
      </c>
      <c r="EF40" s="230">
        <v>974344</v>
      </c>
      <c r="EG40" s="230">
        <v>1141730</v>
      </c>
      <c r="EH40" s="229">
        <v>-0.14660000000000001</v>
      </c>
      <c r="EI40" s="229">
        <v>0.2576</v>
      </c>
      <c r="EJ40" s="231">
        <v>844544.96</v>
      </c>
      <c r="EK40" s="231">
        <v>580871.42000000004</v>
      </c>
      <c r="EL40" s="231">
        <v>280670.27</v>
      </c>
      <c r="EM40" s="231">
        <v>15377</v>
      </c>
      <c r="EN40" s="231">
        <v>1706086.65</v>
      </c>
      <c r="EO40" s="231">
        <v>2040634.44</v>
      </c>
      <c r="EP40" s="231">
        <v>-334547.78999999998</v>
      </c>
      <c r="EQ40" s="229">
        <v>-0.16389999999999999</v>
      </c>
      <c r="ER40" s="231">
        <v>169474</v>
      </c>
      <c r="ES40" s="231">
        <v>155652</v>
      </c>
      <c r="ET40" s="231">
        <v>336626</v>
      </c>
      <c r="EU40" s="231">
        <v>61182611</v>
      </c>
      <c r="EV40" s="231">
        <v>661752</v>
      </c>
      <c r="EW40" s="231">
        <v>1004374</v>
      </c>
      <c r="EX40" s="231">
        <v>-342622</v>
      </c>
      <c r="EY40" s="229">
        <v>-0.34110000000000001</v>
      </c>
      <c r="EZ40" s="229">
        <v>0.25330000000000003</v>
      </c>
      <c r="FA40" s="227" t="s">
        <v>691</v>
      </c>
      <c r="FB40" s="161">
        <f t="shared" si="0"/>
        <v>6533200</v>
      </c>
    </row>
    <row r="41" spans="1:158" ht="17.25" thickBot="1" x14ac:dyDescent="0.3">
      <c r="A41" s="226">
        <v>46168</v>
      </c>
      <c r="B41" s="227" t="s">
        <v>175</v>
      </c>
      <c r="C41" s="227" t="s">
        <v>610</v>
      </c>
      <c r="D41" s="228">
        <v>750</v>
      </c>
      <c r="E41" s="228">
        <v>775.05</v>
      </c>
      <c r="F41" s="228">
        <v>775.35</v>
      </c>
      <c r="G41" s="228">
        <v>-0.3</v>
      </c>
      <c r="H41" s="229">
        <v>-4.0000000000000002E-4</v>
      </c>
      <c r="I41" s="228">
        <v>773.15</v>
      </c>
      <c r="J41" s="228">
        <v>769.65</v>
      </c>
      <c r="K41" s="228">
        <v>3.5</v>
      </c>
      <c r="L41" s="229">
        <v>4.4999999999999997E-3</v>
      </c>
      <c r="M41" s="228">
        <v>774.15</v>
      </c>
      <c r="N41" s="228">
        <v>771.6</v>
      </c>
      <c r="O41" s="228">
        <v>2.5499999999999998</v>
      </c>
      <c r="P41" s="229">
        <v>3.3E-3</v>
      </c>
      <c r="Q41" s="228">
        <v>775.05</v>
      </c>
      <c r="R41" s="228">
        <v>775.35</v>
      </c>
      <c r="S41" s="228">
        <v>-0.3</v>
      </c>
      <c r="T41" s="229">
        <v>-4.0000000000000002E-4</v>
      </c>
      <c r="U41" s="228">
        <v>771.65</v>
      </c>
      <c r="V41" s="228">
        <v>771.9</v>
      </c>
      <c r="W41" s="228">
        <v>-0.25</v>
      </c>
      <c r="X41" s="229">
        <v>-2.9999999999999997E-4</v>
      </c>
      <c r="Y41" s="228">
        <v>1.9</v>
      </c>
      <c r="Z41" s="228">
        <v>1.95</v>
      </c>
      <c r="AA41" s="228">
        <v>-0.05</v>
      </c>
      <c r="AB41" s="229">
        <v>2.5000000000000001E-3</v>
      </c>
      <c r="AC41" s="228">
        <v>1</v>
      </c>
      <c r="AD41" s="228">
        <v>1.95</v>
      </c>
      <c r="AE41" s="228">
        <v>-0.95</v>
      </c>
      <c r="AF41" s="229">
        <v>1.2999999999999999E-3</v>
      </c>
      <c r="AG41" s="228">
        <v>1.9</v>
      </c>
      <c r="AH41" s="228">
        <v>5.7</v>
      </c>
      <c r="AI41" s="228">
        <v>-3.8</v>
      </c>
      <c r="AJ41" s="229">
        <v>2.5000000000000001E-3</v>
      </c>
      <c r="AK41" s="228">
        <v>-1.5</v>
      </c>
      <c r="AL41" s="228">
        <v>2.25</v>
      </c>
      <c r="AM41" s="228">
        <v>-3.75</v>
      </c>
      <c r="AN41" s="229">
        <v>-1.9E-3</v>
      </c>
      <c r="AO41" s="228">
        <v>768.44</v>
      </c>
      <c r="AP41" s="228">
        <v>771.22</v>
      </c>
      <c r="AQ41" s="228">
        <v>0</v>
      </c>
      <c r="AR41" s="230">
        <v>3087750</v>
      </c>
      <c r="AS41" s="230">
        <v>5781000</v>
      </c>
      <c r="AT41" s="230">
        <v>-2693250</v>
      </c>
      <c r="AU41" s="229">
        <v>-0.46589999999999998</v>
      </c>
      <c r="AV41" s="230">
        <v>1175250</v>
      </c>
      <c r="AW41" s="230">
        <v>2577750</v>
      </c>
      <c r="AX41" s="230">
        <v>-1402500</v>
      </c>
      <c r="AY41" s="229">
        <v>-0.54410000000000003</v>
      </c>
      <c r="AZ41" s="230">
        <v>1880250</v>
      </c>
      <c r="BA41" s="230">
        <v>3153750</v>
      </c>
      <c r="BB41" s="230">
        <v>-1273500</v>
      </c>
      <c r="BC41" s="229">
        <v>-0.40379999999999999</v>
      </c>
      <c r="BD41" s="230">
        <v>32250</v>
      </c>
      <c r="BE41" s="230">
        <v>49500</v>
      </c>
      <c r="BF41" s="230">
        <v>-17250</v>
      </c>
      <c r="BG41" s="229">
        <v>-0.34849999999999998</v>
      </c>
      <c r="BH41" s="230">
        <v>1895250</v>
      </c>
      <c r="BI41" s="230">
        <v>3775500</v>
      </c>
      <c r="BJ41" s="230">
        <v>-1880250</v>
      </c>
      <c r="BK41" s="229">
        <v>-0.498</v>
      </c>
      <c r="BL41" s="230">
        <v>759000</v>
      </c>
      <c r="BM41" s="230">
        <v>2112750</v>
      </c>
      <c r="BN41" s="230">
        <v>-1353750</v>
      </c>
      <c r="BO41" s="229">
        <v>-0.64080000000000004</v>
      </c>
      <c r="BP41" s="230">
        <v>5742000</v>
      </c>
      <c r="BQ41" s="230">
        <v>11669250</v>
      </c>
      <c r="BR41" s="230">
        <v>-5927250</v>
      </c>
      <c r="BS41" s="229">
        <v>-0.50790000000000002</v>
      </c>
      <c r="BT41" s="230">
        <v>1046318</v>
      </c>
      <c r="BU41" s="230">
        <v>1954732</v>
      </c>
      <c r="BV41" s="230">
        <v>-908414</v>
      </c>
      <c r="BW41" s="229">
        <v>-0.4647</v>
      </c>
      <c r="BX41" s="230">
        <v>5712675</v>
      </c>
      <c r="BY41" s="230">
        <v>6989925</v>
      </c>
      <c r="BZ41" s="230">
        <v>-1277250</v>
      </c>
      <c r="CA41" s="229">
        <v>-0.1827</v>
      </c>
      <c r="CB41" s="230">
        <v>1446000</v>
      </c>
      <c r="CC41" s="230">
        <v>1746000</v>
      </c>
      <c r="CD41" s="230">
        <v>-300000</v>
      </c>
      <c r="CE41" s="229">
        <v>-0.17180000000000001</v>
      </c>
      <c r="CF41" s="230">
        <v>5556750</v>
      </c>
      <c r="CG41" s="230">
        <v>5112750</v>
      </c>
      <c r="CH41" s="230">
        <v>444000</v>
      </c>
      <c r="CI41" s="229">
        <v>8.6800000000000002E-2</v>
      </c>
      <c r="CJ41" s="230">
        <v>155925</v>
      </c>
      <c r="CK41" s="230">
        <v>131175</v>
      </c>
      <c r="CL41" s="230">
        <v>24750</v>
      </c>
      <c r="CM41" s="229">
        <v>0.18870000000000001</v>
      </c>
      <c r="CN41" s="230">
        <v>849750</v>
      </c>
      <c r="CO41" s="230">
        <v>3822000</v>
      </c>
      <c r="CP41" s="230">
        <v>-2972250</v>
      </c>
      <c r="CQ41" s="229">
        <v>-0.77769999999999995</v>
      </c>
      <c r="CR41" s="230">
        <v>600750</v>
      </c>
      <c r="CS41" s="230">
        <v>2931000</v>
      </c>
      <c r="CT41" s="230">
        <v>-2330250</v>
      </c>
      <c r="CU41" s="229">
        <v>-0.79500000000000004</v>
      </c>
      <c r="CV41" s="230">
        <v>7163175</v>
      </c>
      <c r="CW41" s="230">
        <v>13742925</v>
      </c>
      <c r="CX41" s="230">
        <v>-6579750</v>
      </c>
      <c r="CY41" s="229">
        <v>-0.4788</v>
      </c>
      <c r="CZ41" s="228">
        <v>30.08</v>
      </c>
      <c r="DA41" s="228">
        <v>29.68</v>
      </c>
      <c r="DB41" s="228">
        <v>0.4</v>
      </c>
      <c r="DC41" s="228">
        <v>0.4</v>
      </c>
      <c r="DD41" s="228">
        <v>41.81</v>
      </c>
      <c r="DE41" s="228">
        <v>41.92</v>
      </c>
      <c r="DF41" s="228">
        <v>-11.73</v>
      </c>
      <c r="DG41" s="228">
        <v>-0.11</v>
      </c>
      <c r="DH41" s="228">
        <v>29.59</v>
      </c>
      <c r="DI41" s="228">
        <v>29.64</v>
      </c>
      <c r="DJ41" s="228">
        <v>-0.05</v>
      </c>
      <c r="DK41" s="228">
        <v>-0.05</v>
      </c>
      <c r="DL41" s="228">
        <v>31.07</v>
      </c>
      <c r="DM41" s="228">
        <v>29.76</v>
      </c>
      <c r="DN41" s="228">
        <v>1.31</v>
      </c>
      <c r="DO41" s="228">
        <v>1.31</v>
      </c>
      <c r="DP41" s="228">
        <v>0.71</v>
      </c>
      <c r="DQ41" s="228">
        <v>0.77</v>
      </c>
      <c r="DR41" s="228">
        <v>-0.06</v>
      </c>
      <c r="DS41" s="229">
        <v>-7.7899999999999997E-2</v>
      </c>
      <c r="DT41" s="228">
        <v>830</v>
      </c>
      <c r="DU41" s="228">
        <v>730</v>
      </c>
      <c r="DV41" s="228">
        <v>0.4</v>
      </c>
      <c r="DW41" s="228">
        <v>0.56000000000000005</v>
      </c>
      <c r="DX41" s="228">
        <v>-0.16</v>
      </c>
      <c r="DY41" s="229">
        <v>-0.28570000000000001</v>
      </c>
      <c r="DZ41" s="229">
        <v>0.79800000000000004</v>
      </c>
      <c r="EA41" s="230">
        <v>5243925</v>
      </c>
      <c r="EB41" s="229">
        <v>1.1999999999999999E-3</v>
      </c>
      <c r="EC41" s="229">
        <v>0.79800000000000004</v>
      </c>
      <c r="ED41" s="228">
        <v>2.78</v>
      </c>
      <c r="EE41" s="229">
        <v>3.5999999999999999E-3</v>
      </c>
      <c r="EF41" s="230">
        <v>370954</v>
      </c>
      <c r="EG41" s="230">
        <v>1030721</v>
      </c>
      <c r="EH41" s="229">
        <v>-0.6401</v>
      </c>
      <c r="EI41" s="229">
        <v>0.35449999999999998</v>
      </c>
      <c r="EJ41" s="231">
        <v>15352.97</v>
      </c>
      <c r="EK41" s="231">
        <v>5841.85</v>
      </c>
      <c r="EL41" s="231">
        <v>23804.33</v>
      </c>
      <c r="EM41" s="231">
        <v>6175</v>
      </c>
      <c r="EN41" s="231">
        <v>44999.15</v>
      </c>
      <c r="EO41" s="231">
        <v>91398.21</v>
      </c>
      <c r="EP41" s="231">
        <v>-46399.06</v>
      </c>
      <c r="EQ41" s="229">
        <v>-0.50770000000000004</v>
      </c>
      <c r="ER41" s="231">
        <v>6872</v>
      </c>
      <c r="ES41" s="231">
        <v>4509</v>
      </c>
      <c r="ET41" s="231">
        <v>44271</v>
      </c>
      <c r="EU41" s="231">
        <v>37147595</v>
      </c>
      <c r="EV41" s="231">
        <v>55651</v>
      </c>
      <c r="EW41" s="231">
        <v>107476</v>
      </c>
      <c r="EX41" s="231">
        <v>-51825</v>
      </c>
      <c r="EY41" s="229">
        <v>-0.48220000000000002</v>
      </c>
      <c r="EZ41" s="229">
        <v>0.1928</v>
      </c>
      <c r="FA41" s="227" t="s">
        <v>567</v>
      </c>
      <c r="FB41" s="161">
        <f t="shared" si="0"/>
        <v>4266675</v>
      </c>
    </row>
    <row r="42" spans="1:158" ht="17.25" thickBot="1" x14ac:dyDescent="0.3">
      <c r="A42" s="226">
        <v>46168</v>
      </c>
      <c r="B42" s="227" t="s">
        <v>172</v>
      </c>
      <c r="C42" s="227" t="s">
        <v>196</v>
      </c>
      <c r="D42" s="228">
        <v>6750</v>
      </c>
      <c r="E42" s="228">
        <v>134.26</v>
      </c>
      <c r="F42" s="228">
        <v>134.78</v>
      </c>
      <c r="G42" s="228">
        <v>-0.52</v>
      </c>
      <c r="H42" s="229">
        <v>-3.8999999999999998E-3</v>
      </c>
      <c r="I42" s="228">
        <v>133.15</v>
      </c>
      <c r="J42" s="228">
        <v>133.69999999999999</v>
      </c>
      <c r="K42" s="228">
        <v>-0.55000000000000004</v>
      </c>
      <c r="L42" s="229">
        <v>-4.1000000000000003E-3</v>
      </c>
      <c r="M42" s="228">
        <v>133.33000000000001</v>
      </c>
      <c r="N42" s="228">
        <v>133.94</v>
      </c>
      <c r="O42" s="228">
        <v>-0.61</v>
      </c>
      <c r="P42" s="229">
        <v>-4.5999999999999999E-3</v>
      </c>
      <c r="Q42" s="228">
        <v>134.26</v>
      </c>
      <c r="R42" s="228">
        <v>134.78</v>
      </c>
      <c r="S42" s="228">
        <v>-0.52</v>
      </c>
      <c r="T42" s="229">
        <v>-3.8999999999999998E-3</v>
      </c>
      <c r="U42" s="228">
        <v>135.16999999999999</v>
      </c>
      <c r="V42" s="228">
        <v>135.51</v>
      </c>
      <c r="W42" s="228">
        <v>-0.34</v>
      </c>
      <c r="X42" s="229">
        <v>-2.5000000000000001E-3</v>
      </c>
      <c r="Y42" s="228">
        <v>1.1100000000000001</v>
      </c>
      <c r="Z42" s="228">
        <v>0.24</v>
      </c>
      <c r="AA42" s="228">
        <v>0.87</v>
      </c>
      <c r="AB42" s="229">
        <v>8.3000000000000001E-3</v>
      </c>
      <c r="AC42" s="228">
        <v>0.18</v>
      </c>
      <c r="AD42" s="228">
        <v>0.24</v>
      </c>
      <c r="AE42" s="228">
        <v>-0.06</v>
      </c>
      <c r="AF42" s="229">
        <v>1.4E-3</v>
      </c>
      <c r="AG42" s="228">
        <v>1.1100000000000001</v>
      </c>
      <c r="AH42" s="228">
        <v>1.08</v>
      </c>
      <c r="AI42" s="228">
        <v>0.03</v>
      </c>
      <c r="AJ42" s="229">
        <v>8.3000000000000001E-3</v>
      </c>
      <c r="AK42" s="228">
        <v>2.02</v>
      </c>
      <c r="AL42" s="228">
        <v>1.81</v>
      </c>
      <c r="AM42" s="228">
        <v>0.21</v>
      </c>
      <c r="AN42" s="229">
        <v>1.52E-2</v>
      </c>
      <c r="AO42" s="228">
        <v>133.84</v>
      </c>
      <c r="AP42" s="228">
        <v>134.74</v>
      </c>
      <c r="AQ42" s="228">
        <v>0</v>
      </c>
      <c r="AR42" s="230">
        <v>116667000</v>
      </c>
      <c r="AS42" s="230">
        <v>141621750</v>
      </c>
      <c r="AT42" s="230">
        <v>-24954750</v>
      </c>
      <c r="AU42" s="229">
        <v>-0.1762</v>
      </c>
      <c r="AV42" s="230">
        <v>49092750</v>
      </c>
      <c r="AW42" s="230">
        <v>64388250</v>
      </c>
      <c r="AX42" s="230">
        <v>-15295500</v>
      </c>
      <c r="AY42" s="229">
        <v>-0.23760000000000001</v>
      </c>
      <c r="AZ42" s="230">
        <v>66001500</v>
      </c>
      <c r="BA42" s="230">
        <v>75498750</v>
      </c>
      <c r="BB42" s="230">
        <v>-9497250</v>
      </c>
      <c r="BC42" s="229">
        <v>-0.1258</v>
      </c>
      <c r="BD42" s="230">
        <v>1572750</v>
      </c>
      <c r="BE42" s="230">
        <v>1734750</v>
      </c>
      <c r="BF42" s="230">
        <v>-162000</v>
      </c>
      <c r="BG42" s="229">
        <v>-9.3399999999999997E-2</v>
      </c>
      <c r="BH42" s="230">
        <v>74918250</v>
      </c>
      <c r="BI42" s="230">
        <v>140751000</v>
      </c>
      <c r="BJ42" s="230">
        <v>-65832750</v>
      </c>
      <c r="BK42" s="229">
        <v>-0.4677</v>
      </c>
      <c r="BL42" s="230">
        <v>45009000</v>
      </c>
      <c r="BM42" s="230">
        <v>100311750</v>
      </c>
      <c r="BN42" s="230">
        <v>-55302750</v>
      </c>
      <c r="BO42" s="229">
        <v>-0.55130000000000001</v>
      </c>
      <c r="BP42" s="230">
        <v>236594250</v>
      </c>
      <c r="BQ42" s="230">
        <v>382684500</v>
      </c>
      <c r="BR42" s="230">
        <v>-146090250</v>
      </c>
      <c r="BS42" s="229">
        <v>-0.38179999999999997</v>
      </c>
      <c r="BT42" s="230">
        <v>24942446</v>
      </c>
      <c r="BU42" s="230">
        <v>29929707</v>
      </c>
      <c r="BV42" s="230">
        <v>-4987261</v>
      </c>
      <c r="BW42" s="229">
        <v>-0.1666</v>
      </c>
      <c r="BX42" s="230">
        <v>244248750</v>
      </c>
      <c r="BY42" s="230">
        <v>252382500</v>
      </c>
      <c r="BZ42" s="230">
        <v>-8133750</v>
      </c>
      <c r="CA42" s="229">
        <v>-3.2199999999999999E-2</v>
      </c>
      <c r="CB42" s="230">
        <v>12048750</v>
      </c>
      <c r="CC42" s="230">
        <v>50368500</v>
      </c>
      <c r="CD42" s="230">
        <v>-38319750</v>
      </c>
      <c r="CE42" s="229">
        <v>-0.76080000000000003</v>
      </c>
      <c r="CF42" s="230">
        <v>235419750</v>
      </c>
      <c r="CG42" s="230">
        <v>193947750</v>
      </c>
      <c r="CH42" s="230">
        <v>41472000</v>
      </c>
      <c r="CI42" s="229">
        <v>0.21379999999999999</v>
      </c>
      <c r="CJ42" s="230">
        <v>8829000</v>
      </c>
      <c r="CK42" s="230">
        <v>8066250</v>
      </c>
      <c r="CL42" s="230">
        <v>762750</v>
      </c>
      <c r="CM42" s="229">
        <v>9.4600000000000004E-2</v>
      </c>
      <c r="CN42" s="230">
        <v>36571500</v>
      </c>
      <c r="CO42" s="230">
        <v>98172000</v>
      </c>
      <c r="CP42" s="230">
        <v>-61600500</v>
      </c>
      <c r="CQ42" s="229">
        <v>-0.62749999999999995</v>
      </c>
      <c r="CR42" s="230">
        <v>42005250</v>
      </c>
      <c r="CS42" s="230">
        <v>81810000</v>
      </c>
      <c r="CT42" s="230">
        <v>-39804750</v>
      </c>
      <c r="CU42" s="229">
        <v>-0.48659999999999998</v>
      </c>
      <c r="CV42" s="230">
        <v>322825500</v>
      </c>
      <c r="CW42" s="230">
        <v>432364500</v>
      </c>
      <c r="CX42" s="230">
        <v>-109539000</v>
      </c>
      <c r="CY42" s="229">
        <v>-0.25330000000000003</v>
      </c>
      <c r="CZ42" s="228">
        <v>28.25</v>
      </c>
      <c r="DA42" s="228">
        <v>29.72</v>
      </c>
      <c r="DB42" s="228">
        <v>-1.47</v>
      </c>
      <c r="DC42" s="228">
        <v>-1.47</v>
      </c>
      <c r="DD42" s="228">
        <v>38.58</v>
      </c>
      <c r="DE42" s="228">
        <v>38.68</v>
      </c>
      <c r="DF42" s="228">
        <v>-10.33</v>
      </c>
      <c r="DG42" s="228">
        <v>-0.1</v>
      </c>
      <c r="DH42" s="228">
        <v>28.38</v>
      </c>
      <c r="DI42" s="228">
        <v>29.68</v>
      </c>
      <c r="DJ42" s="228">
        <v>-1.3</v>
      </c>
      <c r="DK42" s="228">
        <v>-1.3</v>
      </c>
      <c r="DL42" s="228">
        <v>28.09</v>
      </c>
      <c r="DM42" s="228">
        <v>29.76</v>
      </c>
      <c r="DN42" s="228">
        <v>-1.67</v>
      </c>
      <c r="DO42" s="228">
        <v>-1.67</v>
      </c>
      <c r="DP42" s="228">
        <v>1.1499999999999999</v>
      </c>
      <c r="DQ42" s="228">
        <v>0.83</v>
      </c>
      <c r="DR42" s="228">
        <v>0.32</v>
      </c>
      <c r="DS42" s="229">
        <v>0.38550000000000001</v>
      </c>
      <c r="DT42" s="228">
        <v>135</v>
      </c>
      <c r="DU42" s="228">
        <v>130</v>
      </c>
      <c r="DV42" s="228">
        <v>0.6</v>
      </c>
      <c r="DW42" s="228">
        <v>0.71</v>
      </c>
      <c r="DX42" s="228">
        <v>-0.11</v>
      </c>
      <c r="DY42" s="229">
        <v>-0.15490000000000001</v>
      </c>
      <c r="DZ42" s="229">
        <v>0.95299999999999996</v>
      </c>
      <c r="EA42" s="230">
        <v>202014000</v>
      </c>
      <c r="EB42" s="229">
        <v>7.0000000000000001E-3</v>
      </c>
      <c r="EC42" s="229">
        <v>0.95299999999999996</v>
      </c>
      <c r="ED42" s="228">
        <v>0.9</v>
      </c>
      <c r="EE42" s="229">
        <v>6.7000000000000002E-3</v>
      </c>
      <c r="EF42" s="230">
        <v>10016269</v>
      </c>
      <c r="EG42" s="230">
        <v>12084735</v>
      </c>
      <c r="EH42" s="229">
        <v>-0.17119999999999999</v>
      </c>
      <c r="EI42" s="229">
        <v>0.40160000000000001</v>
      </c>
      <c r="EJ42" s="231">
        <v>104898.8</v>
      </c>
      <c r="EK42" s="231">
        <v>60767.42</v>
      </c>
      <c r="EL42" s="231">
        <v>156767.46</v>
      </c>
      <c r="EM42" s="231">
        <v>13521</v>
      </c>
      <c r="EN42" s="231">
        <v>322433.68</v>
      </c>
      <c r="EO42" s="231">
        <v>516201.8</v>
      </c>
      <c r="EP42" s="231">
        <v>-193768.12</v>
      </c>
      <c r="EQ42" s="229">
        <v>-0.37540000000000001</v>
      </c>
      <c r="ER42" s="231">
        <v>50324</v>
      </c>
      <c r="ES42" s="231">
        <v>56076</v>
      </c>
      <c r="ET42" s="231">
        <v>328009</v>
      </c>
      <c r="EU42" s="231">
        <v>504315430</v>
      </c>
      <c r="EV42" s="231">
        <v>434409</v>
      </c>
      <c r="EW42" s="231">
        <v>584593</v>
      </c>
      <c r="EX42" s="231">
        <v>-150184</v>
      </c>
      <c r="EY42" s="229">
        <v>-0.25690000000000002</v>
      </c>
      <c r="EZ42" s="229">
        <v>0.6401</v>
      </c>
      <c r="FA42" s="227" t="s">
        <v>567</v>
      </c>
      <c r="FB42" s="161">
        <f t="shared" si="0"/>
        <v>232200000</v>
      </c>
    </row>
    <row r="43" spans="1:158" ht="17.25" thickBot="1" x14ac:dyDescent="0.3">
      <c r="A43" s="226">
        <v>46168</v>
      </c>
      <c r="B43" s="227" t="s">
        <v>175</v>
      </c>
      <c r="C43" s="227" t="s">
        <v>596</v>
      </c>
      <c r="D43" s="228">
        <v>475</v>
      </c>
      <c r="E43" s="231">
        <v>1233.3</v>
      </c>
      <c r="F43" s="231">
        <v>1216.5999999999999</v>
      </c>
      <c r="G43" s="228">
        <v>16.7</v>
      </c>
      <c r="H43" s="229">
        <v>1.37E-2</v>
      </c>
      <c r="I43" s="231">
        <v>1226.3</v>
      </c>
      <c r="J43" s="231">
        <v>1217.4000000000001</v>
      </c>
      <c r="K43" s="228">
        <v>8.9</v>
      </c>
      <c r="L43" s="229">
        <v>7.3000000000000001E-3</v>
      </c>
      <c r="M43" s="231">
        <v>1222.0999999999999</v>
      </c>
      <c r="N43" s="231">
        <v>1221.8</v>
      </c>
      <c r="O43" s="228">
        <v>0.3</v>
      </c>
      <c r="P43" s="229">
        <v>2.0000000000000001E-4</v>
      </c>
      <c r="Q43" s="231">
        <v>1233.3</v>
      </c>
      <c r="R43" s="231">
        <v>1216.5999999999999</v>
      </c>
      <c r="S43" s="228">
        <v>16.7</v>
      </c>
      <c r="T43" s="229">
        <v>1.37E-2</v>
      </c>
      <c r="U43" s="231">
        <v>1236.7</v>
      </c>
      <c r="V43" s="231">
        <v>1219.0999999999999</v>
      </c>
      <c r="W43" s="228">
        <v>17.600000000000001</v>
      </c>
      <c r="X43" s="229">
        <v>1.44E-2</v>
      </c>
      <c r="Y43" s="228">
        <v>7</v>
      </c>
      <c r="Z43" s="228">
        <v>4.4000000000000004</v>
      </c>
      <c r="AA43" s="228">
        <v>2.6</v>
      </c>
      <c r="AB43" s="229">
        <v>5.7000000000000002E-3</v>
      </c>
      <c r="AC43" s="228">
        <v>-4.2</v>
      </c>
      <c r="AD43" s="228">
        <v>4.4000000000000004</v>
      </c>
      <c r="AE43" s="228">
        <v>-8.6</v>
      </c>
      <c r="AF43" s="229">
        <v>-3.3999999999999998E-3</v>
      </c>
      <c r="AG43" s="228">
        <v>7</v>
      </c>
      <c r="AH43" s="228">
        <v>-0.8</v>
      </c>
      <c r="AI43" s="228">
        <v>7.8</v>
      </c>
      <c r="AJ43" s="229">
        <v>5.7000000000000002E-3</v>
      </c>
      <c r="AK43" s="228">
        <v>10.4</v>
      </c>
      <c r="AL43" s="228">
        <v>1.7</v>
      </c>
      <c r="AM43" s="228">
        <v>8.6999999999999993</v>
      </c>
      <c r="AN43" s="229">
        <v>8.5000000000000006E-3</v>
      </c>
      <c r="AO43" s="231">
        <v>1222.54</v>
      </c>
      <c r="AP43" s="231">
        <v>1225.8599999999999</v>
      </c>
      <c r="AQ43" s="228">
        <v>0</v>
      </c>
      <c r="AR43" s="230">
        <v>7457025</v>
      </c>
      <c r="AS43" s="230">
        <v>9282450</v>
      </c>
      <c r="AT43" s="230">
        <v>-1825425</v>
      </c>
      <c r="AU43" s="229">
        <v>-0.19670000000000001</v>
      </c>
      <c r="AV43" s="230">
        <v>3099375</v>
      </c>
      <c r="AW43" s="230">
        <v>4366200</v>
      </c>
      <c r="AX43" s="230">
        <v>-1266825</v>
      </c>
      <c r="AY43" s="229">
        <v>-0.29010000000000002</v>
      </c>
      <c r="AZ43" s="230">
        <v>4156250</v>
      </c>
      <c r="BA43" s="230">
        <v>4713425</v>
      </c>
      <c r="BB43" s="230">
        <v>-557175</v>
      </c>
      <c r="BC43" s="229">
        <v>-0.1182</v>
      </c>
      <c r="BD43" s="230">
        <v>201400</v>
      </c>
      <c r="BE43" s="230">
        <v>202825</v>
      </c>
      <c r="BF43" s="230">
        <v>-1425</v>
      </c>
      <c r="BG43" s="229">
        <v>-7.0000000000000001E-3</v>
      </c>
      <c r="BH43" s="230">
        <v>6637175</v>
      </c>
      <c r="BI43" s="230">
        <v>13187425</v>
      </c>
      <c r="BJ43" s="230">
        <v>-6550250</v>
      </c>
      <c r="BK43" s="229">
        <v>-0.49669999999999997</v>
      </c>
      <c r="BL43" s="230">
        <v>3309325</v>
      </c>
      <c r="BM43" s="230">
        <v>5863875</v>
      </c>
      <c r="BN43" s="230">
        <v>-2554550</v>
      </c>
      <c r="BO43" s="229">
        <v>-0.43559999999999999</v>
      </c>
      <c r="BP43" s="230">
        <v>17403525</v>
      </c>
      <c r="BQ43" s="230">
        <v>28333750</v>
      </c>
      <c r="BR43" s="230">
        <v>-10930225</v>
      </c>
      <c r="BS43" s="229">
        <v>-0.38579999999999998</v>
      </c>
      <c r="BT43" s="230">
        <v>1592677</v>
      </c>
      <c r="BU43" s="230">
        <v>1199970</v>
      </c>
      <c r="BV43" s="230">
        <v>392707</v>
      </c>
      <c r="BW43" s="229">
        <v>0.32729999999999998</v>
      </c>
      <c r="BX43" s="230">
        <v>11836050</v>
      </c>
      <c r="BY43" s="230">
        <v>14413875</v>
      </c>
      <c r="BZ43" s="230">
        <v>-2577825</v>
      </c>
      <c r="CA43" s="229">
        <v>-0.17879999999999999</v>
      </c>
      <c r="CB43" s="230">
        <v>900600</v>
      </c>
      <c r="CC43" s="230">
        <v>2478550</v>
      </c>
      <c r="CD43" s="230">
        <v>-1577950</v>
      </c>
      <c r="CE43" s="229">
        <v>-0.63660000000000005</v>
      </c>
      <c r="CF43" s="230">
        <v>10806250</v>
      </c>
      <c r="CG43" s="230">
        <v>10982950</v>
      </c>
      <c r="CH43" s="230">
        <v>-176700</v>
      </c>
      <c r="CI43" s="229">
        <v>-1.61E-2</v>
      </c>
      <c r="CJ43" s="230">
        <v>1029800</v>
      </c>
      <c r="CK43" s="230">
        <v>952375</v>
      </c>
      <c r="CL43" s="230">
        <v>77425</v>
      </c>
      <c r="CM43" s="229">
        <v>8.1299999999999997E-2</v>
      </c>
      <c r="CN43" s="230">
        <v>4136775</v>
      </c>
      <c r="CO43" s="230">
        <v>8957550</v>
      </c>
      <c r="CP43" s="230">
        <v>-4820775</v>
      </c>
      <c r="CQ43" s="229">
        <v>-0.53820000000000001</v>
      </c>
      <c r="CR43" s="230">
        <v>3407175</v>
      </c>
      <c r="CS43" s="230">
        <v>6006850</v>
      </c>
      <c r="CT43" s="230">
        <v>-2599675</v>
      </c>
      <c r="CU43" s="229">
        <v>-0.43280000000000002</v>
      </c>
      <c r="CV43" s="230">
        <v>19380000</v>
      </c>
      <c r="CW43" s="230">
        <v>29378275</v>
      </c>
      <c r="CX43" s="230">
        <v>-9998275</v>
      </c>
      <c r="CY43" s="229">
        <v>-0.34029999999999999</v>
      </c>
      <c r="CZ43" s="228">
        <v>29.89</v>
      </c>
      <c r="DA43" s="228">
        <v>31.03</v>
      </c>
      <c r="DB43" s="228">
        <v>-1.1399999999999999</v>
      </c>
      <c r="DC43" s="228">
        <v>-1.1399999999999999</v>
      </c>
      <c r="DD43" s="228">
        <v>45.43</v>
      </c>
      <c r="DE43" s="228">
        <v>45.51</v>
      </c>
      <c r="DF43" s="228">
        <v>-15.54</v>
      </c>
      <c r="DG43" s="228">
        <v>-0.08</v>
      </c>
      <c r="DH43" s="228">
        <v>30.19</v>
      </c>
      <c r="DI43" s="228">
        <v>31.23</v>
      </c>
      <c r="DJ43" s="228">
        <v>-1.04</v>
      </c>
      <c r="DK43" s="228">
        <v>-1.04</v>
      </c>
      <c r="DL43" s="228">
        <v>29.34</v>
      </c>
      <c r="DM43" s="228">
        <v>30.74</v>
      </c>
      <c r="DN43" s="228">
        <v>-1.4</v>
      </c>
      <c r="DO43" s="228">
        <v>-1.4</v>
      </c>
      <c r="DP43" s="228">
        <v>0.82</v>
      </c>
      <c r="DQ43" s="228">
        <v>0.67</v>
      </c>
      <c r="DR43" s="228">
        <v>0.15</v>
      </c>
      <c r="DS43" s="229">
        <v>0.22389999999999999</v>
      </c>
      <c r="DT43" s="231">
        <v>1300</v>
      </c>
      <c r="DU43" s="231">
        <v>1200</v>
      </c>
      <c r="DV43" s="228">
        <v>0.5</v>
      </c>
      <c r="DW43" s="228">
        <v>0.44</v>
      </c>
      <c r="DX43" s="228">
        <v>0.06</v>
      </c>
      <c r="DY43" s="229">
        <v>0.13639999999999999</v>
      </c>
      <c r="DZ43" s="229">
        <v>0.92930000000000001</v>
      </c>
      <c r="EA43" s="230">
        <v>11935325</v>
      </c>
      <c r="EB43" s="229">
        <v>9.1999999999999998E-3</v>
      </c>
      <c r="EC43" s="229">
        <v>0.92930000000000001</v>
      </c>
      <c r="ED43" s="228">
        <v>3.32</v>
      </c>
      <c r="EE43" s="229">
        <v>2.7000000000000001E-3</v>
      </c>
      <c r="EF43" s="230">
        <v>693766</v>
      </c>
      <c r="EG43" s="230">
        <v>507661</v>
      </c>
      <c r="EH43" s="229">
        <v>0.36659999999999998</v>
      </c>
      <c r="EI43" s="229">
        <v>0.43559999999999999</v>
      </c>
      <c r="EJ43" s="231">
        <v>86415.72</v>
      </c>
      <c r="EK43" s="231">
        <v>41848.94</v>
      </c>
      <c r="EL43" s="231">
        <v>91315.29</v>
      </c>
      <c r="EM43" s="231">
        <v>13949</v>
      </c>
      <c r="EN43" s="231">
        <v>219579.95</v>
      </c>
      <c r="EO43" s="231">
        <v>355893.84</v>
      </c>
      <c r="EP43" s="231">
        <v>-136313.89000000001</v>
      </c>
      <c r="EQ43" s="229">
        <v>-0.38300000000000001</v>
      </c>
      <c r="ER43" s="231">
        <v>53217</v>
      </c>
      <c r="ES43" s="231">
        <v>41647</v>
      </c>
      <c r="ET43" s="231">
        <v>146009</v>
      </c>
      <c r="EU43" s="231">
        <v>26647500</v>
      </c>
      <c r="EV43" s="231">
        <v>240873</v>
      </c>
      <c r="EW43" s="231">
        <v>365221</v>
      </c>
      <c r="EX43" s="231">
        <v>-124348</v>
      </c>
      <c r="EY43" s="229">
        <v>-0.34050000000000002</v>
      </c>
      <c r="EZ43" s="229">
        <v>0.72729999999999995</v>
      </c>
      <c r="FA43" s="227" t="s">
        <v>691</v>
      </c>
      <c r="FB43" s="161">
        <f t="shared" si="0"/>
        <v>10935450</v>
      </c>
    </row>
    <row r="44" spans="1:158" ht="17.25" thickBot="1" x14ac:dyDescent="0.3">
      <c r="A44" s="226">
        <v>46168</v>
      </c>
      <c r="B44" s="227" t="s">
        <v>161</v>
      </c>
      <c r="C44" s="227" t="s">
        <v>611</v>
      </c>
      <c r="D44" s="228">
        <v>850</v>
      </c>
      <c r="E44" s="228">
        <v>884.3</v>
      </c>
      <c r="F44" s="228">
        <v>874.85</v>
      </c>
      <c r="G44" s="228">
        <v>9.4499999999999993</v>
      </c>
      <c r="H44" s="229">
        <v>1.0800000000000001E-2</v>
      </c>
      <c r="I44" s="228">
        <v>879.15</v>
      </c>
      <c r="J44" s="228">
        <v>867.9</v>
      </c>
      <c r="K44" s="228">
        <v>11.25</v>
      </c>
      <c r="L44" s="229">
        <v>1.2999999999999999E-2</v>
      </c>
      <c r="M44" s="228">
        <v>879.1</v>
      </c>
      <c r="N44" s="228">
        <v>869.3</v>
      </c>
      <c r="O44" s="228">
        <v>9.8000000000000007</v>
      </c>
      <c r="P44" s="229">
        <v>1.1299999999999999E-2</v>
      </c>
      <c r="Q44" s="228">
        <v>884.3</v>
      </c>
      <c r="R44" s="228">
        <v>874.85</v>
      </c>
      <c r="S44" s="228">
        <v>9.4499999999999993</v>
      </c>
      <c r="T44" s="229">
        <v>1.0800000000000001E-2</v>
      </c>
      <c r="U44" s="228">
        <v>889.45</v>
      </c>
      <c r="V44" s="228">
        <v>879.95</v>
      </c>
      <c r="W44" s="228">
        <v>9.5</v>
      </c>
      <c r="X44" s="229">
        <v>1.0800000000000001E-2</v>
      </c>
      <c r="Y44" s="228">
        <v>5.15</v>
      </c>
      <c r="Z44" s="228">
        <v>1.4</v>
      </c>
      <c r="AA44" s="228">
        <v>3.75</v>
      </c>
      <c r="AB44" s="229">
        <v>5.8999999999999999E-3</v>
      </c>
      <c r="AC44" s="228">
        <v>-0.05</v>
      </c>
      <c r="AD44" s="228">
        <v>1.4</v>
      </c>
      <c r="AE44" s="228">
        <v>-1.45</v>
      </c>
      <c r="AF44" s="229">
        <v>-1E-4</v>
      </c>
      <c r="AG44" s="228">
        <v>5.15</v>
      </c>
      <c r="AH44" s="228">
        <v>6.95</v>
      </c>
      <c r="AI44" s="228">
        <v>-1.8</v>
      </c>
      <c r="AJ44" s="229">
        <v>5.8999999999999999E-3</v>
      </c>
      <c r="AK44" s="228">
        <v>10.3</v>
      </c>
      <c r="AL44" s="228">
        <v>12.05</v>
      </c>
      <c r="AM44" s="228">
        <v>-1.75</v>
      </c>
      <c r="AN44" s="229">
        <v>1.17E-2</v>
      </c>
      <c r="AO44" s="228">
        <v>875.82</v>
      </c>
      <c r="AP44" s="228">
        <v>883.62</v>
      </c>
      <c r="AQ44" s="228">
        <v>0</v>
      </c>
      <c r="AR44" s="230">
        <v>6821250</v>
      </c>
      <c r="AS44" s="230">
        <v>10196600</v>
      </c>
      <c r="AT44" s="230">
        <v>-3375350</v>
      </c>
      <c r="AU44" s="229">
        <v>-0.33100000000000002</v>
      </c>
      <c r="AV44" s="230">
        <v>2493900</v>
      </c>
      <c r="AW44" s="230">
        <v>4799950</v>
      </c>
      <c r="AX44" s="230">
        <v>-2306050</v>
      </c>
      <c r="AY44" s="229">
        <v>-0.48039999999999999</v>
      </c>
      <c r="AZ44" s="230">
        <v>4286550</v>
      </c>
      <c r="BA44" s="230">
        <v>5344800</v>
      </c>
      <c r="BB44" s="230">
        <v>-1058250</v>
      </c>
      <c r="BC44" s="229">
        <v>-0.19800000000000001</v>
      </c>
      <c r="BD44" s="230">
        <v>40800</v>
      </c>
      <c r="BE44" s="230">
        <v>51850</v>
      </c>
      <c r="BF44" s="230">
        <v>-11050</v>
      </c>
      <c r="BG44" s="229">
        <v>-0.21310000000000001</v>
      </c>
      <c r="BH44" s="230">
        <v>9388250</v>
      </c>
      <c r="BI44" s="230">
        <v>11163900</v>
      </c>
      <c r="BJ44" s="230">
        <v>-1775650</v>
      </c>
      <c r="BK44" s="229">
        <v>-0.15909999999999999</v>
      </c>
      <c r="BL44" s="230">
        <v>2306900</v>
      </c>
      <c r="BM44" s="230">
        <v>4603600</v>
      </c>
      <c r="BN44" s="230">
        <v>-2296700</v>
      </c>
      <c r="BO44" s="229">
        <v>-0.49890000000000001</v>
      </c>
      <c r="BP44" s="230">
        <v>18516400</v>
      </c>
      <c r="BQ44" s="230">
        <v>25964100</v>
      </c>
      <c r="BR44" s="230">
        <v>-7447700</v>
      </c>
      <c r="BS44" s="229">
        <v>-0.2868</v>
      </c>
      <c r="BT44" s="230">
        <v>3013247</v>
      </c>
      <c r="BU44" s="230">
        <v>2438481</v>
      </c>
      <c r="BV44" s="230">
        <v>574766</v>
      </c>
      <c r="BW44" s="229">
        <v>0.23569999999999999</v>
      </c>
      <c r="BX44" s="230">
        <v>19907000</v>
      </c>
      <c r="BY44" s="230">
        <v>21313750</v>
      </c>
      <c r="BZ44" s="230">
        <v>-1406750</v>
      </c>
      <c r="CA44" s="229">
        <v>-6.6000000000000003E-2</v>
      </c>
      <c r="CB44" s="230">
        <v>981750</v>
      </c>
      <c r="CC44" s="230">
        <v>2300950</v>
      </c>
      <c r="CD44" s="230">
        <v>-1319200</v>
      </c>
      <c r="CE44" s="229">
        <v>-0.57330000000000003</v>
      </c>
      <c r="CF44" s="230">
        <v>17566950</v>
      </c>
      <c r="CG44" s="230">
        <v>16677000</v>
      </c>
      <c r="CH44" s="230">
        <v>889950</v>
      </c>
      <c r="CI44" s="229">
        <v>5.3400000000000003E-2</v>
      </c>
      <c r="CJ44" s="230">
        <v>2340050</v>
      </c>
      <c r="CK44" s="230">
        <v>2335800</v>
      </c>
      <c r="CL44" s="230">
        <v>4250</v>
      </c>
      <c r="CM44" s="229">
        <v>1.8E-3</v>
      </c>
      <c r="CN44" s="230">
        <v>2674950</v>
      </c>
      <c r="CO44" s="230">
        <v>6095350</v>
      </c>
      <c r="CP44" s="230">
        <v>-3420400</v>
      </c>
      <c r="CQ44" s="229">
        <v>-0.56110000000000004</v>
      </c>
      <c r="CR44" s="230">
        <v>1726350</v>
      </c>
      <c r="CS44" s="230">
        <v>5270000</v>
      </c>
      <c r="CT44" s="230">
        <v>-3543650</v>
      </c>
      <c r="CU44" s="229">
        <v>-0.6724</v>
      </c>
      <c r="CV44" s="230">
        <v>24308300</v>
      </c>
      <c r="CW44" s="230">
        <v>32679100</v>
      </c>
      <c r="CX44" s="230">
        <v>-8370800</v>
      </c>
      <c r="CY44" s="229">
        <v>-0.25619999999999998</v>
      </c>
      <c r="CZ44" s="228">
        <v>31.6</v>
      </c>
      <c r="DA44" s="228">
        <v>32</v>
      </c>
      <c r="DB44" s="228">
        <v>-0.4</v>
      </c>
      <c r="DC44" s="228">
        <v>-0.4</v>
      </c>
      <c r="DD44" s="228">
        <v>41.83</v>
      </c>
      <c r="DE44" s="228">
        <v>41.9</v>
      </c>
      <c r="DF44" s="228">
        <v>-10.23</v>
      </c>
      <c r="DG44" s="228">
        <v>-7.0000000000000007E-2</v>
      </c>
      <c r="DH44" s="228">
        <v>31.52</v>
      </c>
      <c r="DI44" s="228">
        <v>31.89</v>
      </c>
      <c r="DJ44" s="228">
        <v>-0.37</v>
      </c>
      <c r="DK44" s="228">
        <v>-0.37</v>
      </c>
      <c r="DL44" s="228">
        <v>31.89</v>
      </c>
      <c r="DM44" s="228">
        <v>32.19</v>
      </c>
      <c r="DN44" s="228">
        <v>-0.3</v>
      </c>
      <c r="DO44" s="228">
        <v>-0.3</v>
      </c>
      <c r="DP44" s="228">
        <v>0.65</v>
      </c>
      <c r="DQ44" s="228">
        <v>0.86</v>
      </c>
      <c r="DR44" s="228">
        <v>-0.21</v>
      </c>
      <c r="DS44" s="229">
        <v>-0.2442</v>
      </c>
      <c r="DT44" s="228">
        <v>900</v>
      </c>
      <c r="DU44" s="228">
        <v>800</v>
      </c>
      <c r="DV44" s="228">
        <v>0.25</v>
      </c>
      <c r="DW44" s="228">
        <v>0.41</v>
      </c>
      <c r="DX44" s="228">
        <v>-0.16</v>
      </c>
      <c r="DY44" s="229">
        <v>-0.39019999999999999</v>
      </c>
      <c r="DZ44" s="229">
        <v>0.95299999999999996</v>
      </c>
      <c r="EA44" s="230">
        <v>19012800</v>
      </c>
      <c r="EB44" s="229">
        <v>5.8999999999999999E-3</v>
      </c>
      <c r="EC44" s="229">
        <v>0.95299999999999996</v>
      </c>
      <c r="ED44" s="228">
        <v>7.8</v>
      </c>
      <c r="EE44" s="229">
        <v>8.8999999999999999E-3</v>
      </c>
      <c r="EF44" s="230">
        <v>1345604</v>
      </c>
      <c r="EG44" s="230">
        <v>933324</v>
      </c>
      <c r="EH44" s="229">
        <v>0.44169999999999998</v>
      </c>
      <c r="EI44" s="229">
        <v>0.4466</v>
      </c>
      <c r="EJ44" s="231">
        <v>85386.96</v>
      </c>
      <c r="EK44" s="231">
        <v>19778.650000000001</v>
      </c>
      <c r="EL44" s="231">
        <v>60082.080000000002</v>
      </c>
      <c r="EM44" s="231">
        <v>11332</v>
      </c>
      <c r="EN44" s="231">
        <v>165247.69</v>
      </c>
      <c r="EO44" s="231">
        <v>229208.86</v>
      </c>
      <c r="EP44" s="231">
        <v>-63961.17</v>
      </c>
      <c r="EQ44" s="229">
        <v>-0.27910000000000001</v>
      </c>
      <c r="ER44" s="231">
        <v>23774</v>
      </c>
      <c r="ES44" s="231">
        <v>14370</v>
      </c>
      <c r="ET44" s="231">
        <v>176158</v>
      </c>
      <c r="EU44" s="231">
        <v>103080397</v>
      </c>
      <c r="EV44" s="231">
        <v>214302</v>
      </c>
      <c r="EW44" s="231">
        <v>282589</v>
      </c>
      <c r="EX44" s="231">
        <v>-68287</v>
      </c>
      <c r="EY44" s="229">
        <v>-0.24160000000000001</v>
      </c>
      <c r="EZ44" s="229">
        <v>0.23580000000000001</v>
      </c>
      <c r="FA44" s="227" t="s">
        <v>691</v>
      </c>
      <c r="FB44" s="161">
        <f t="shared" si="0"/>
        <v>18925250</v>
      </c>
    </row>
    <row r="45" spans="1:158" ht="17.25" thickBot="1" x14ac:dyDescent="0.3">
      <c r="A45" s="226">
        <v>46168</v>
      </c>
      <c r="B45" s="227" t="s">
        <v>175</v>
      </c>
      <c r="C45" s="227" t="s">
        <v>198</v>
      </c>
      <c r="D45" s="228">
        <v>625</v>
      </c>
      <c r="E45" s="231">
        <v>1579.8</v>
      </c>
      <c r="F45" s="231">
        <v>1599.4</v>
      </c>
      <c r="G45" s="228">
        <v>-19.600000000000001</v>
      </c>
      <c r="H45" s="229">
        <v>-1.23E-2</v>
      </c>
      <c r="I45" s="231">
        <v>1567.3</v>
      </c>
      <c r="J45" s="231">
        <v>1591</v>
      </c>
      <c r="K45" s="228">
        <v>-23.7</v>
      </c>
      <c r="L45" s="229">
        <v>-1.49E-2</v>
      </c>
      <c r="M45" s="231">
        <v>1567.5</v>
      </c>
      <c r="N45" s="231">
        <v>1587.5</v>
      </c>
      <c r="O45" s="228">
        <v>-20</v>
      </c>
      <c r="P45" s="229">
        <v>-1.26E-2</v>
      </c>
      <c r="Q45" s="231">
        <v>1579.8</v>
      </c>
      <c r="R45" s="231">
        <v>1599.4</v>
      </c>
      <c r="S45" s="228">
        <v>-19.600000000000001</v>
      </c>
      <c r="T45" s="229">
        <v>-1.23E-2</v>
      </c>
      <c r="U45" s="231">
        <v>1587.6</v>
      </c>
      <c r="V45" s="231">
        <v>1609.5</v>
      </c>
      <c r="W45" s="228">
        <v>-21.9</v>
      </c>
      <c r="X45" s="229">
        <v>-1.3599999999999999E-2</v>
      </c>
      <c r="Y45" s="228">
        <v>12.5</v>
      </c>
      <c r="Z45" s="228">
        <v>-3.5</v>
      </c>
      <c r="AA45" s="228">
        <v>16</v>
      </c>
      <c r="AB45" s="229">
        <v>8.0000000000000002E-3</v>
      </c>
      <c r="AC45" s="228">
        <v>0.2</v>
      </c>
      <c r="AD45" s="228">
        <v>-3.5</v>
      </c>
      <c r="AE45" s="228">
        <v>3.7</v>
      </c>
      <c r="AF45" s="229">
        <v>1E-4</v>
      </c>
      <c r="AG45" s="228">
        <v>12.5</v>
      </c>
      <c r="AH45" s="228">
        <v>8.4</v>
      </c>
      <c r="AI45" s="228">
        <v>4.0999999999999996</v>
      </c>
      <c r="AJ45" s="229">
        <v>8.0000000000000002E-3</v>
      </c>
      <c r="AK45" s="228">
        <v>20.3</v>
      </c>
      <c r="AL45" s="228">
        <v>18.5</v>
      </c>
      <c r="AM45" s="228">
        <v>1.8</v>
      </c>
      <c r="AN45" s="229">
        <v>1.2999999999999999E-2</v>
      </c>
      <c r="AO45" s="231">
        <v>1574.34</v>
      </c>
      <c r="AP45" s="231">
        <v>1586.62</v>
      </c>
      <c r="AQ45" s="228">
        <v>0</v>
      </c>
      <c r="AR45" s="230">
        <v>3543125</v>
      </c>
      <c r="AS45" s="230">
        <v>11630000</v>
      </c>
      <c r="AT45" s="230">
        <v>-8086875</v>
      </c>
      <c r="AU45" s="229">
        <v>-0.69530000000000003</v>
      </c>
      <c r="AV45" s="230">
        <v>1369375</v>
      </c>
      <c r="AW45" s="230">
        <v>5041875</v>
      </c>
      <c r="AX45" s="230">
        <v>-3672500</v>
      </c>
      <c r="AY45" s="229">
        <v>-0.72840000000000005</v>
      </c>
      <c r="AZ45" s="230">
        <v>2148125</v>
      </c>
      <c r="BA45" s="230">
        <v>6473750</v>
      </c>
      <c r="BB45" s="230">
        <v>-4325625</v>
      </c>
      <c r="BC45" s="229">
        <v>-0.66820000000000002</v>
      </c>
      <c r="BD45" s="230">
        <v>25625</v>
      </c>
      <c r="BE45" s="230">
        <v>114375</v>
      </c>
      <c r="BF45" s="230">
        <v>-88750</v>
      </c>
      <c r="BG45" s="229">
        <v>-0.77600000000000002</v>
      </c>
      <c r="BH45" s="230">
        <v>2918125</v>
      </c>
      <c r="BI45" s="230">
        <v>10390000</v>
      </c>
      <c r="BJ45" s="230">
        <v>-7471875</v>
      </c>
      <c r="BK45" s="229">
        <v>-0.71909999999999996</v>
      </c>
      <c r="BL45" s="230">
        <v>3769375</v>
      </c>
      <c r="BM45" s="230">
        <v>5142500</v>
      </c>
      <c r="BN45" s="230">
        <v>-1373125</v>
      </c>
      <c r="BO45" s="229">
        <v>-0.26700000000000002</v>
      </c>
      <c r="BP45" s="230">
        <v>10230625</v>
      </c>
      <c r="BQ45" s="230">
        <v>27162500</v>
      </c>
      <c r="BR45" s="230">
        <v>-16931875</v>
      </c>
      <c r="BS45" s="229">
        <v>-0.62339999999999995</v>
      </c>
      <c r="BT45" s="230">
        <v>887577</v>
      </c>
      <c r="BU45" s="230">
        <v>1726173</v>
      </c>
      <c r="BV45" s="230">
        <v>-838596</v>
      </c>
      <c r="BW45" s="229">
        <v>-0.48580000000000001</v>
      </c>
      <c r="BX45" s="230">
        <v>17470625</v>
      </c>
      <c r="BY45" s="230">
        <v>18722500</v>
      </c>
      <c r="BZ45" s="230">
        <v>-1251875</v>
      </c>
      <c r="CA45" s="229">
        <v>-6.6900000000000001E-2</v>
      </c>
      <c r="CB45" s="230">
        <v>1176875</v>
      </c>
      <c r="CC45" s="230">
        <v>2056250</v>
      </c>
      <c r="CD45" s="230">
        <v>-879375</v>
      </c>
      <c r="CE45" s="229">
        <v>-0.42770000000000002</v>
      </c>
      <c r="CF45" s="230">
        <v>15140625</v>
      </c>
      <c r="CG45" s="230">
        <v>14349375</v>
      </c>
      <c r="CH45" s="230">
        <v>791250</v>
      </c>
      <c r="CI45" s="229">
        <v>5.5100000000000003E-2</v>
      </c>
      <c r="CJ45" s="230">
        <v>2330000</v>
      </c>
      <c r="CK45" s="230">
        <v>2316875</v>
      </c>
      <c r="CL45" s="230">
        <v>13125</v>
      </c>
      <c r="CM45" s="229">
        <v>5.7000000000000002E-3</v>
      </c>
      <c r="CN45" s="230">
        <v>1352500</v>
      </c>
      <c r="CO45" s="230">
        <v>3628750</v>
      </c>
      <c r="CP45" s="230">
        <v>-2276250</v>
      </c>
      <c r="CQ45" s="229">
        <v>-0.62729999999999997</v>
      </c>
      <c r="CR45" s="230">
        <v>996875</v>
      </c>
      <c r="CS45" s="230">
        <v>2610000</v>
      </c>
      <c r="CT45" s="230">
        <v>-1613125</v>
      </c>
      <c r="CU45" s="229">
        <v>-0.61809999999999998</v>
      </c>
      <c r="CV45" s="230">
        <v>19820000</v>
      </c>
      <c r="CW45" s="230">
        <v>24961250</v>
      </c>
      <c r="CX45" s="230">
        <v>-5141250</v>
      </c>
      <c r="CY45" s="229">
        <v>-0.20599999999999999</v>
      </c>
      <c r="CZ45" s="228">
        <v>29.37</v>
      </c>
      <c r="DA45" s="228">
        <v>30.59</v>
      </c>
      <c r="DB45" s="228">
        <v>-1.22</v>
      </c>
      <c r="DC45" s="228">
        <v>-1.22</v>
      </c>
      <c r="DD45" s="228">
        <v>40.619999999999997</v>
      </c>
      <c r="DE45" s="228">
        <v>40.67</v>
      </c>
      <c r="DF45" s="228">
        <v>-11.25</v>
      </c>
      <c r="DG45" s="228">
        <v>-0.05</v>
      </c>
      <c r="DH45" s="228">
        <v>29.35</v>
      </c>
      <c r="DI45" s="228">
        <v>30.71</v>
      </c>
      <c r="DJ45" s="228">
        <v>-1.36</v>
      </c>
      <c r="DK45" s="228">
        <v>-1.36</v>
      </c>
      <c r="DL45" s="228">
        <v>29.4</v>
      </c>
      <c r="DM45" s="228">
        <v>30.4</v>
      </c>
      <c r="DN45" s="228">
        <v>-1</v>
      </c>
      <c r="DO45" s="228">
        <v>-1</v>
      </c>
      <c r="DP45" s="228">
        <v>0.74</v>
      </c>
      <c r="DQ45" s="228">
        <v>0.72</v>
      </c>
      <c r="DR45" s="228">
        <v>0.02</v>
      </c>
      <c r="DS45" s="229">
        <v>2.7799999999999998E-2</v>
      </c>
      <c r="DT45" s="231">
        <v>1600</v>
      </c>
      <c r="DU45" s="231">
        <v>1520</v>
      </c>
      <c r="DV45" s="228">
        <v>1.29</v>
      </c>
      <c r="DW45" s="228">
        <v>0.49</v>
      </c>
      <c r="DX45" s="228">
        <v>0.8</v>
      </c>
      <c r="DY45" s="229">
        <v>1.6327</v>
      </c>
      <c r="DZ45" s="229">
        <v>0.93689999999999996</v>
      </c>
      <c r="EA45" s="230">
        <v>16666250</v>
      </c>
      <c r="EB45" s="229">
        <v>7.7999999999999996E-3</v>
      </c>
      <c r="EC45" s="229">
        <v>0.93689999999999996</v>
      </c>
      <c r="ED45" s="228">
        <v>12.28</v>
      </c>
      <c r="EE45" s="229">
        <v>7.7999999999999996E-3</v>
      </c>
      <c r="EF45" s="230">
        <v>429879</v>
      </c>
      <c r="EG45" s="230">
        <v>881963</v>
      </c>
      <c r="EH45" s="229">
        <v>-0.51259999999999994</v>
      </c>
      <c r="EI45" s="229">
        <v>0.48430000000000001</v>
      </c>
      <c r="EJ45" s="231">
        <v>48046.28</v>
      </c>
      <c r="EK45" s="231">
        <v>58534.64</v>
      </c>
      <c r="EL45" s="231">
        <v>56050.11</v>
      </c>
      <c r="EM45" s="231">
        <v>13710</v>
      </c>
      <c r="EN45" s="231">
        <v>162631.03</v>
      </c>
      <c r="EO45" s="231">
        <v>433729.03</v>
      </c>
      <c r="EP45" s="231">
        <v>-271098</v>
      </c>
      <c r="EQ45" s="229">
        <v>-0.625</v>
      </c>
      <c r="ER45" s="231">
        <v>22050</v>
      </c>
      <c r="ES45" s="231">
        <v>15112</v>
      </c>
      <c r="ET45" s="231">
        <v>276183</v>
      </c>
      <c r="EU45" s="231">
        <v>63646863</v>
      </c>
      <c r="EV45" s="231">
        <v>313345</v>
      </c>
      <c r="EW45" s="231">
        <v>397742</v>
      </c>
      <c r="EX45" s="231">
        <v>-84397</v>
      </c>
      <c r="EY45" s="229">
        <v>-0.2122</v>
      </c>
      <c r="EZ45" s="229">
        <v>0.31140000000000001</v>
      </c>
      <c r="FA45" s="227" t="s">
        <v>567</v>
      </c>
      <c r="FB45" s="161">
        <f t="shared" si="0"/>
        <v>16293750</v>
      </c>
    </row>
    <row r="46" spans="1:158" ht="17.25" thickBot="1" x14ac:dyDescent="0.3">
      <c r="A46" s="226">
        <v>46168</v>
      </c>
      <c r="B46" s="227" t="s">
        <v>170</v>
      </c>
      <c r="C46" s="227" t="s">
        <v>199</v>
      </c>
      <c r="D46" s="228">
        <v>375</v>
      </c>
      <c r="E46" s="231">
        <v>1417</v>
      </c>
      <c r="F46" s="231">
        <v>1411.9</v>
      </c>
      <c r="G46" s="228">
        <v>5.0999999999999996</v>
      </c>
      <c r="H46" s="229">
        <v>3.5999999999999999E-3</v>
      </c>
      <c r="I46" s="231">
        <v>1417.5</v>
      </c>
      <c r="J46" s="231">
        <v>1413.9</v>
      </c>
      <c r="K46" s="228">
        <v>3.6</v>
      </c>
      <c r="L46" s="229">
        <v>2.5000000000000001E-3</v>
      </c>
      <c r="M46" s="231">
        <v>1419.6</v>
      </c>
      <c r="N46" s="231">
        <v>1412.6</v>
      </c>
      <c r="O46" s="228">
        <v>7</v>
      </c>
      <c r="P46" s="229">
        <v>5.0000000000000001E-3</v>
      </c>
      <c r="Q46" s="231">
        <v>1417</v>
      </c>
      <c r="R46" s="231">
        <v>1411.9</v>
      </c>
      <c r="S46" s="228">
        <v>5.0999999999999996</v>
      </c>
      <c r="T46" s="229">
        <v>3.5999999999999999E-3</v>
      </c>
      <c r="U46" s="231">
        <v>1423</v>
      </c>
      <c r="V46" s="231">
        <v>1420.9</v>
      </c>
      <c r="W46" s="228">
        <v>2.1</v>
      </c>
      <c r="X46" s="229">
        <v>1.5E-3</v>
      </c>
      <c r="Y46" s="228">
        <v>-0.5</v>
      </c>
      <c r="Z46" s="228">
        <v>-1.3</v>
      </c>
      <c r="AA46" s="228">
        <v>0.8</v>
      </c>
      <c r="AB46" s="229">
        <v>-4.0000000000000002E-4</v>
      </c>
      <c r="AC46" s="228">
        <v>2.1</v>
      </c>
      <c r="AD46" s="228">
        <v>-1.3</v>
      </c>
      <c r="AE46" s="228">
        <v>3.4</v>
      </c>
      <c r="AF46" s="229">
        <v>1.5E-3</v>
      </c>
      <c r="AG46" s="228">
        <v>-0.5</v>
      </c>
      <c r="AH46" s="228">
        <v>-2</v>
      </c>
      <c r="AI46" s="228">
        <v>1.5</v>
      </c>
      <c r="AJ46" s="229">
        <v>-4.0000000000000002E-4</v>
      </c>
      <c r="AK46" s="228">
        <v>5.5</v>
      </c>
      <c r="AL46" s="228">
        <v>7</v>
      </c>
      <c r="AM46" s="228">
        <v>-1.5</v>
      </c>
      <c r="AN46" s="229">
        <v>3.8999999999999998E-3</v>
      </c>
      <c r="AO46" s="231">
        <v>1415.77</v>
      </c>
      <c r="AP46" s="231">
        <v>1414.64</v>
      </c>
      <c r="AQ46" s="228">
        <v>0</v>
      </c>
      <c r="AR46" s="230">
        <v>3591375</v>
      </c>
      <c r="AS46" s="230">
        <v>7600125</v>
      </c>
      <c r="AT46" s="230">
        <v>-4008750</v>
      </c>
      <c r="AU46" s="229">
        <v>-0.52749999999999997</v>
      </c>
      <c r="AV46" s="230">
        <v>1801125</v>
      </c>
      <c r="AW46" s="230">
        <v>3604125</v>
      </c>
      <c r="AX46" s="230">
        <v>-1803000</v>
      </c>
      <c r="AY46" s="229">
        <v>-0.50029999999999997</v>
      </c>
      <c r="AZ46" s="230">
        <v>1776750</v>
      </c>
      <c r="BA46" s="230">
        <v>3979500</v>
      </c>
      <c r="BB46" s="230">
        <v>-2202750</v>
      </c>
      <c r="BC46" s="229">
        <v>-0.55349999999999999</v>
      </c>
      <c r="BD46" s="230">
        <v>13500</v>
      </c>
      <c r="BE46" s="230">
        <v>16500</v>
      </c>
      <c r="BF46" s="230">
        <v>-3000</v>
      </c>
      <c r="BG46" s="229">
        <v>-0.18179999999999999</v>
      </c>
      <c r="BH46" s="230">
        <v>6247875</v>
      </c>
      <c r="BI46" s="230">
        <v>13416375</v>
      </c>
      <c r="BJ46" s="230">
        <v>-7168500</v>
      </c>
      <c r="BK46" s="229">
        <v>-0.5343</v>
      </c>
      <c r="BL46" s="230">
        <v>4416750</v>
      </c>
      <c r="BM46" s="230">
        <v>6798750</v>
      </c>
      <c r="BN46" s="230">
        <v>-2382000</v>
      </c>
      <c r="BO46" s="229">
        <v>-0.35039999999999999</v>
      </c>
      <c r="BP46" s="230">
        <v>14256000</v>
      </c>
      <c r="BQ46" s="230">
        <v>27815250</v>
      </c>
      <c r="BR46" s="230">
        <v>-13559250</v>
      </c>
      <c r="BS46" s="229">
        <v>-0.48749999999999999</v>
      </c>
      <c r="BT46" s="230">
        <v>1398842</v>
      </c>
      <c r="BU46" s="230">
        <v>695262</v>
      </c>
      <c r="BV46" s="230">
        <v>703580</v>
      </c>
      <c r="BW46" s="229">
        <v>1.012</v>
      </c>
      <c r="BX46" s="230">
        <v>14782050</v>
      </c>
      <c r="BY46" s="230">
        <v>16247250</v>
      </c>
      <c r="BZ46" s="230">
        <v>-1465200</v>
      </c>
      <c r="CA46" s="229">
        <v>-9.0200000000000002E-2</v>
      </c>
      <c r="CB46" s="230">
        <v>1837125</v>
      </c>
      <c r="CC46" s="230">
        <v>2278500</v>
      </c>
      <c r="CD46" s="230">
        <v>-441375</v>
      </c>
      <c r="CE46" s="229">
        <v>-0.19370000000000001</v>
      </c>
      <c r="CF46" s="230">
        <v>13122000</v>
      </c>
      <c r="CG46" s="230">
        <v>12311250</v>
      </c>
      <c r="CH46" s="230">
        <v>810750</v>
      </c>
      <c r="CI46" s="229">
        <v>6.59E-2</v>
      </c>
      <c r="CJ46" s="230">
        <v>1660050</v>
      </c>
      <c r="CK46" s="230">
        <v>1657500</v>
      </c>
      <c r="CL46" s="230">
        <v>2550</v>
      </c>
      <c r="CM46" s="229">
        <v>1.5E-3</v>
      </c>
      <c r="CN46" s="230">
        <v>1738050</v>
      </c>
      <c r="CO46" s="230">
        <v>8258175</v>
      </c>
      <c r="CP46" s="230">
        <v>-6520125</v>
      </c>
      <c r="CQ46" s="229">
        <v>-0.78949999999999998</v>
      </c>
      <c r="CR46" s="230">
        <v>1439250</v>
      </c>
      <c r="CS46" s="230">
        <v>7561125</v>
      </c>
      <c r="CT46" s="230">
        <v>-6121875</v>
      </c>
      <c r="CU46" s="229">
        <v>-0.80969999999999998</v>
      </c>
      <c r="CV46" s="230">
        <v>17959350</v>
      </c>
      <c r="CW46" s="230">
        <v>32066550</v>
      </c>
      <c r="CX46" s="230">
        <v>-14107200</v>
      </c>
      <c r="CY46" s="229">
        <v>-0.43990000000000001</v>
      </c>
      <c r="CZ46" s="228">
        <v>20.82</v>
      </c>
      <c r="DA46" s="228">
        <v>22.13</v>
      </c>
      <c r="DB46" s="228">
        <v>-1.31</v>
      </c>
      <c r="DC46" s="228">
        <v>-1.31</v>
      </c>
      <c r="DD46" s="228">
        <v>27.78</v>
      </c>
      <c r="DE46" s="228">
        <v>27.85</v>
      </c>
      <c r="DF46" s="228">
        <v>-6.96</v>
      </c>
      <c r="DG46" s="228">
        <v>-7.0000000000000007E-2</v>
      </c>
      <c r="DH46" s="228">
        <v>20.079999999999998</v>
      </c>
      <c r="DI46" s="228">
        <v>21.99</v>
      </c>
      <c r="DJ46" s="228">
        <v>-1.91</v>
      </c>
      <c r="DK46" s="228">
        <v>-1.91</v>
      </c>
      <c r="DL46" s="228">
        <v>21.97</v>
      </c>
      <c r="DM46" s="228">
        <v>22.35</v>
      </c>
      <c r="DN46" s="228">
        <v>-0.38</v>
      </c>
      <c r="DO46" s="228">
        <v>-0.38</v>
      </c>
      <c r="DP46" s="228">
        <v>0.83</v>
      </c>
      <c r="DQ46" s="228">
        <v>0.92</v>
      </c>
      <c r="DR46" s="228">
        <v>-0.09</v>
      </c>
      <c r="DS46" s="229">
        <v>-9.7799999999999998E-2</v>
      </c>
      <c r="DT46" s="231">
        <v>1420</v>
      </c>
      <c r="DU46" s="231">
        <v>1300</v>
      </c>
      <c r="DV46" s="228">
        <v>0.71</v>
      </c>
      <c r="DW46" s="228">
        <v>0.51</v>
      </c>
      <c r="DX46" s="228">
        <v>0.2</v>
      </c>
      <c r="DY46" s="229">
        <v>0.39219999999999999</v>
      </c>
      <c r="DZ46" s="229">
        <v>0.88949999999999996</v>
      </c>
      <c r="EA46" s="230">
        <v>13968750</v>
      </c>
      <c r="EB46" s="229">
        <v>-1.8E-3</v>
      </c>
      <c r="EC46" s="229">
        <v>0.88949999999999996</v>
      </c>
      <c r="ED46" s="228">
        <v>-1.1299999999999999</v>
      </c>
      <c r="EE46" s="229">
        <v>-8.0000000000000004E-4</v>
      </c>
      <c r="EF46" s="230">
        <v>946298</v>
      </c>
      <c r="EG46" s="230">
        <v>359658</v>
      </c>
      <c r="EH46" s="229">
        <v>1.6311</v>
      </c>
      <c r="EI46" s="229">
        <v>0.67649999999999999</v>
      </c>
      <c r="EJ46" s="231">
        <v>90400.52</v>
      </c>
      <c r="EK46" s="231">
        <v>61231.21</v>
      </c>
      <c r="EL46" s="231">
        <v>50851.94</v>
      </c>
      <c r="EM46" s="231">
        <v>17312</v>
      </c>
      <c r="EN46" s="231">
        <v>202483.67</v>
      </c>
      <c r="EO46" s="231">
        <v>393050.8</v>
      </c>
      <c r="EP46" s="231">
        <v>-190567.13</v>
      </c>
      <c r="EQ46" s="229">
        <v>-0.48480000000000001</v>
      </c>
      <c r="ER46" s="231">
        <v>25018</v>
      </c>
      <c r="ES46" s="231">
        <v>19550</v>
      </c>
      <c r="ET46" s="231">
        <v>209561</v>
      </c>
      <c r="EU46" s="231">
        <v>76385219</v>
      </c>
      <c r="EV46" s="231">
        <v>254129</v>
      </c>
      <c r="EW46" s="231">
        <v>447111</v>
      </c>
      <c r="EX46" s="231">
        <v>-192982</v>
      </c>
      <c r="EY46" s="229">
        <v>-0.43159999999999998</v>
      </c>
      <c r="EZ46" s="229">
        <v>0.2351</v>
      </c>
      <c r="FA46" s="227" t="s">
        <v>691</v>
      </c>
      <c r="FB46" s="161">
        <f t="shared" si="0"/>
        <v>12944925</v>
      </c>
    </row>
    <row r="47" spans="1:158" ht="17.25" thickBot="1" x14ac:dyDescent="0.3">
      <c r="A47" s="226">
        <v>46168</v>
      </c>
      <c r="B47" s="227" t="s">
        <v>227</v>
      </c>
      <c r="C47" s="227" t="s">
        <v>200</v>
      </c>
      <c r="D47" s="228">
        <v>1350</v>
      </c>
      <c r="E47" s="228">
        <v>456.55</v>
      </c>
      <c r="F47" s="228">
        <v>460.1</v>
      </c>
      <c r="G47" s="228">
        <v>-3.55</v>
      </c>
      <c r="H47" s="229">
        <v>-7.7000000000000002E-3</v>
      </c>
      <c r="I47" s="228">
        <v>458.15</v>
      </c>
      <c r="J47" s="228">
        <v>458</v>
      </c>
      <c r="K47" s="228">
        <v>0.15</v>
      </c>
      <c r="L47" s="229">
        <v>2.9999999999999997E-4</v>
      </c>
      <c r="M47" s="228">
        <v>458.75</v>
      </c>
      <c r="N47" s="228">
        <v>460.1</v>
      </c>
      <c r="O47" s="228">
        <v>-1.35</v>
      </c>
      <c r="P47" s="229">
        <v>-2.8999999999999998E-3</v>
      </c>
      <c r="Q47" s="228">
        <v>456.55</v>
      </c>
      <c r="R47" s="228">
        <v>460.1</v>
      </c>
      <c r="S47" s="228">
        <v>-3.55</v>
      </c>
      <c r="T47" s="229">
        <v>-7.7000000000000002E-3</v>
      </c>
      <c r="U47" s="228">
        <v>457</v>
      </c>
      <c r="V47" s="228">
        <v>460.65</v>
      </c>
      <c r="W47" s="228">
        <v>-3.65</v>
      </c>
      <c r="X47" s="229">
        <v>-7.9000000000000008E-3</v>
      </c>
      <c r="Y47" s="228">
        <v>-1.6</v>
      </c>
      <c r="Z47" s="228">
        <v>2.1</v>
      </c>
      <c r="AA47" s="228">
        <v>-3.7</v>
      </c>
      <c r="AB47" s="229">
        <v>-3.5000000000000001E-3</v>
      </c>
      <c r="AC47" s="228">
        <v>0.6</v>
      </c>
      <c r="AD47" s="228">
        <v>2.1</v>
      </c>
      <c r="AE47" s="228">
        <v>-1.5</v>
      </c>
      <c r="AF47" s="229">
        <v>1.2999999999999999E-3</v>
      </c>
      <c r="AG47" s="228">
        <v>-1.6</v>
      </c>
      <c r="AH47" s="228">
        <v>2.1</v>
      </c>
      <c r="AI47" s="228">
        <v>-3.7</v>
      </c>
      <c r="AJ47" s="229">
        <v>-3.5000000000000001E-3</v>
      </c>
      <c r="AK47" s="228">
        <v>-1.1499999999999999</v>
      </c>
      <c r="AL47" s="228">
        <v>2.65</v>
      </c>
      <c r="AM47" s="228">
        <v>-3.8</v>
      </c>
      <c r="AN47" s="229">
        <v>-2.5000000000000001E-3</v>
      </c>
      <c r="AO47" s="228">
        <v>466.64</v>
      </c>
      <c r="AP47" s="228">
        <v>466.13</v>
      </c>
      <c r="AQ47" s="228">
        <v>0</v>
      </c>
      <c r="AR47" s="230">
        <v>44535150</v>
      </c>
      <c r="AS47" s="230">
        <v>36910350</v>
      </c>
      <c r="AT47" s="230">
        <v>7624800</v>
      </c>
      <c r="AU47" s="229">
        <v>0.20660000000000001</v>
      </c>
      <c r="AV47" s="230">
        <v>12193200</v>
      </c>
      <c r="AW47" s="230">
        <v>17770050</v>
      </c>
      <c r="AX47" s="230">
        <v>-5576850</v>
      </c>
      <c r="AY47" s="229">
        <v>-0.31380000000000002</v>
      </c>
      <c r="AZ47" s="230">
        <v>31577850</v>
      </c>
      <c r="BA47" s="230">
        <v>18945900</v>
      </c>
      <c r="BB47" s="230">
        <v>12631950</v>
      </c>
      <c r="BC47" s="229">
        <v>0.66669999999999996</v>
      </c>
      <c r="BD47" s="230">
        <v>764100</v>
      </c>
      <c r="BE47" s="230">
        <v>194400</v>
      </c>
      <c r="BF47" s="230">
        <v>569700</v>
      </c>
      <c r="BG47" s="229">
        <v>2.9306000000000001</v>
      </c>
      <c r="BH47" s="230">
        <v>99900000</v>
      </c>
      <c r="BI47" s="230">
        <v>31710150</v>
      </c>
      <c r="BJ47" s="230">
        <v>68189850</v>
      </c>
      <c r="BK47" s="229">
        <v>2.1503999999999999</v>
      </c>
      <c r="BL47" s="230">
        <v>65273850</v>
      </c>
      <c r="BM47" s="230">
        <v>27924750</v>
      </c>
      <c r="BN47" s="230">
        <v>37349100</v>
      </c>
      <c r="BO47" s="229">
        <v>1.3374999999999999</v>
      </c>
      <c r="BP47" s="230">
        <v>209709000</v>
      </c>
      <c r="BQ47" s="230">
        <v>96545250</v>
      </c>
      <c r="BR47" s="230">
        <v>113163750</v>
      </c>
      <c r="BS47" s="229">
        <v>1.1720999999999999</v>
      </c>
      <c r="BT47" s="230">
        <v>18168918</v>
      </c>
      <c r="BU47" s="230">
        <v>8650635</v>
      </c>
      <c r="BV47" s="230">
        <v>9518283</v>
      </c>
      <c r="BW47" s="229">
        <v>1.1003000000000001</v>
      </c>
      <c r="BX47" s="230">
        <v>57056400</v>
      </c>
      <c r="BY47" s="230">
        <v>58098600</v>
      </c>
      <c r="BZ47" s="230">
        <v>-1042200</v>
      </c>
      <c r="CA47" s="229">
        <v>-1.7899999999999999E-2</v>
      </c>
      <c r="CB47" s="230">
        <v>4252500</v>
      </c>
      <c r="CC47" s="230">
        <v>6910650</v>
      </c>
      <c r="CD47" s="230">
        <v>-2658150</v>
      </c>
      <c r="CE47" s="229">
        <v>-0.3846</v>
      </c>
      <c r="CF47" s="230">
        <v>56485350</v>
      </c>
      <c r="CG47" s="230">
        <v>50718150</v>
      </c>
      <c r="CH47" s="230">
        <v>5767200</v>
      </c>
      <c r="CI47" s="229">
        <v>0.1137</v>
      </c>
      <c r="CJ47" s="230">
        <v>571050</v>
      </c>
      <c r="CK47" s="230">
        <v>469800</v>
      </c>
      <c r="CL47" s="230">
        <v>101250</v>
      </c>
      <c r="CM47" s="229">
        <v>0.2155</v>
      </c>
      <c r="CN47" s="230">
        <v>20002950</v>
      </c>
      <c r="CO47" s="230">
        <v>35514450</v>
      </c>
      <c r="CP47" s="230">
        <v>-15511500</v>
      </c>
      <c r="CQ47" s="229">
        <v>-0.43680000000000002</v>
      </c>
      <c r="CR47" s="230">
        <v>18592200</v>
      </c>
      <c r="CS47" s="230">
        <v>20922300</v>
      </c>
      <c r="CT47" s="230">
        <v>-2330100</v>
      </c>
      <c r="CU47" s="229">
        <v>-0.1114</v>
      </c>
      <c r="CV47" s="230">
        <v>95651550</v>
      </c>
      <c r="CW47" s="230">
        <v>114535350</v>
      </c>
      <c r="CX47" s="230">
        <v>-18883800</v>
      </c>
      <c r="CY47" s="229">
        <v>-0.16489999999999999</v>
      </c>
      <c r="CZ47" s="228">
        <v>27.05</v>
      </c>
      <c r="DA47" s="228">
        <v>24.85</v>
      </c>
      <c r="DB47" s="228">
        <v>2.2000000000000002</v>
      </c>
      <c r="DC47" s="228">
        <v>2.2000000000000002</v>
      </c>
      <c r="DD47" s="228">
        <v>30.53</v>
      </c>
      <c r="DE47" s="228">
        <v>30.59</v>
      </c>
      <c r="DF47" s="228">
        <v>-3.48</v>
      </c>
      <c r="DG47" s="228">
        <v>-0.06</v>
      </c>
      <c r="DH47" s="228">
        <v>26.12</v>
      </c>
      <c r="DI47" s="228">
        <v>24.62</v>
      </c>
      <c r="DJ47" s="228">
        <v>1.5</v>
      </c>
      <c r="DK47" s="228">
        <v>1.5</v>
      </c>
      <c r="DL47" s="228">
        <v>28.36</v>
      </c>
      <c r="DM47" s="228">
        <v>25.03</v>
      </c>
      <c r="DN47" s="228">
        <v>3.33</v>
      </c>
      <c r="DO47" s="228">
        <v>3.33</v>
      </c>
      <c r="DP47" s="228">
        <v>0.93</v>
      </c>
      <c r="DQ47" s="228">
        <v>0.59</v>
      </c>
      <c r="DR47" s="228">
        <v>0.34</v>
      </c>
      <c r="DS47" s="229">
        <v>0.57630000000000003</v>
      </c>
      <c r="DT47" s="228">
        <v>460</v>
      </c>
      <c r="DU47" s="228">
        <v>450</v>
      </c>
      <c r="DV47" s="228">
        <v>0.65</v>
      </c>
      <c r="DW47" s="228">
        <v>0.88</v>
      </c>
      <c r="DX47" s="228">
        <v>-0.23</v>
      </c>
      <c r="DY47" s="229">
        <v>-0.26140000000000002</v>
      </c>
      <c r="DZ47" s="229">
        <v>0.93059999999999998</v>
      </c>
      <c r="EA47" s="230">
        <v>51187950</v>
      </c>
      <c r="EB47" s="229">
        <v>-4.7999999999999996E-3</v>
      </c>
      <c r="EC47" s="229">
        <v>0.93059999999999998</v>
      </c>
      <c r="ED47" s="228">
        <v>-0.51</v>
      </c>
      <c r="EE47" s="229">
        <v>-1.1000000000000001E-3</v>
      </c>
      <c r="EF47" s="230">
        <v>5399718</v>
      </c>
      <c r="EG47" s="230">
        <v>5013225</v>
      </c>
      <c r="EH47" s="229">
        <v>7.7100000000000002E-2</v>
      </c>
      <c r="EI47" s="229">
        <v>0.29720000000000002</v>
      </c>
      <c r="EJ47" s="231">
        <v>484067.84000000003</v>
      </c>
      <c r="EK47" s="231">
        <v>303326.65000000002</v>
      </c>
      <c r="EL47" s="231">
        <v>207654.04</v>
      </c>
      <c r="EM47" s="231">
        <v>24788</v>
      </c>
      <c r="EN47" s="231">
        <v>995048.53</v>
      </c>
      <c r="EO47" s="231">
        <v>448790.95</v>
      </c>
      <c r="EP47" s="231">
        <v>546257.57999999996</v>
      </c>
      <c r="EQ47" s="229">
        <v>1.2172000000000001</v>
      </c>
      <c r="ER47" s="231">
        <v>95088</v>
      </c>
      <c r="ES47" s="231">
        <v>84194</v>
      </c>
      <c r="ET47" s="231">
        <v>260494</v>
      </c>
      <c r="EU47" s="231">
        <v>320531323</v>
      </c>
      <c r="EV47" s="231">
        <v>439775</v>
      </c>
      <c r="EW47" s="231">
        <v>533823</v>
      </c>
      <c r="EX47" s="231">
        <v>-94048</v>
      </c>
      <c r="EY47" s="229">
        <v>-0.1762</v>
      </c>
      <c r="EZ47" s="229">
        <v>0.2984</v>
      </c>
      <c r="FA47" s="227" t="s">
        <v>567</v>
      </c>
      <c r="FB47" s="161">
        <f t="shared" si="0"/>
        <v>52803900</v>
      </c>
    </row>
    <row r="48" spans="1:158" ht="17.25" thickBot="1" x14ac:dyDescent="0.3">
      <c r="A48" s="226">
        <v>46168</v>
      </c>
      <c r="B48" s="227" t="s">
        <v>215</v>
      </c>
      <c r="C48" s="227" t="s">
        <v>694</v>
      </c>
      <c r="D48" s="228">
        <v>400</v>
      </c>
      <c r="E48" s="231">
        <v>1535</v>
      </c>
      <c r="F48" s="231">
        <v>1521.7</v>
      </c>
      <c r="G48" s="228">
        <v>13.3</v>
      </c>
      <c r="H48" s="229">
        <v>8.6999999999999994E-3</v>
      </c>
      <c r="I48" s="231">
        <v>1526.2</v>
      </c>
      <c r="J48" s="231">
        <v>1529</v>
      </c>
      <c r="K48" s="228">
        <v>-2.8</v>
      </c>
      <c r="L48" s="229">
        <v>-1.8E-3</v>
      </c>
      <c r="M48" s="231">
        <v>1528.9</v>
      </c>
      <c r="N48" s="231">
        <v>1530.1</v>
      </c>
      <c r="O48" s="228">
        <v>-1.2</v>
      </c>
      <c r="P48" s="229">
        <v>-8.0000000000000004E-4</v>
      </c>
      <c r="Q48" s="231">
        <v>1535</v>
      </c>
      <c r="R48" s="231">
        <v>1521.7</v>
      </c>
      <c r="S48" s="228">
        <v>13.3</v>
      </c>
      <c r="T48" s="229">
        <v>8.6999999999999994E-3</v>
      </c>
      <c r="U48" s="231">
        <v>1536.9</v>
      </c>
      <c r="V48" s="231">
        <v>1526.6</v>
      </c>
      <c r="W48" s="228">
        <v>10.3</v>
      </c>
      <c r="X48" s="229">
        <v>6.7000000000000002E-3</v>
      </c>
      <c r="Y48" s="228">
        <v>8.8000000000000007</v>
      </c>
      <c r="Z48" s="228">
        <v>1.1000000000000001</v>
      </c>
      <c r="AA48" s="228">
        <v>7.7</v>
      </c>
      <c r="AB48" s="229">
        <v>5.7999999999999996E-3</v>
      </c>
      <c r="AC48" s="228">
        <v>2.7</v>
      </c>
      <c r="AD48" s="228">
        <v>1.1000000000000001</v>
      </c>
      <c r="AE48" s="228">
        <v>1.6</v>
      </c>
      <c r="AF48" s="229">
        <v>1.8E-3</v>
      </c>
      <c r="AG48" s="228">
        <v>8.8000000000000007</v>
      </c>
      <c r="AH48" s="228">
        <v>-7.3</v>
      </c>
      <c r="AI48" s="228">
        <v>16.100000000000001</v>
      </c>
      <c r="AJ48" s="229">
        <v>5.7999999999999996E-3</v>
      </c>
      <c r="AK48" s="228">
        <v>10.7</v>
      </c>
      <c r="AL48" s="228">
        <v>-2.4</v>
      </c>
      <c r="AM48" s="228">
        <v>13.1</v>
      </c>
      <c r="AN48" s="229">
        <v>7.0000000000000001E-3</v>
      </c>
      <c r="AO48" s="231">
        <v>1530.21</v>
      </c>
      <c r="AP48" s="231">
        <v>1529.87</v>
      </c>
      <c r="AQ48" s="228">
        <v>0</v>
      </c>
      <c r="AR48" s="230">
        <v>2328800</v>
      </c>
      <c r="AS48" s="230">
        <v>2803200</v>
      </c>
      <c r="AT48" s="230">
        <v>-474400</v>
      </c>
      <c r="AU48" s="229">
        <v>-0.16919999999999999</v>
      </c>
      <c r="AV48" s="230">
        <v>1002400</v>
      </c>
      <c r="AW48" s="230">
        <v>1380400</v>
      </c>
      <c r="AX48" s="230">
        <v>-378000</v>
      </c>
      <c r="AY48" s="229">
        <v>-0.27379999999999999</v>
      </c>
      <c r="AZ48" s="230">
        <v>1164400</v>
      </c>
      <c r="BA48" s="230">
        <v>1409600</v>
      </c>
      <c r="BB48" s="230">
        <v>-245200</v>
      </c>
      <c r="BC48" s="229">
        <v>-0.17399999999999999</v>
      </c>
      <c r="BD48" s="230">
        <v>162000</v>
      </c>
      <c r="BE48" s="230">
        <v>13200</v>
      </c>
      <c r="BF48" s="230">
        <v>148800</v>
      </c>
      <c r="BG48" s="229">
        <v>11.2727</v>
      </c>
      <c r="BH48" s="230">
        <v>1764800</v>
      </c>
      <c r="BI48" s="230">
        <v>1714400</v>
      </c>
      <c r="BJ48" s="230">
        <v>50400</v>
      </c>
      <c r="BK48" s="229">
        <v>2.9399999999999999E-2</v>
      </c>
      <c r="BL48" s="230">
        <v>781600</v>
      </c>
      <c r="BM48" s="230">
        <v>791600</v>
      </c>
      <c r="BN48" s="230">
        <v>-10000</v>
      </c>
      <c r="BO48" s="229">
        <v>-1.26E-2</v>
      </c>
      <c r="BP48" s="230">
        <v>4875200</v>
      </c>
      <c r="BQ48" s="230">
        <v>5309200</v>
      </c>
      <c r="BR48" s="230">
        <v>-434000</v>
      </c>
      <c r="BS48" s="229">
        <v>-8.1699999999999995E-2</v>
      </c>
      <c r="BT48" s="230">
        <v>1069025</v>
      </c>
      <c r="BU48" s="230">
        <v>846338</v>
      </c>
      <c r="BV48" s="230">
        <v>222687</v>
      </c>
      <c r="BW48" s="229">
        <v>0.2631</v>
      </c>
      <c r="BX48" s="230">
        <v>3176000</v>
      </c>
      <c r="BY48" s="230">
        <v>3302400</v>
      </c>
      <c r="BZ48" s="230">
        <v>-126400</v>
      </c>
      <c r="CA48" s="229">
        <v>-3.8300000000000001E-2</v>
      </c>
      <c r="CB48" s="230">
        <v>182000</v>
      </c>
      <c r="CC48" s="230">
        <v>629600</v>
      </c>
      <c r="CD48" s="230">
        <v>-447600</v>
      </c>
      <c r="CE48" s="229">
        <v>-0.71089999999999998</v>
      </c>
      <c r="CF48" s="230">
        <v>3017600</v>
      </c>
      <c r="CG48" s="230">
        <v>2607600</v>
      </c>
      <c r="CH48" s="230">
        <v>410000</v>
      </c>
      <c r="CI48" s="229">
        <v>0.15720000000000001</v>
      </c>
      <c r="CJ48" s="230">
        <v>158400</v>
      </c>
      <c r="CK48" s="230">
        <v>65200</v>
      </c>
      <c r="CL48" s="230">
        <v>93200</v>
      </c>
      <c r="CM48" s="229">
        <v>1.4294</v>
      </c>
      <c r="CN48" s="230">
        <v>479200</v>
      </c>
      <c r="CO48" s="230">
        <v>2063200</v>
      </c>
      <c r="CP48" s="230">
        <v>-1584000</v>
      </c>
      <c r="CQ48" s="229">
        <v>-0.76770000000000005</v>
      </c>
      <c r="CR48" s="230">
        <v>340800</v>
      </c>
      <c r="CS48" s="230">
        <v>1089200</v>
      </c>
      <c r="CT48" s="230">
        <v>-748400</v>
      </c>
      <c r="CU48" s="229">
        <v>-0.68710000000000004</v>
      </c>
      <c r="CV48" s="230">
        <v>3996000</v>
      </c>
      <c r="CW48" s="230">
        <v>6454800</v>
      </c>
      <c r="CX48" s="230">
        <v>-2458800</v>
      </c>
      <c r="CY48" s="229">
        <v>-0.38090000000000002</v>
      </c>
      <c r="CZ48" s="228">
        <v>37.21</v>
      </c>
      <c r="DA48" s="228">
        <v>37.659999999999997</v>
      </c>
      <c r="DB48" s="228">
        <v>-0.45</v>
      </c>
      <c r="DC48" s="228">
        <v>-0.45</v>
      </c>
      <c r="DD48" s="228">
        <v>54.23</v>
      </c>
      <c r="DE48" s="228">
        <v>54.37</v>
      </c>
      <c r="DF48" s="228">
        <v>-17.02</v>
      </c>
      <c r="DG48" s="228">
        <v>-0.14000000000000001</v>
      </c>
      <c r="DH48" s="228">
        <v>36.97</v>
      </c>
      <c r="DI48" s="228">
        <v>38.57</v>
      </c>
      <c r="DJ48" s="228">
        <v>-1.6</v>
      </c>
      <c r="DK48" s="228">
        <v>-1.6</v>
      </c>
      <c r="DL48" s="228">
        <v>37.72</v>
      </c>
      <c r="DM48" s="228">
        <v>36.4</v>
      </c>
      <c r="DN48" s="228">
        <v>1.32</v>
      </c>
      <c r="DO48" s="228">
        <v>1.32</v>
      </c>
      <c r="DP48" s="228">
        <v>0.71</v>
      </c>
      <c r="DQ48" s="228">
        <v>0.53</v>
      </c>
      <c r="DR48" s="228">
        <v>0.18</v>
      </c>
      <c r="DS48" s="229">
        <v>0.33960000000000001</v>
      </c>
      <c r="DT48" s="231">
        <v>1800</v>
      </c>
      <c r="DU48" s="231">
        <v>1500</v>
      </c>
      <c r="DV48" s="228">
        <v>0.44</v>
      </c>
      <c r="DW48" s="228">
        <v>0.46</v>
      </c>
      <c r="DX48" s="228">
        <v>-0.02</v>
      </c>
      <c r="DY48" s="229">
        <v>-4.3499999999999997E-2</v>
      </c>
      <c r="DZ48" s="229">
        <v>0.94579999999999997</v>
      </c>
      <c r="EA48" s="230">
        <v>2672800</v>
      </c>
      <c r="EB48" s="229">
        <v>4.0000000000000001E-3</v>
      </c>
      <c r="EC48" s="229">
        <v>0.94579999999999997</v>
      </c>
      <c r="ED48" s="228">
        <v>-0.34</v>
      </c>
      <c r="EE48" s="229">
        <v>-2.0000000000000001E-4</v>
      </c>
      <c r="EF48" s="230">
        <v>257822</v>
      </c>
      <c r="EG48" s="230">
        <v>285248</v>
      </c>
      <c r="EH48" s="229">
        <v>-9.6100000000000005E-2</v>
      </c>
      <c r="EI48" s="229">
        <v>0.2412</v>
      </c>
      <c r="EJ48" s="231">
        <v>28350.15</v>
      </c>
      <c r="EK48" s="231">
        <v>12315.75</v>
      </c>
      <c r="EL48" s="231">
        <v>35638.639999999999</v>
      </c>
      <c r="EM48" s="231">
        <v>4918</v>
      </c>
      <c r="EN48" s="231">
        <v>76304.539999999994</v>
      </c>
      <c r="EO48" s="231">
        <v>82987.14</v>
      </c>
      <c r="EP48" s="231">
        <v>-6682.6</v>
      </c>
      <c r="EQ48" s="229">
        <v>-8.0500000000000002E-2</v>
      </c>
      <c r="ER48" s="231">
        <v>7833</v>
      </c>
      <c r="ES48" s="231">
        <v>5319</v>
      </c>
      <c r="ET48" s="231">
        <v>48755</v>
      </c>
      <c r="EU48" s="231">
        <v>12661431</v>
      </c>
      <c r="EV48" s="231">
        <v>61907</v>
      </c>
      <c r="EW48" s="231">
        <v>102564</v>
      </c>
      <c r="EX48" s="231">
        <v>-40657</v>
      </c>
      <c r="EY48" s="229">
        <v>-0.39639999999999997</v>
      </c>
      <c r="EZ48" s="229">
        <v>0.31559999999999999</v>
      </c>
      <c r="FA48" s="227" t="s">
        <v>691</v>
      </c>
      <c r="FB48" s="161">
        <f t="shared" si="0"/>
        <v>2994000</v>
      </c>
    </row>
    <row r="49" spans="1:158" ht="17.25" thickBot="1" x14ac:dyDescent="0.3">
      <c r="A49" s="226">
        <v>46168</v>
      </c>
      <c r="B49" s="227" t="s">
        <v>221</v>
      </c>
      <c r="C49" s="227" t="s">
        <v>470</v>
      </c>
      <c r="D49" s="228">
        <v>375</v>
      </c>
      <c r="E49" s="231">
        <v>1424.1</v>
      </c>
      <c r="F49" s="231">
        <v>1408.3</v>
      </c>
      <c r="G49" s="228">
        <v>15.8</v>
      </c>
      <c r="H49" s="229">
        <v>1.12E-2</v>
      </c>
      <c r="I49" s="231">
        <v>1422.8</v>
      </c>
      <c r="J49" s="231">
        <v>1398</v>
      </c>
      <c r="K49" s="228">
        <v>24.8</v>
      </c>
      <c r="L49" s="229">
        <v>1.77E-2</v>
      </c>
      <c r="M49" s="231">
        <v>1427.2</v>
      </c>
      <c r="N49" s="231">
        <v>1400.3</v>
      </c>
      <c r="O49" s="228">
        <v>26.9</v>
      </c>
      <c r="P49" s="229">
        <v>1.9199999999999998E-2</v>
      </c>
      <c r="Q49" s="231">
        <v>1424.1</v>
      </c>
      <c r="R49" s="231">
        <v>1408.3</v>
      </c>
      <c r="S49" s="228">
        <v>15.8</v>
      </c>
      <c r="T49" s="229">
        <v>1.12E-2</v>
      </c>
      <c r="U49" s="231">
        <v>1427.4</v>
      </c>
      <c r="V49" s="231">
        <v>1413.8</v>
      </c>
      <c r="W49" s="228">
        <v>13.6</v>
      </c>
      <c r="X49" s="229">
        <v>9.5999999999999992E-3</v>
      </c>
      <c r="Y49" s="228">
        <v>1.3</v>
      </c>
      <c r="Z49" s="228">
        <v>2.2999999999999998</v>
      </c>
      <c r="AA49" s="228">
        <v>-1</v>
      </c>
      <c r="AB49" s="229">
        <v>8.9999999999999998E-4</v>
      </c>
      <c r="AC49" s="228">
        <v>4.4000000000000004</v>
      </c>
      <c r="AD49" s="228">
        <v>2.2999999999999998</v>
      </c>
      <c r="AE49" s="228">
        <v>2.1</v>
      </c>
      <c r="AF49" s="229">
        <v>3.0999999999999999E-3</v>
      </c>
      <c r="AG49" s="228">
        <v>1.3</v>
      </c>
      <c r="AH49" s="228">
        <v>10.3</v>
      </c>
      <c r="AI49" s="228">
        <v>-9</v>
      </c>
      <c r="AJ49" s="229">
        <v>8.9999999999999998E-4</v>
      </c>
      <c r="AK49" s="228">
        <v>4.5999999999999996</v>
      </c>
      <c r="AL49" s="228">
        <v>15.8</v>
      </c>
      <c r="AM49" s="228">
        <v>-11.2</v>
      </c>
      <c r="AN49" s="229">
        <v>3.2000000000000002E-3</v>
      </c>
      <c r="AO49" s="231">
        <v>1416.76</v>
      </c>
      <c r="AP49" s="231">
        <v>1421.02</v>
      </c>
      <c r="AQ49" s="228">
        <v>0</v>
      </c>
      <c r="AR49" s="230">
        <v>6038625</v>
      </c>
      <c r="AS49" s="230">
        <v>11037375</v>
      </c>
      <c r="AT49" s="230">
        <v>-4998750</v>
      </c>
      <c r="AU49" s="229">
        <v>-0.45290000000000002</v>
      </c>
      <c r="AV49" s="230">
        <v>2743875</v>
      </c>
      <c r="AW49" s="230">
        <v>5344500</v>
      </c>
      <c r="AX49" s="230">
        <v>-2600625</v>
      </c>
      <c r="AY49" s="229">
        <v>-0.48659999999999998</v>
      </c>
      <c r="AZ49" s="230">
        <v>3248250</v>
      </c>
      <c r="BA49" s="230">
        <v>5653500</v>
      </c>
      <c r="BB49" s="230">
        <v>-2405250</v>
      </c>
      <c r="BC49" s="229">
        <v>-0.4254</v>
      </c>
      <c r="BD49" s="230">
        <v>46500</v>
      </c>
      <c r="BE49" s="230">
        <v>39375</v>
      </c>
      <c r="BF49" s="230">
        <v>7125</v>
      </c>
      <c r="BG49" s="229">
        <v>0.18099999999999999</v>
      </c>
      <c r="BH49" s="230">
        <v>11111625</v>
      </c>
      <c r="BI49" s="230">
        <v>20701875</v>
      </c>
      <c r="BJ49" s="230">
        <v>-9590250</v>
      </c>
      <c r="BK49" s="229">
        <v>-0.46329999999999999</v>
      </c>
      <c r="BL49" s="230">
        <v>5713125</v>
      </c>
      <c r="BM49" s="230">
        <v>10968750</v>
      </c>
      <c r="BN49" s="230">
        <v>-5255625</v>
      </c>
      <c r="BO49" s="229">
        <v>-0.47910000000000003</v>
      </c>
      <c r="BP49" s="230">
        <v>22863375</v>
      </c>
      <c r="BQ49" s="230">
        <v>42708000</v>
      </c>
      <c r="BR49" s="230">
        <v>-19844625</v>
      </c>
      <c r="BS49" s="229">
        <v>-0.4647</v>
      </c>
      <c r="BT49" s="230">
        <v>1847124</v>
      </c>
      <c r="BU49" s="230">
        <v>1452751</v>
      </c>
      <c r="BV49" s="230">
        <v>394373</v>
      </c>
      <c r="BW49" s="229">
        <v>0.27150000000000002</v>
      </c>
      <c r="BX49" s="230">
        <v>15218825</v>
      </c>
      <c r="BY49" s="230">
        <v>17994450</v>
      </c>
      <c r="BZ49" s="230">
        <v>-2775625</v>
      </c>
      <c r="CA49" s="229">
        <v>-0.1542</v>
      </c>
      <c r="CB49" s="230">
        <v>3424500</v>
      </c>
      <c r="CC49" s="230">
        <v>3729375</v>
      </c>
      <c r="CD49" s="230">
        <v>-304875</v>
      </c>
      <c r="CE49" s="229">
        <v>-8.1699999999999995E-2</v>
      </c>
      <c r="CF49" s="230">
        <v>15018375</v>
      </c>
      <c r="CG49" s="230">
        <v>14088375</v>
      </c>
      <c r="CH49" s="230">
        <v>930000</v>
      </c>
      <c r="CI49" s="229">
        <v>6.6000000000000003E-2</v>
      </c>
      <c r="CJ49" s="230">
        <v>200450</v>
      </c>
      <c r="CK49" s="230">
        <v>176700</v>
      </c>
      <c r="CL49" s="230">
        <v>23750</v>
      </c>
      <c r="CM49" s="229">
        <v>0.13439999999999999</v>
      </c>
      <c r="CN49" s="230">
        <v>3818625</v>
      </c>
      <c r="CO49" s="230">
        <v>10603125</v>
      </c>
      <c r="CP49" s="230">
        <v>-6784500</v>
      </c>
      <c r="CQ49" s="229">
        <v>-0.63990000000000002</v>
      </c>
      <c r="CR49" s="230">
        <v>2205950</v>
      </c>
      <c r="CS49" s="230">
        <v>8574575</v>
      </c>
      <c r="CT49" s="230">
        <v>-6368625</v>
      </c>
      <c r="CU49" s="229">
        <v>-0.74270000000000003</v>
      </c>
      <c r="CV49" s="230">
        <v>21243400</v>
      </c>
      <c r="CW49" s="230">
        <v>37172150</v>
      </c>
      <c r="CX49" s="230">
        <v>-15928750</v>
      </c>
      <c r="CY49" s="229">
        <v>-0.42849999999999999</v>
      </c>
      <c r="CZ49" s="228">
        <v>33.81</v>
      </c>
      <c r="DA49" s="228">
        <v>36.1</v>
      </c>
      <c r="DB49" s="228">
        <v>-2.29</v>
      </c>
      <c r="DC49" s="228">
        <v>-2.29</v>
      </c>
      <c r="DD49" s="228">
        <v>46.32</v>
      </c>
      <c r="DE49" s="228">
        <v>46.38</v>
      </c>
      <c r="DF49" s="228">
        <v>-12.51</v>
      </c>
      <c r="DG49" s="228">
        <v>-0.06</v>
      </c>
      <c r="DH49" s="228">
        <v>33.229999999999997</v>
      </c>
      <c r="DI49" s="228">
        <v>35.24</v>
      </c>
      <c r="DJ49" s="228">
        <v>-2.0099999999999998</v>
      </c>
      <c r="DK49" s="228">
        <v>-2.0099999999999998</v>
      </c>
      <c r="DL49" s="228">
        <v>35.26</v>
      </c>
      <c r="DM49" s="228">
        <v>37.89</v>
      </c>
      <c r="DN49" s="228">
        <v>-2.63</v>
      </c>
      <c r="DO49" s="228">
        <v>-2.63</v>
      </c>
      <c r="DP49" s="228">
        <v>0.57999999999999996</v>
      </c>
      <c r="DQ49" s="228">
        <v>0.81</v>
      </c>
      <c r="DR49" s="228">
        <v>-0.23</v>
      </c>
      <c r="DS49" s="229">
        <v>-0.28399999999999997</v>
      </c>
      <c r="DT49" s="231">
        <v>1400</v>
      </c>
      <c r="DU49" s="231">
        <v>1300</v>
      </c>
      <c r="DV49" s="228">
        <v>0.51</v>
      </c>
      <c r="DW49" s="228">
        <v>0.53</v>
      </c>
      <c r="DX49" s="228">
        <v>-0.02</v>
      </c>
      <c r="DY49" s="229">
        <v>-3.7699999999999997E-2</v>
      </c>
      <c r="DZ49" s="229">
        <v>0.81630000000000003</v>
      </c>
      <c r="EA49" s="230">
        <v>14265075</v>
      </c>
      <c r="EB49" s="229">
        <v>-2.2000000000000001E-3</v>
      </c>
      <c r="EC49" s="229">
        <v>0.81630000000000003</v>
      </c>
      <c r="ED49" s="228">
        <v>4.26</v>
      </c>
      <c r="EE49" s="229">
        <v>3.0000000000000001E-3</v>
      </c>
      <c r="EF49" s="230">
        <v>910121</v>
      </c>
      <c r="EG49" s="230">
        <v>468283</v>
      </c>
      <c r="EH49" s="229">
        <v>0.94350000000000001</v>
      </c>
      <c r="EI49" s="229">
        <v>0.49270000000000003</v>
      </c>
      <c r="EJ49" s="231">
        <v>163318.60999999999</v>
      </c>
      <c r="EK49" s="231">
        <v>77781.210000000006</v>
      </c>
      <c r="EL49" s="231">
        <v>85871.679999999993</v>
      </c>
      <c r="EM49" s="231">
        <v>27044</v>
      </c>
      <c r="EN49" s="231">
        <v>326971.5</v>
      </c>
      <c r="EO49" s="231">
        <v>602472.88</v>
      </c>
      <c r="EP49" s="231">
        <v>-275501.38</v>
      </c>
      <c r="EQ49" s="229">
        <v>-0.45729999999999998</v>
      </c>
      <c r="ER49" s="231">
        <v>54788</v>
      </c>
      <c r="ES49" s="231">
        <v>29508</v>
      </c>
      <c r="ET49" s="231">
        <v>216738</v>
      </c>
      <c r="EU49" s="231">
        <v>50256271</v>
      </c>
      <c r="EV49" s="231">
        <v>301034</v>
      </c>
      <c r="EW49" s="231">
        <v>508483</v>
      </c>
      <c r="EX49" s="231">
        <v>-207449</v>
      </c>
      <c r="EY49" s="229">
        <v>-0.40799999999999997</v>
      </c>
      <c r="EZ49" s="229">
        <v>0.42270000000000002</v>
      </c>
      <c r="FA49" s="227" t="s">
        <v>691</v>
      </c>
      <c r="FB49" s="161">
        <f t="shared" si="0"/>
        <v>11794325</v>
      </c>
    </row>
    <row r="50" spans="1:158" ht="17.25" thickBot="1" x14ac:dyDescent="0.3">
      <c r="A50" s="226">
        <v>46168</v>
      </c>
      <c r="B50" s="227" t="s">
        <v>168</v>
      </c>
      <c r="C50" s="227" t="s">
        <v>201</v>
      </c>
      <c r="D50" s="228">
        <v>225</v>
      </c>
      <c r="E50" s="231">
        <v>2072.1999999999998</v>
      </c>
      <c r="F50" s="231">
        <v>2088.1</v>
      </c>
      <c r="G50" s="228">
        <v>-15.9</v>
      </c>
      <c r="H50" s="229">
        <v>-7.6E-3</v>
      </c>
      <c r="I50" s="231">
        <v>2077.1</v>
      </c>
      <c r="J50" s="231">
        <v>2097</v>
      </c>
      <c r="K50" s="228">
        <v>-19.899999999999999</v>
      </c>
      <c r="L50" s="229">
        <v>-9.4999999999999998E-3</v>
      </c>
      <c r="M50" s="231">
        <v>2077.6</v>
      </c>
      <c r="N50" s="231">
        <v>2108.9</v>
      </c>
      <c r="O50" s="228">
        <v>-31.3</v>
      </c>
      <c r="P50" s="229">
        <v>-1.4800000000000001E-2</v>
      </c>
      <c r="Q50" s="231">
        <v>2072.1999999999998</v>
      </c>
      <c r="R50" s="231">
        <v>2088.1</v>
      </c>
      <c r="S50" s="228">
        <v>-15.9</v>
      </c>
      <c r="T50" s="229">
        <v>-7.6E-3</v>
      </c>
      <c r="U50" s="231">
        <v>2080.5</v>
      </c>
      <c r="V50" s="231">
        <v>2097.8000000000002</v>
      </c>
      <c r="W50" s="228">
        <v>-17.3</v>
      </c>
      <c r="X50" s="229">
        <v>-8.2000000000000007E-3</v>
      </c>
      <c r="Y50" s="228">
        <v>-4.9000000000000004</v>
      </c>
      <c r="Z50" s="228">
        <v>11.9</v>
      </c>
      <c r="AA50" s="228">
        <v>-16.8</v>
      </c>
      <c r="AB50" s="229">
        <v>-2.3999999999999998E-3</v>
      </c>
      <c r="AC50" s="228">
        <v>0.5</v>
      </c>
      <c r="AD50" s="228">
        <v>11.9</v>
      </c>
      <c r="AE50" s="228">
        <v>-11.4</v>
      </c>
      <c r="AF50" s="229">
        <v>2.0000000000000001E-4</v>
      </c>
      <c r="AG50" s="228">
        <v>-4.9000000000000004</v>
      </c>
      <c r="AH50" s="228">
        <v>-8.9</v>
      </c>
      <c r="AI50" s="228">
        <v>4</v>
      </c>
      <c r="AJ50" s="229">
        <v>-2.3999999999999998E-3</v>
      </c>
      <c r="AK50" s="228">
        <v>3.4</v>
      </c>
      <c r="AL50" s="228">
        <v>0.8</v>
      </c>
      <c r="AM50" s="228">
        <v>2.6</v>
      </c>
      <c r="AN50" s="229">
        <v>1.6000000000000001E-3</v>
      </c>
      <c r="AO50" s="231">
        <v>2065.96</v>
      </c>
      <c r="AP50" s="231">
        <v>2058</v>
      </c>
      <c r="AQ50" s="228">
        <v>0</v>
      </c>
      <c r="AR50" s="230">
        <v>2385675</v>
      </c>
      <c r="AS50" s="230">
        <v>5718375</v>
      </c>
      <c r="AT50" s="230">
        <v>-3332700</v>
      </c>
      <c r="AU50" s="229">
        <v>-0.58279999999999998</v>
      </c>
      <c r="AV50" s="230">
        <v>763875</v>
      </c>
      <c r="AW50" s="230">
        <v>2301075</v>
      </c>
      <c r="AX50" s="230">
        <v>-1537200</v>
      </c>
      <c r="AY50" s="229">
        <v>-0.66800000000000004</v>
      </c>
      <c r="AZ50" s="230">
        <v>1591425</v>
      </c>
      <c r="BA50" s="230">
        <v>3376125</v>
      </c>
      <c r="BB50" s="230">
        <v>-1784700</v>
      </c>
      <c r="BC50" s="229">
        <v>-0.52859999999999996</v>
      </c>
      <c r="BD50" s="230">
        <v>30375</v>
      </c>
      <c r="BE50" s="230">
        <v>41175</v>
      </c>
      <c r="BF50" s="230">
        <v>-10800</v>
      </c>
      <c r="BG50" s="229">
        <v>-0.26229999999999998</v>
      </c>
      <c r="BH50" s="230">
        <v>3861000</v>
      </c>
      <c r="BI50" s="230">
        <v>12626100</v>
      </c>
      <c r="BJ50" s="230">
        <v>-8765100</v>
      </c>
      <c r="BK50" s="229">
        <v>-0.69420000000000004</v>
      </c>
      <c r="BL50" s="230">
        <v>2132325</v>
      </c>
      <c r="BM50" s="230">
        <v>10324575</v>
      </c>
      <c r="BN50" s="230">
        <v>-8192250</v>
      </c>
      <c r="BO50" s="229">
        <v>-0.79349999999999998</v>
      </c>
      <c r="BP50" s="230">
        <v>8379000</v>
      </c>
      <c r="BQ50" s="230">
        <v>28669050</v>
      </c>
      <c r="BR50" s="230">
        <v>-20290050</v>
      </c>
      <c r="BS50" s="229">
        <v>-0.7077</v>
      </c>
      <c r="BT50" s="230">
        <v>997506</v>
      </c>
      <c r="BU50" s="230">
        <v>1535173</v>
      </c>
      <c r="BV50" s="230">
        <v>-537667</v>
      </c>
      <c r="BW50" s="229">
        <v>-0.35020000000000001</v>
      </c>
      <c r="BX50" s="230">
        <v>4855875</v>
      </c>
      <c r="BY50" s="230">
        <v>4997950</v>
      </c>
      <c r="BZ50" s="230">
        <v>-142075</v>
      </c>
      <c r="CA50" s="229">
        <v>-2.8400000000000002E-2</v>
      </c>
      <c r="CB50" s="230">
        <v>181125</v>
      </c>
      <c r="CC50" s="230">
        <v>576675</v>
      </c>
      <c r="CD50" s="230">
        <v>-395550</v>
      </c>
      <c r="CE50" s="229">
        <v>-0.68589999999999995</v>
      </c>
      <c r="CF50" s="230">
        <v>4768425</v>
      </c>
      <c r="CG50" s="230">
        <v>4350600</v>
      </c>
      <c r="CH50" s="230">
        <v>417825</v>
      </c>
      <c r="CI50" s="229">
        <v>9.6000000000000002E-2</v>
      </c>
      <c r="CJ50" s="230">
        <v>87450</v>
      </c>
      <c r="CK50" s="230">
        <v>70675</v>
      </c>
      <c r="CL50" s="230">
        <v>16775</v>
      </c>
      <c r="CM50" s="229">
        <v>0.2374</v>
      </c>
      <c r="CN50" s="230">
        <v>1438200</v>
      </c>
      <c r="CO50" s="230">
        <v>2128725</v>
      </c>
      <c r="CP50" s="230">
        <v>-690525</v>
      </c>
      <c r="CQ50" s="229">
        <v>-0.32440000000000002</v>
      </c>
      <c r="CR50" s="230">
        <v>944875</v>
      </c>
      <c r="CS50" s="230">
        <v>1153175</v>
      </c>
      <c r="CT50" s="230">
        <v>-208300</v>
      </c>
      <c r="CU50" s="229">
        <v>-0.18060000000000001</v>
      </c>
      <c r="CV50" s="230">
        <v>7238950</v>
      </c>
      <c r="CW50" s="230">
        <v>8279850</v>
      </c>
      <c r="CX50" s="230">
        <v>-1040900</v>
      </c>
      <c r="CY50" s="229">
        <v>-0.12570000000000001</v>
      </c>
      <c r="CZ50" s="228">
        <v>24.74</v>
      </c>
      <c r="DA50" s="228">
        <v>25.56</v>
      </c>
      <c r="DB50" s="228">
        <v>-0.82</v>
      </c>
      <c r="DC50" s="228">
        <v>-0.82</v>
      </c>
      <c r="DD50" s="228">
        <v>30.01</v>
      </c>
      <c r="DE50" s="228">
        <v>30.07</v>
      </c>
      <c r="DF50" s="228">
        <v>-5.27</v>
      </c>
      <c r="DG50" s="228">
        <v>-0.06</v>
      </c>
      <c r="DH50" s="228">
        <v>24.97</v>
      </c>
      <c r="DI50" s="228">
        <v>25.63</v>
      </c>
      <c r="DJ50" s="228">
        <v>-0.66</v>
      </c>
      <c r="DK50" s="228">
        <v>-0.66</v>
      </c>
      <c r="DL50" s="228">
        <v>24.32</v>
      </c>
      <c r="DM50" s="228">
        <v>25.42</v>
      </c>
      <c r="DN50" s="228">
        <v>-1.1000000000000001</v>
      </c>
      <c r="DO50" s="228">
        <v>-1.1000000000000001</v>
      </c>
      <c r="DP50" s="228">
        <v>0.66</v>
      </c>
      <c r="DQ50" s="228">
        <v>0.54</v>
      </c>
      <c r="DR50" s="228">
        <v>0.12</v>
      </c>
      <c r="DS50" s="229">
        <v>0.22220000000000001</v>
      </c>
      <c r="DT50" s="231">
        <v>2200</v>
      </c>
      <c r="DU50" s="231">
        <v>2000</v>
      </c>
      <c r="DV50" s="228">
        <v>0.55000000000000004</v>
      </c>
      <c r="DW50" s="228">
        <v>0.82</v>
      </c>
      <c r="DX50" s="228">
        <v>-0.27</v>
      </c>
      <c r="DY50" s="229">
        <v>-0.32929999999999998</v>
      </c>
      <c r="DZ50" s="229">
        <v>0.96399999999999997</v>
      </c>
      <c r="EA50" s="230">
        <v>4421275</v>
      </c>
      <c r="EB50" s="229">
        <v>-2.5999999999999999E-3</v>
      </c>
      <c r="EC50" s="229">
        <v>0.96399999999999997</v>
      </c>
      <c r="ED50" s="228">
        <v>-7.96</v>
      </c>
      <c r="EE50" s="229">
        <v>-3.8999999999999998E-3</v>
      </c>
      <c r="EF50" s="230">
        <v>476529</v>
      </c>
      <c r="EG50" s="230">
        <v>522125</v>
      </c>
      <c r="EH50" s="229">
        <v>-8.7300000000000003E-2</v>
      </c>
      <c r="EI50" s="229">
        <v>0.47770000000000001</v>
      </c>
      <c r="EJ50" s="231">
        <v>84633.85</v>
      </c>
      <c r="EK50" s="231">
        <v>44394.65</v>
      </c>
      <c r="EL50" s="231">
        <v>49301.16</v>
      </c>
      <c r="EM50" s="231">
        <v>14796</v>
      </c>
      <c r="EN50" s="231">
        <v>178329.66</v>
      </c>
      <c r="EO50" s="231">
        <v>615354.82999999996</v>
      </c>
      <c r="EP50" s="231">
        <v>-437025.17</v>
      </c>
      <c r="EQ50" s="229">
        <v>-0.71020000000000005</v>
      </c>
      <c r="ER50" s="231">
        <v>31844</v>
      </c>
      <c r="ES50" s="231">
        <v>19491</v>
      </c>
      <c r="ET50" s="231">
        <v>100631</v>
      </c>
      <c r="EU50" s="231">
        <v>19054573</v>
      </c>
      <c r="EV50" s="231">
        <v>151965</v>
      </c>
      <c r="EW50" s="231">
        <v>175860</v>
      </c>
      <c r="EX50" s="231">
        <v>-23895</v>
      </c>
      <c r="EY50" s="229">
        <v>-0.13589999999999999</v>
      </c>
      <c r="EZ50" s="229">
        <v>0.37990000000000002</v>
      </c>
      <c r="FA50" s="227" t="s">
        <v>567</v>
      </c>
      <c r="FB50" s="161">
        <f t="shared" si="0"/>
        <v>4674750</v>
      </c>
    </row>
    <row r="51" spans="1:158" ht="17.25" thickBot="1" x14ac:dyDescent="0.3">
      <c r="A51" s="226">
        <v>46168</v>
      </c>
      <c r="B51" s="227" t="s">
        <v>215</v>
      </c>
      <c r="C51" s="227" t="s">
        <v>202</v>
      </c>
      <c r="D51" s="228">
        <v>1250</v>
      </c>
      <c r="E51" s="228">
        <v>479</v>
      </c>
      <c r="F51" s="228">
        <v>515.6</v>
      </c>
      <c r="G51" s="228">
        <v>-36.6</v>
      </c>
      <c r="H51" s="229">
        <v>-7.0999999999999994E-2</v>
      </c>
      <c r="I51" s="228">
        <v>475.9</v>
      </c>
      <c r="J51" s="228">
        <v>512.04999999999995</v>
      </c>
      <c r="K51" s="228">
        <v>-36.15</v>
      </c>
      <c r="L51" s="229">
        <v>-7.0599999999999996E-2</v>
      </c>
      <c r="M51" s="228">
        <v>477.05</v>
      </c>
      <c r="N51" s="228">
        <v>512.65</v>
      </c>
      <c r="O51" s="228">
        <v>-35.6</v>
      </c>
      <c r="P51" s="229">
        <v>-6.9400000000000003E-2</v>
      </c>
      <c r="Q51" s="228">
        <v>479</v>
      </c>
      <c r="R51" s="228">
        <v>515.6</v>
      </c>
      <c r="S51" s="228">
        <v>-36.6</v>
      </c>
      <c r="T51" s="229">
        <v>-7.0999999999999994E-2</v>
      </c>
      <c r="U51" s="228">
        <v>481.95</v>
      </c>
      <c r="V51" s="228">
        <v>519</v>
      </c>
      <c r="W51" s="228">
        <v>-37.049999999999997</v>
      </c>
      <c r="X51" s="229">
        <v>-7.1400000000000005E-2</v>
      </c>
      <c r="Y51" s="228">
        <v>3.1</v>
      </c>
      <c r="Z51" s="228">
        <v>0.6</v>
      </c>
      <c r="AA51" s="228">
        <v>2.5</v>
      </c>
      <c r="AB51" s="229">
        <v>6.4999999999999997E-3</v>
      </c>
      <c r="AC51" s="228">
        <v>1.1499999999999999</v>
      </c>
      <c r="AD51" s="228">
        <v>0.6</v>
      </c>
      <c r="AE51" s="228">
        <v>0.55000000000000004</v>
      </c>
      <c r="AF51" s="229">
        <v>2.3999999999999998E-3</v>
      </c>
      <c r="AG51" s="228">
        <v>3.1</v>
      </c>
      <c r="AH51" s="228">
        <v>3.55</v>
      </c>
      <c r="AI51" s="228">
        <v>-0.45</v>
      </c>
      <c r="AJ51" s="229">
        <v>6.4999999999999997E-3</v>
      </c>
      <c r="AK51" s="228">
        <v>6.05</v>
      </c>
      <c r="AL51" s="228">
        <v>6.95</v>
      </c>
      <c r="AM51" s="228">
        <v>-0.9</v>
      </c>
      <c r="AN51" s="229">
        <v>1.2699999999999999E-2</v>
      </c>
      <c r="AO51" s="228">
        <v>480.04</v>
      </c>
      <c r="AP51" s="228">
        <v>482.98</v>
      </c>
      <c r="AQ51" s="228">
        <v>0</v>
      </c>
      <c r="AR51" s="230">
        <v>19417500</v>
      </c>
      <c r="AS51" s="230">
        <v>14071250</v>
      </c>
      <c r="AT51" s="230">
        <v>5346250</v>
      </c>
      <c r="AU51" s="229">
        <v>0.37990000000000002</v>
      </c>
      <c r="AV51" s="230">
        <v>5697500</v>
      </c>
      <c r="AW51" s="230">
        <v>6877500</v>
      </c>
      <c r="AX51" s="230">
        <v>-1180000</v>
      </c>
      <c r="AY51" s="229">
        <v>-0.1716</v>
      </c>
      <c r="AZ51" s="230">
        <v>13245000</v>
      </c>
      <c r="BA51" s="230">
        <v>7103750</v>
      </c>
      <c r="BB51" s="230">
        <v>6141250</v>
      </c>
      <c r="BC51" s="229">
        <v>0.86450000000000005</v>
      </c>
      <c r="BD51" s="230">
        <v>475000</v>
      </c>
      <c r="BE51" s="230">
        <v>90000</v>
      </c>
      <c r="BF51" s="230">
        <v>385000</v>
      </c>
      <c r="BG51" s="229">
        <v>4.2778</v>
      </c>
      <c r="BH51" s="230">
        <v>32650000</v>
      </c>
      <c r="BI51" s="230">
        <v>9723750</v>
      </c>
      <c r="BJ51" s="230">
        <v>22926250</v>
      </c>
      <c r="BK51" s="229">
        <v>2.3578000000000001</v>
      </c>
      <c r="BL51" s="230">
        <v>26878750</v>
      </c>
      <c r="BM51" s="230">
        <v>7150000</v>
      </c>
      <c r="BN51" s="230">
        <v>19728750</v>
      </c>
      <c r="BO51" s="229">
        <v>2.7593000000000001</v>
      </c>
      <c r="BP51" s="230">
        <v>78946250</v>
      </c>
      <c r="BQ51" s="230">
        <v>30945000</v>
      </c>
      <c r="BR51" s="230">
        <v>48001250</v>
      </c>
      <c r="BS51" s="229">
        <v>1.5511999999999999</v>
      </c>
      <c r="BT51" s="230">
        <v>9735878</v>
      </c>
      <c r="BU51" s="230">
        <v>747442</v>
      </c>
      <c r="BV51" s="230">
        <v>8988436</v>
      </c>
      <c r="BW51" s="229">
        <v>12.025600000000001</v>
      </c>
      <c r="BX51" s="230">
        <v>24438750</v>
      </c>
      <c r="BY51" s="230">
        <v>25656250</v>
      </c>
      <c r="BZ51" s="230">
        <v>-1217500</v>
      </c>
      <c r="CA51" s="229">
        <v>-4.7500000000000001E-2</v>
      </c>
      <c r="CB51" s="230">
        <v>4266250</v>
      </c>
      <c r="CC51" s="230">
        <v>7286250</v>
      </c>
      <c r="CD51" s="230">
        <v>-3020000</v>
      </c>
      <c r="CE51" s="229">
        <v>-0.41449999999999998</v>
      </c>
      <c r="CF51" s="230">
        <v>23803750</v>
      </c>
      <c r="CG51" s="230">
        <v>18111250</v>
      </c>
      <c r="CH51" s="230">
        <v>5692500</v>
      </c>
      <c r="CI51" s="229">
        <v>0.31430000000000002</v>
      </c>
      <c r="CJ51" s="230">
        <v>635000</v>
      </c>
      <c r="CK51" s="230">
        <v>258750</v>
      </c>
      <c r="CL51" s="230">
        <v>376250</v>
      </c>
      <c r="CM51" s="229">
        <v>1.4540999999999999</v>
      </c>
      <c r="CN51" s="230">
        <v>7953750</v>
      </c>
      <c r="CO51" s="230">
        <v>4991250</v>
      </c>
      <c r="CP51" s="230">
        <v>2962500</v>
      </c>
      <c r="CQ51" s="229">
        <v>0.59350000000000003</v>
      </c>
      <c r="CR51" s="230">
        <v>5845000</v>
      </c>
      <c r="CS51" s="230">
        <v>4533750</v>
      </c>
      <c r="CT51" s="230">
        <v>1311250</v>
      </c>
      <c r="CU51" s="229">
        <v>0.28920000000000001</v>
      </c>
      <c r="CV51" s="230">
        <v>38237500</v>
      </c>
      <c r="CW51" s="230">
        <v>35181250</v>
      </c>
      <c r="CX51" s="230">
        <v>3056250</v>
      </c>
      <c r="CY51" s="229">
        <v>8.6900000000000005E-2</v>
      </c>
      <c r="CZ51" s="228">
        <v>27.69</v>
      </c>
      <c r="DA51" s="228">
        <v>30.87</v>
      </c>
      <c r="DB51" s="228">
        <v>-3.18</v>
      </c>
      <c r="DC51" s="228">
        <v>-3.18</v>
      </c>
      <c r="DD51" s="228">
        <v>35.31</v>
      </c>
      <c r="DE51" s="228">
        <v>33.96</v>
      </c>
      <c r="DF51" s="228">
        <v>-7.62</v>
      </c>
      <c r="DG51" s="228">
        <v>1.35</v>
      </c>
      <c r="DH51" s="228">
        <v>27.85</v>
      </c>
      <c r="DI51" s="228">
        <v>31.09</v>
      </c>
      <c r="DJ51" s="228">
        <v>-3.24</v>
      </c>
      <c r="DK51" s="228">
        <v>-3.24</v>
      </c>
      <c r="DL51" s="228">
        <v>27.49</v>
      </c>
      <c r="DM51" s="228">
        <v>30.55</v>
      </c>
      <c r="DN51" s="228">
        <v>-3.06</v>
      </c>
      <c r="DO51" s="228">
        <v>-3.06</v>
      </c>
      <c r="DP51" s="228">
        <v>0.73</v>
      </c>
      <c r="DQ51" s="228">
        <v>0.91</v>
      </c>
      <c r="DR51" s="228">
        <v>-0.18</v>
      </c>
      <c r="DS51" s="229">
        <v>-0.1978</v>
      </c>
      <c r="DT51" s="228">
        <v>500</v>
      </c>
      <c r="DU51" s="228">
        <v>500</v>
      </c>
      <c r="DV51" s="228">
        <v>0.82</v>
      </c>
      <c r="DW51" s="228">
        <v>0.74</v>
      </c>
      <c r="DX51" s="228">
        <v>0.08</v>
      </c>
      <c r="DY51" s="229">
        <v>0.1081</v>
      </c>
      <c r="DZ51" s="229">
        <v>0.85140000000000005</v>
      </c>
      <c r="EA51" s="230">
        <v>18370000</v>
      </c>
      <c r="EB51" s="229">
        <v>4.1000000000000003E-3</v>
      </c>
      <c r="EC51" s="229">
        <v>0.85140000000000005</v>
      </c>
      <c r="ED51" s="228">
        <v>2.94</v>
      </c>
      <c r="EE51" s="229">
        <v>6.1000000000000004E-3</v>
      </c>
      <c r="EF51" s="230">
        <v>3562412</v>
      </c>
      <c r="EG51" s="230">
        <v>302089</v>
      </c>
      <c r="EH51" s="229">
        <v>10.7926</v>
      </c>
      <c r="EI51" s="229">
        <v>0.3659</v>
      </c>
      <c r="EJ51" s="231">
        <v>167916.85</v>
      </c>
      <c r="EK51" s="231">
        <v>133269.85999999999</v>
      </c>
      <c r="EL51" s="231">
        <v>93629.04</v>
      </c>
      <c r="EM51" s="231">
        <v>7362</v>
      </c>
      <c r="EN51" s="231">
        <v>394815.75</v>
      </c>
      <c r="EO51" s="231">
        <v>160788.32999999999</v>
      </c>
      <c r="EP51" s="231">
        <v>234027.42</v>
      </c>
      <c r="EQ51" s="229">
        <v>1.4555</v>
      </c>
      <c r="ER51" s="231">
        <v>40641</v>
      </c>
      <c r="ES51" s="231">
        <v>28719</v>
      </c>
      <c r="ET51" s="231">
        <v>117080</v>
      </c>
      <c r="EU51" s="231">
        <v>51639257</v>
      </c>
      <c r="EV51" s="231">
        <v>186440</v>
      </c>
      <c r="EW51" s="231">
        <v>182147</v>
      </c>
      <c r="EX51" s="231">
        <v>4293</v>
      </c>
      <c r="EY51" s="229">
        <v>2.3599999999999999E-2</v>
      </c>
      <c r="EZ51" s="229">
        <v>0.74050000000000005</v>
      </c>
      <c r="FA51" s="227" t="s">
        <v>567</v>
      </c>
      <c r="FB51" s="161">
        <f t="shared" si="0"/>
        <v>20172500</v>
      </c>
    </row>
    <row r="52" spans="1:158" ht="17.25" thickBot="1" x14ac:dyDescent="0.3">
      <c r="A52" s="226">
        <v>46168</v>
      </c>
      <c r="B52" s="227" t="s">
        <v>184</v>
      </c>
      <c r="C52" s="227" t="s">
        <v>523</v>
      </c>
      <c r="D52" s="228">
        <v>1800</v>
      </c>
      <c r="E52" s="228">
        <v>290.55</v>
      </c>
      <c r="F52" s="228">
        <v>295.60000000000002</v>
      </c>
      <c r="G52" s="228">
        <v>-5.05</v>
      </c>
      <c r="H52" s="229">
        <v>-1.7100000000000001E-2</v>
      </c>
      <c r="I52" s="228">
        <v>289.05</v>
      </c>
      <c r="J52" s="228">
        <v>293.5</v>
      </c>
      <c r="K52" s="228">
        <v>-4.45</v>
      </c>
      <c r="L52" s="229">
        <v>-1.52E-2</v>
      </c>
      <c r="M52" s="228">
        <v>288.45</v>
      </c>
      <c r="N52" s="228">
        <v>293.75</v>
      </c>
      <c r="O52" s="228">
        <v>-5.3</v>
      </c>
      <c r="P52" s="229">
        <v>-1.7999999999999999E-2</v>
      </c>
      <c r="Q52" s="228">
        <v>290.55</v>
      </c>
      <c r="R52" s="228">
        <v>295.60000000000002</v>
      </c>
      <c r="S52" s="228">
        <v>-5.05</v>
      </c>
      <c r="T52" s="229">
        <v>-1.7100000000000001E-2</v>
      </c>
      <c r="U52" s="228">
        <v>290.05</v>
      </c>
      <c r="V52" s="228">
        <v>294.8</v>
      </c>
      <c r="W52" s="228">
        <v>-4.75</v>
      </c>
      <c r="X52" s="229">
        <v>-1.61E-2</v>
      </c>
      <c r="Y52" s="228">
        <v>1.5</v>
      </c>
      <c r="Z52" s="228">
        <v>0.25</v>
      </c>
      <c r="AA52" s="228">
        <v>1.25</v>
      </c>
      <c r="AB52" s="229">
        <v>5.1999999999999998E-3</v>
      </c>
      <c r="AC52" s="228">
        <v>-0.6</v>
      </c>
      <c r="AD52" s="228">
        <v>0.25</v>
      </c>
      <c r="AE52" s="228">
        <v>-0.85</v>
      </c>
      <c r="AF52" s="229">
        <v>-2.0999999999999999E-3</v>
      </c>
      <c r="AG52" s="228">
        <v>1.5</v>
      </c>
      <c r="AH52" s="228">
        <v>2.1</v>
      </c>
      <c r="AI52" s="228">
        <v>-0.6</v>
      </c>
      <c r="AJ52" s="229">
        <v>5.1999999999999998E-3</v>
      </c>
      <c r="AK52" s="228">
        <v>1</v>
      </c>
      <c r="AL52" s="228">
        <v>1.3</v>
      </c>
      <c r="AM52" s="228">
        <v>-0.3</v>
      </c>
      <c r="AN52" s="229">
        <v>3.5000000000000001E-3</v>
      </c>
      <c r="AO52" s="228">
        <v>289.73</v>
      </c>
      <c r="AP52" s="228">
        <v>291.86</v>
      </c>
      <c r="AQ52" s="228">
        <v>0</v>
      </c>
      <c r="AR52" s="230">
        <v>18612000</v>
      </c>
      <c r="AS52" s="230">
        <v>28717200</v>
      </c>
      <c r="AT52" s="230">
        <v>-10105200</v>
      </c>
      <c r="AU52" s="229">
        <v>-0.35189999999999999</v>
      </c>
      <c r="AV52" s="230">
        <v>8053200</v>
      </c>
      <c r="AW52" s="230">
        <v>14310000</v>
      </c>
      <c r="AX52" s="230">
        <v>-6256800</v>
      </c>
      <c r="AY52" s="229">
        <v>-0.43719999999999998</v>
      </c>
      <c r="AZ52" s="230">
        <v>10395000</v>
      </c>
      <c r="BA52" s="230">
        <v>14128200</v>
      </c>
      <c r="BB52" s="230">
        <v>-3733200</v>
      </c>
      <c r="BC52" s="229">
        <v>-0.26419999999999999</v>
      </c>
      <c r="BD52" s="230">
        <v>163800</v>
      </c>
      <c r="BE52" s="230">
        <v>279000</v>
      </c>
      <c r="BF52" s="230">
        <v>-115200</v>
      </c>
      <c r="BG52" s="229">
        <v>-0.41289999999999999</v>
      </c>
      <c r="BH52" s="230">
        <v>11061000</v>
      </c>
      <c r="BI52" s="230">
        <v>14459400</v>
      </c>
      <c r="BJ52" s="230">
        <v>-3398400</v>
      </c>
      <c r="BK52" s="229">
        <v>-0.23499999999999999</v>
      </c>
      <c r="BL52" s="230">
        <v>5299200</v>
      </c>
      <c r="BM52" s="230">
        <v>6404400</v>
      </c>
      <c r="BN52" s="230">
        <v>-1105200</v>
      </c>
      <c r="BO52" s="229">
        <v>-0.1726</v>
      </c>
      <c r="BP52" s="230">
        <v>34972200</v>
      </c>
      <c r="BQ52" s="230">
        <v>49581000</v>
      </c>
      <c r="BR52" s="230">
        <v>-14608800</v>
      </c>
      <c r="BS52" s="229">
        <v>-0.29459999999999997</v>
      </c>
      <c r="BT52" s="230">
        <v>1609429</v>
      </c>
      <c r="BU52" s="230">
        <v>1684660</v>
      </c>
      <c r="BV52" s="230">
        <v>-75231</v>
      </c>
      <c r="BW52" s="229">
        <v>-4.4699999999999997E-2</v>
      </c>
      <c r="BX52" s="230">
        <v>53836500</v>
      </c>
      <c r="BY52" s="230">
        <v>55867900</v>
      </c>
      <c r="BZ52" s="230">
        <v>-2031400</v>
      </c>
      <c r="CA52" s="229">
        <v>-3.6400000000000002E-2</v>
      </c>
      <c r="CB52" s="230">
        <v>1585800</v>
      </c>
      <c r="CC52" s="230">
        <v>6192000</v>
      </c>
      <c r="CD52" s="230">
        <v>-4606200</v>
      </c>
      <c r="CE52" s="229">
        <v>-0.74390000000000001</v>
      </c>
      <c r="CF52" s="230">
        <v>52972200</v>
      </c>
      <c r="CG52" s="230">
        <v>48949200</v>
      </c>
      <c r="CH52" s="230">
        <v>4023000</v>
      </c>
      <c r="CI52" s="229">
        <v>8.2199999999999995E-2</v>
      </c>
      <c r="CJ52" s="230">
        <v>864300</v>
      </c>
      <c r="CK52" s="230">
        <v>726700</v>
      </c>
      <c r="CL52" s="230">
        <v>137600</v>
      </c>
      <c r="CM52" s="229">
        <v>0.1893</v>
      </c>
      <c r="CN52" s="230">
        <v>5171400</v>
      </c>
      <c r="CO52" s="230">
        <v>18973800</v>
      </c>
      <c r="CP52" s="230">
        <v>-13802400</v>
      </c>
      <c r="CQ52" s="229">
        <v>-0.72740000000000005</v>
      </c>
      <c r="CR52" s="230">
        <v>2061000</v>
      </c>
      <c r="CS52" s="230">
        <v>10827000</v>
      </c>
      <c r="CT52" s="230">
        <v>-8766000</v>
      </c>
      <c r="CU52" s="229">
        <v>-0.80959999999999999</v>
      </c>
      <c r="CV52" s="230">
        <v>61068900</v>
      </c>
      <c r="CW52" s="230">
        <v>85668700</v>
      </c>
      <c r="CX52" s="230">
        <v>-24599800</v>
      </c>
      <c r="CY52" s="229">
        <v>-0.28720000000000001</v>
      </c>
      <c r="CZ52" s="228">
        <v>31.63</v>
      </c>
      <c r="DA52" s="228">
        <v>33.06</v>
      </c>
      <c r="DB52" s="228">
        <v>-1.43</v>
      </c>
      <c r="DC52" s="228">
        <v>-1.43</v>
      </c>
      <c r="DD52" s="228">
        <v>36</v>
      </c>
      <c r="DE52" s="228">
        <v>36.01</v>
      </c>
      <c r="DF52" s="228">
        <v>-4.37</v>
      </c>
      <c r="DG52" s="228">
        <v>-0.01</v>
      </c>
      <c r="DH52" s="228">
        <v>32.020000000000003</v>
      </c>
      <c r="DI52" s="228">
        <v>32.81</v>
      </c>
      <c r="DJ52" s="228">
        <v>-0.79</v>
      </c>
      <c r="DK52" s="228">
        <v>-0.79</v>
      </c>
      <c r="DL52" s="228">
        <v>30.72</v>
      </c>
      <c r="DM52" s="228">
        <v>33.590000000000003</v>
      </c>
      <c r="DN52" s="228">
        <v>-2.87</v>
      </c>
      <c r="DO52" s="228">
        <v>-2.87</v>
      </c>
      <c r="DP52" s="228">
        <v>0.4</v>
      </c>
      <c r="DQ52" s="228">
        <v>0.56999999999999995</v>
      </c>
      <c r="DR52" s="228">
        <v>-0.17</v>
      </c>
      <c r="DS52" s="229">
        <v>-0.29820000000000002</v>
      </c>
      <c r="DT52" s="228">
        <v>320</v>
      </c>
      <c r="DU52" s="228">
        <v>280</v>
      </c>
      <c r="DV52" s="228">
        <v>0.48</v>
      </c>
      <c r="DW52" s="228">
        <v>0.44</v>
      </c>
      <c r="DX52" s="228">
        <v>0.04</v>
      </c>
      <c r="DY52" s="229">
        <v>9.0899999999999995E-2</v>
      </c>
      <c r="DZ52" s="229">
        <v>0.97140000000000004</v>
      </c>
      <c r="EA52" s="230">
        <v>49675900</v>
      </c>
      <c r="EB52" s="229">
        <v>7.3000000000000001E-3</v>
      </c>
      <c r="EC52" s="229">
        <v>0.97140000000000004</v>
      </c>
      <c r="ED52" s="228">
        <v>2.13</v>
      </c>
      <c r="EE52" s="229">
        <v>7.4000000000000003E-3</v>
      </c>
      <c r="EF52" s="230">
        <v>460672</v>
      </c>
      <c r="EG52" s="230">
        <v>620855</v>
      </c>
      <c r="EH52" s="229">
        <v>-0.25800000000000001</v>
      </c>
      <c r="EI52" s="229">
        <v>0.28620000000000001</v>
      </c>
      <c r="EJ52" s="231">
        <v>33466.49</v>
      </c>
      <c r="EK52" s="231">
        <v>15508.9</v>
      </c>
      <c r="EL52" s="231">
        <v>54240.14</v>
      </c>
      <c r="EM52" s="231">
        <v>13465</v>
      </c>
      <c r="EN52" s="231">
        <v>103215.53</v>
      </c>
      <c r="EO52" s="231">
        <v>148110.31</v>
      </c>
      <c r="EP52" s="231">
        <v>-44894.78</v>
      </c>
      <c r="EQ52" s="229">
        <v>-0.30309999999999998</v>
      </c>
      <c r="ER52" s="231">
        <v>16129</v>
      </c>
      <c r="ES52" s="231">
        <v>5765</v>
      </c>
      <c r="ET52" s="231">
        <v>156418</v>
      </c>
      <c r="EU52" s="231">
        <v>96587231</v>
      </c>
      <c r="EV52" s="231">
        <v>178312</v>
      </c>
      <c r="EW52" s="231">
        <v>252492</v>
      </c>
      <c r="EX52" s="231">
        <v>-74180</v>
      </c>
      <c r="EY52" s="229">
        <v>-0.29380000000000001</v>
      </c>
      <c r="EZ52" s="229">
        <v>0.63229999999999997</v>
      </c>
      <c r="FA52" s="227" t="s">
        <v>567</v>
      </c>
      <c r="FB52" s="161">
        <f t="shared" si="0"/>
        <v>52250700</v>
      </c>
    </row>
    <row r="53" spans="1:158" ht="17.25" thickBot="1" x14ac:dyDescent="0.3">
      <c r="A53" s="226">
        <v>46168</v>
      </c>
      <c r="B53" s="227" t="s">
        <v>184</v>
      </c>
      <c r="C53" s="227" t="s">
        <v>203</v>
      </c>
      <c r="D53" s="228">
        <v>200</v>
      </c>
      <c r="E53" s="231">
        <v>5462</v>
      </c>
      <c r="F53" s="231">
        <v>5413.5</v>
      </c>
      <c r="G53" s="228">
        <v>48.5</v>
      </c>
      <c r="H53" s="229">
        <v>8.9999999999999993E-3</v>
      </c>
      <c r="I53" s="231">
        <v>5418.5</v>
      </c>
      <c r="J53" s="231">
        <v>5382</v>
      </c>
      <c r="K53" s="228">
        <v>36.5</v>
      </c>
      <c r="L53" s="229">
        <v>6.7999999999999996E-3</v>
      </c>
      <c r="M53" s="231">
        <v>5427</v>
      </c>
      <c r="N53" s="231">
        <v>5383</v>
      </c>
      <c r="O53" s="228">
        <v>44</v>
      </c>
      <c r="P53" s="229">
        <v>8.2000000000000007E-3</v>
      </c>
      <c r="Q53" s="231">
        <v>5462</v>
      </c>
      <c r="R53" s="231">
        <v>5413.5</v>
      </c>
      <c r="S53" s="228">
        <v>48.5</v>
      </c>
      <c r="T53" s="229">
        <v>8.9999999999999993E-3</v>
      </c>
      <c r="U53" s="231">
        <v>5449</v>
      </c>
      <c r="V53" s="231">
        <v>5411.5</v>
      </c>
      <c r="W53" s="228">
        <v>37.5</v>
      </c>
      <c r="X53" s="229">
        <v>6.8999999999999999E-3</v>
      </c>
      <c r="Y53" s="228">
        <v>43.5</v>
      </c>
      <c r="Z53" s="228">
        <v>1</v>
      </c>
      <c r="AA53" s="228">
        <v>42.5</v>
      </c>
      <c r="AB53" s="229">
        <v>8.0000000000000002E-3</v>
      </c>
      <c r="AC53" s="228">
        <v>8.5</v>
      </c>
      <c r="AD53" s="228">
        <v>1</v>
      </c>
      <c r="AE53" s="228">
        <v>7.5</v>
      </c>
      <c r="AF53" s="229">
        <v>1.6000000000000001E-3</v>
      </c>
      <c r="AG53" s="228">
        <v>43.5</v>
      </c>
      <c r="AH53" s="228">
        <v>31.5</v>
      </c>
      <c r="AI53" s="228">
        <v>12</v>
      </c>
      <c r="AJ53" s="229">
        <v>8.0000000000000002E-3</v>
      </c>
      <c r="AK53" s="228">
        <v>30.5</v>
      </c>
      <c r="AL53" s="228">
        <v>29.5</v>
      </c>
      <c r="AM53" s="228">
        <v>1</v>
      </c>
      <c r="AN53" s="229">
        <v>5.5999999999999999E-3</v>
      </c>
      <c r="AO53" s="231">
        <v>5406.1</v>
      </c>
      <c r="AP53" s="231">
        <v>5443.56</v>
      </c>
      <c r="AQ53" s="228">
        <v>0</v>
      </c>
      <c r="AR53" s="230">
        <v>1278800</v>
      </c>
      <c r="AS53" s="230">
        <v>2216400</v>
      </c>
      <c r="AT53" s="230">
        <v>-937600</v>
      </c>
      <c r="AU53" s="229">
        <v>-0.42299999999999999</v>
      </c>
      <c r="AV53" s="230">
        <v>536200</v>
      </c>
      <c r="AW53" s="230">
        <v>1097800</v>
      </c>
      <c r="AX53" s="230">
        <v>-561600</v>
      </c>
      <c r="AY53" s="229">
        <v>-0.51160000000000005</v>
      </c>
      <c r="AZ53" s="230">
        <v>738200</v>
      </c>
      <c r="BA53" s="230">
        <v>1113000</v>
      </c>
      <c r="BB53" s="230">
        <v>-374800</v>
      </c>
      <c r="BC53" s="229">
        <v>-0.3367</v>
      </c>
      <c r="BD53" s="230">
        <v>4400</v>
      </c>
      <c r="BE53" s="230">
        <v>5600</v>
      </c>
      <c r="BF53" s="230">
        <v>-1200</v>
      </c>
      <c r="BG53" s="229">
        <v>-0.21429999999999999</v>
      </c>
      <c r="BH53" s="230">
        <v>1373400</v>
      </c>
      <c r="BI53" s="230">
        <v>1464600</v>
      </c>
      <c r="BJ53" s="230">
        <v>-91200</v>
      </c>
      <c r="BK53" s="229">
        <v>-6.2300000000000001E-2</v>
      </c>
      <c r="BL53" s="230">
        <v>909800</v>
      </c>
      <c r="BM53" s="230">
        <v>846000</v>
      </c>
      <c r="BN53" s="230">
        <v>63800</v>
      </c>
      <c r="BO53" s="229">
        <v>7.5399999999999995E-2</v>
      </c>
      <c r="BP53" s="230">
        <v>3562000</v>
      </c>
      <c r="BQ53" s="230">
        <v>4527000</v>
      </c>
      <c r="BR53" s="230">
        <v>-965000</v>
      </c>
      <c r="BS53" s="229">
        <v>-0.2132</v>
      </c>
      <c r="BT53" s="230">
        <v>311746</v>
      </c>
      <c r="BU53" s="230">
        <v>295390</v>
      </c>
      <c r="BV53" s="230">
        <v>16356</v>
      </c>
      <c r="BW53" s="229">
        <v>5.5399999999999998E-2</v>
      </c>
      <c r="BX53" s="230">
        <v>3356000</v>
      </c>
      <c r="BY53" s="230">
        <v>3656600</v>
      </c>
      <c r="BZ53" s="230">
        <v>-300600</v>
      </c>
      <c r="CA53" s="229">
        <v>-8.2199999999999995E-2</v>
      </c>
      <c r="CB53" s="230">
        <v>300000</v>
      </c>
      <c r="CC53" s="230">
        <v>643200</v>
      </c>
      <c r="CD53" s="230">
        <v>-343200</v>
      </c>
      <c r="CE53" s="229">
        <v>-0.53359999999999996</v>
      </c>
      <c r="CF53" s="230">
        <v>3345600</v>
      </c>
      <c r="CG53" s="230">
        <v>3004000</v>
      </c>
      <c r="CH53" s="230">
        <v>341600</v>
      </c>
      <c r="CI53" s="229">
        <v>0.1137</v>
      </c>
      <c r="CJ53" s="230">
        <v>10400</v>
      </c>
      <c r="CK53" s="230">
        <v>9400</v>
      </c>
      <c r="CL53" s="230">
        <v>1000</v>
      </c>
      <c r="CM53" s="229">
        <v>0.10639999999999999</v>
      </c>
      <c r="CN53" s="230">
        <v>347600</v>
      </c>
      <c r="CO53" s="230">
        <v>850400</v>
      </c>
      <c r="CP53" s="230">
        <v>-502800</v>
      </c>
      <c r="CQ53" s="229">
        <v>-0.59130000000000005</v>
      </c>
      <c r="CR53" s="230">
        <v>294400</v>
      </c>
      <c r="CS53" s="230">
        <v>659200</v>
      </c>
      <c r="CT53" s="230">
        <v>-364800</v>
      </c>
      <c r="CU53" s="229">
        <v>-0.5534</v>
      </c>
      <c r="CV53" s="230">
        <v>3998000</v>
      </c>
      <c r="CW53" s="230">
        <v>5166200</v>
      </c>
      <c r="CX53" s="230">
        <v>-1168200</v>
      </c>
      <c r="CY53" s="229">
        <v>-0.2261</v>
      </c>
      <c r="CZ53" s="228">
        <v>32.58</v>
      </c>
      <c r="DA53" s="228">
        <v>33.229999999999997</v>
      </c>
      <c r="DB53" s="228">
        <v>-0.65</v>
      </c>
      <c r="DC53" s="228">
        <v>-0.65</v>
      </c>
      <c r="DD53" s="228">
        <v>35.1</v>
      </c>
      <c r="DE53" s="228">
        <v>35.18</v>
      </c>
      <c r="DF53" s="228">
        <v>-2.52</v>
      </c>
      <c r="DG53" s="228">
        <v>-0.08</v>
      </c>
      <c r="DH53" s="228">
        <v>33.03</v>
      </c>
      <c r="DI53" s="228">
        <v>33.06</v>
      </c>
      <c r="DJ53" s="228">
        <v>-0.03</v>
      </c>
      <c r="DK53" s="228">
        <v>-0.03</v>
      </c>
      <c r="DL53" s="228">
        <v>31.87</v>
      </c>
      <c r="DM53" s="228">
        <v>33.450000000000003</v>
      </c>
      <c r="DN53" s="228">
        <v>-1.58</v>
      </c>
      <c r="DO53" s="228">
        <v>-1.58</v>
      </c>
      <c r="DP53" s="228">
        <v>0.85</v>
      </c>
      <c r="DQ53" s="228">
        <v>0.78</v>
      </c>
      <c r="DR53" s="228">
        <v>7.0000000000000007E-2</v>
      </c>
      <c r="DS53" s="229">
        <v>8.9700000000000002E-2</v>
      </c>
      <c r="DT53" s="231">
        <v>6000</v>
      </c>
      <c r="DU53" s="231">
        <v>5200</v>
      </c>
      <c r="DV53" s="228">
        <v>0.66</v>
      </c>
      <c r="DW53" s="228">
        <v>0.57999999999999996</v>
      </c>
      <c r="DX53" s="228">
        <v>0.08</v>
      </c>
      <c r="DY53" s="229">
        <v>0.13789999999999999</v>
      </c>
      <c r="DZ53" s="229">
        <v>0.91790000000000005</v>
      </c>
      <c r="EA53" s="230">
        <v>3013400</v>
      </c>
      <c r="EB53" s="229">
        <v>6.4000000000000003E-3</v>
      </c>
      <c r="EC53" s="229">
        <v>0.91790000000000005</v>
      </c>
      <c r="ED53" s="228">
        <v>37.46</v>
      </c>
      <c r="EE53" s="229">
        <v>6.8999999999999999E-3</v>
      </c>
      <c r="EF53" s="230">
        <v>144223</v>
      </c>
      <c r="EG53" s="230">
        <v>166602</v>
      </c>
      <c r="EH53" s="229">
        <v>-0.1343</v>
      </c>
      <c r="EI53" s="229">
        <v>0.46260000000000001</v>
      </c>
      <c r="EJ53" s="231">
        <v>77495.28</v>
      </c>
      <c r="EK53" s="231">
        <v>48041.36</v>
      </c>
      <c r="EL53" s="231">
        <v>69410.83</v>
      </c>
      <c r="EM53" s="231">
        <v>8164</v>
      </c>
      <c r="EN53" s="231">
        <v>194947.47</v>
      </c>
      <c r="EO53" s="231">
        <v>244997.96</v>
      </c>
      <c r="EP53" s="231">
        <v>-50050.49</v>
      </c>
      <c r="EQ53" s="229">
        <v>-0.20430000000000001</v>
      </c>
      <c r="ER53" s="231">
        <v>19748</v>
      </c>
      <c r="ES53" s="231">
        <v>15036</v>
      </c>
      <c r="ET53" s="231">
        <v>183303</v>
      </c>
      <c r="EU53" s="231">
        <v>20374200</v>
      </c>
      <c r="EV53" s="231">
        <v>218087</v>
      </c>
      <c r="EW53" s="231">
        <v>278571</v>
      </c>
      <c r="EX53" s="231">
        <v>-60484</v>
      </c>
      <c r="EY53" s="229">
        <v>-0.21709999999999999</v>
      </c>
      <c r="EZ53" s="229">
        <v>0.19620000000000001</v>
      </c>
      <c r="FA53" s="227" t="s">
        <v>691</v>
      </c>
      <c r="FB53" s="161">
        <f t="shared" si="0"/>
        <v>3056000</v>
      </c>
    </row>
    <row r="54" spans="1:158" ht="17.25" thickBot="1" x14ac:dyDescent="0.3">
      <c r="A54" s="226">
        <v>46168</v>
      </c>
      <c r="B54" s="227" t="s">
        <v>168</v>
      </c>
      <c r="C54" s="227" t="s">
        <v>204</v>
      </c>
      <c r="D54" s="228">
        <v>1250</v>
      </c>
      <c r="E54" s="228">
        <v>450.55</v>
      </c>
      <c r="F54" s="228">
        <v>450</v>
      </c>
      <c r="G54" s="228">
        <v>0.55000000000000004</v>
      </c>
      <c r="H54" s="229">
        <v>1.1999999999999999E-3</v>
      </c>
      <c r="I54" s="228">
        <v>447.6</v>
      </c>
      <c r="J54" s="228">
        <v>447.2</v>
      </c>
      <c r="K54" s="228">
        <v>0.4</v>
      </c>
      <c r="L54" s="229">
        <v>8.9999999999999998E-4</v>
      </c>
      <c r="M54" s="228">
        <v>446.95</v>
      </c>
      <c r="N54" s="228">
        <v>447.1</v>
      </c>
      <c r="O54" s="228">
        <v>-0.15</v>
      </c>
      <c r="P54" s="229">
        <v>-2.9999999999999997E-4</v>
      </c>
      <c r="Q54" s="228">
        <v>450.55</v>
      </c>
      <c r="R54" s="228">
        <v>450</v>
      </c>
      <c r="S54" s="228">
        <v>0.55000000000000004</v>
      </c>
      <c r="T54" s="229">
        <v>1.1999999999999999E-3</v>
      </c>
      <c r="U54" s="228">
        <v>448.8</v>
      </c>
      <c r="V54" s="228">
        <v>447.5</v>
      </c>
      <c r="W54" s="228">
        <v>1.3</v>
      </c>
      <c r="X54" s="229">
        <v>2.8999999999999998E-3</v>
      </c>
      <c r="Y54" s="228">
        <v>2.95</v>
      </c>
      <c r="Z54" s="228">
        <v>-0.1</v>
      </c>
      <c r="AA54" s="228">
        <v>3.05</v>
      </c>
      <c r="AB54" s="229">
        <v>6.6E-3</v>
      </c>
      <c r="AC54" s="228">
        <v>-0.65</v>
      </c>
      <c r="AD54" s="228">
        <v>-0.1</v>
      </c>
      <c r="AE54" s="228">
        <v>-0.55000000000000004</v>
      </c>
      <c r="AF54" s="229">
        <v>-1.5E-3</v>
      </c>
      <c r="AG54" s="228">
        <v>2.95</v>
      </c>
      <c r="AH54" s="228">
        <v>2.8</v>
      </c>
      <c r="AI54" s="228">
        <v>0.15</v>
      </c>
      <c r="AJ54" s="229">
        <v>6.6E-3</v>
      </c>
      <c r="AK54" s="228">
        <v>1.2</v>
      </c>
      <c r="AL54" s="228">
        <v>0.3</v>
      </c>
      <c r="AM54" s="228">
        <v>0.9</v>
      </c>
      <c r="AN54" s="229">
        <v>2.7000000000000001E-3</v>
      </c>
      <c r="AO54" s="228">
        <v>446.43</v>
      </c>
      <c r="AP54" s="228">
        <v>449.66</v>
      </c>
      <c r="AQ54" s="228">
        <v>0</v>
      </c>
      <c r="AR54" s="230">
        <v>7285000</v>
      </c>
      <c r="AS54" s="230">
        <v>14976250</v>
      </c>
      <c r="AT54" s="230">
        <v>-7691250</v>
      </c>
      <c r="AU54" s="229">
        <v>-0.51359999999999995</v>
      </c>
      <c r="AV54" s="230">
        <v>2883750</v>
      </c>
      <c r="AW54" s="230">
        <v>6661250</v>
      </c>
      <c r="AX54" s="230">
        <v>-3777500</v>
      </c>
      <c r="AY54" s="229">
        <v>-0.56710000000000005</v>
      </c>
      <c r="AZ54" s="230">
        <v>4183750</v>
      </c>
      <c r="BA54" s="230">
        <v>8120000</v>
      </c>
      <c r="BB54" s="230">
        <v>-3936250</v>
      </c>
      <c r="BC54" s="229">
        <v>-0.48480000000000001</v>
      </c>
      <c r="BD54" s="230">
        <v>217500</v>
      </c>
      <c r="BE54" s="230">
        <v>195000</v>
      </c>
      <c r="BF54" s="230">
        <v>22500</v>
      </c>
      <c r="BG54" s="229">
        <v>0.1154</v>
      </c>
      <c r="BH54" s="230">
        <v>4606250</v>
      </c>
      <c r="BI54" s="230">
        <v>7987500</v>
      </c>
      <c r="BJ54" s="230">
        <v>-3381250</v>
      </c>
      <c r="BK54" s="229">
        <v>-0.42330000000000001</v>
      </c>
      <c r="BL54" s="230">
        <v>3653750</v>
      </c>
      <c r="BM54" s="230">
        <v>3607500</v>
      </c>
      <c r="BN54" s="230">
        <v>46250</v>
      </c>
      <c r="BO54" s="229">
        <v>1.2800000000000001E-2</v>
      </c>
      <c r="BP54" s="230">
        <v>15545000</v>
      </c>
      <c r="BQ54" s="230">
        <v>26571250</v>
      </c>
      <c r="BR54" s="230">
        <v>-11026250</v>
      </c>
      <c r="BS54" s="229">
        <v>-0.41499999999999998</v>
      </c>
      <c r="BT54" s="230">
        <v>1215519</v>
      </c>
      <c r="BU54" s="230">
        <v>944564</v>
      </c>
      <c r="BV54" s="230">
        <v>270955</v>
      </c>
      <c r="BW54" s="229">
        <v>0.28689999999999999</v>
      </c>
      <c r="BX54" s="230">
        <v>22542500</v>
      </c>
      <c r="BY54" s="230">
        <v>23176250</v>
      </c>
      <c r="BZ54" s="230">
        <v>-633750</v>
      </c>
      <c r="CA54" s="229">
        <v>-2.7300000000000001E-2</v>
      </c>
      <c r="CB54" s="230">
        <v>797500</v>
      </c>
      <c r="CC54" s="230">
        <v>2557500</v>
      </c>
      <c r="CD54" s="230">
        <v>-1760000</v>
      </c>
      <c r="CE54" s="229">
        <v>-0.68820000000000003</v>
      </c>
      <c r="CF54" s="230">
        <v>20415000</v>
      </c>
      <c r="CG54" s="230">
        <v>18650000</v>
      </c>
      <c r="CH54" s="230">
        <v>1765000</v>
      </c>
      <c r="CI54" s="229">
        <v>9.4600000000000004E-2</v>
      </c>
      <c r="CJ54" s="230">
        <v>2127500</v>
      </c>
      <c r="CK54" s="230">
        <v>1968750</v>
      </c>
      <c r="CL54" s="230">
        <v>158750</v>
      </c>
      <c r="CM54" s="229">
        <v>8.0600000000000005E-2</v>
      </c>
      <c r="CN54" s="230">
        <v>3381250</v>
      </c>
      <c r="CO54" s="230">
        <v>12217500</v>
      </c>
      <c r="CP54" s="230">
        <v>-8836250</v>
      </c>
      <c r="CQ54" s="229">
        <v>-0.72319999999999995</v>
      </c>
      <c r="CR54" s="230">
        <v>2510000</v>
      </c>
      <c r="CS54" s="230">
        <v>8265000</v>
      </c>
      <c r="CT54" s="230">
        <v>-5755000</v>
      </c>
      <c r="CU54" s="229">
        <v>-0.69630000000000003</v>
      </c>
      <c r="CV54" s="230">
        <v>28433750</v>
      </c>
      <c r="CW54" s="230">
        <v>43658750</v>
      </c>
      <c r="CX54" s="230">
        <v>-15225000</v>
      </c>
      <c r="CY54" s="229">
        <v>-0.34870000000000001</v>
      </c>
      <c r="CZ54" s="228">
        <v>23.52</v>
      </c>
      <c r="DA54" s="228">
        <v>24.57</v>
      </c>
      <c r="DB54" s="228">
        <v>-1.05</v>
      </c>
      <c r="DC54" s="228">
        <v>-1.05</v>
      </c>
      <c r="DD54" s="228">
        <v>27.88</v>
      </c>
      <c r="DE54" s="228">
        <v>27.95</v>
      </c>
      <c r="DF54" s="228">
        <v>-4.3600000000000003</v>
      </c>
      <c r="DG54" s="228">
        <v>-7.0000000000000007E-2</v>
      </c>
      <c r="DH54" s="228">
        <v>23.88</v>
      </c>
      <c r="DI54" s="228">
        <v>24.95</v>
      </c>
      <c r="DJ54" s="228">
        <v>-1.07</v>
      </c>
      <c r="DK54" s="228">
        <v>-1.07</v>
      </c>
      <c r="DL54" s="228">
        <v>23.02</v>
      </c>
      <c r="DM54" s="228">
        <v>23.83</v>
      </c>
      <c r="DN54" s="228">
        <v>-0.81</v>
      </c>
      <c r="DO54" s="228">
        <v>-0.81</v>
      </c>
      <c r="DP54" s="228">
        <v>0.74</v>
      </c>
      <c r="DQ54" s="228">
        <v>0.68</v>
      </c>
      <c r="DR54" s="228">
        <v>0.06</v>
      </c>
      <c r="DS54" s="229">
        <v>8.8200000000000001E-2</v>
      </c>
      <c r="DT54" s="228">
        <v>500</v>
      </c>
      <c r="DU54" s="228">
        <v>435</v>
      </c>
      <c r="DV54" s="228">
        <v>0.79</v>
      </c>
      <c r="DW54" s="228">
        <v>0.45</v>
      </c>
      <c r="DX54" s="228">
        <v>0.34</v>
      </c>
      <c r="DY54" s="229">
        <v>0.75560000000000005</v>
      </c>
      <c r="DZ54" s="229">
        <v>0.96579999999999999</v>
      </c>
      <c r="EA54" s="230">
        <v>20618750</v>
      </c>
      <c r="EB54" s="229">
        <v>8.0999999999999996E-3</v>
      </c>
      <c r="EC54" s="229">
        <v>0.96579999999999999</v>
      </c>
      <c r="ED54" s="228">
        <v>3.23</v>
      </c>
      <c r="EE54" s="229">
        <v>7.1999999999999998E-3</v>
      </c>
      <c r="EF54" s="230">
        <v>646130</v>
      </c>
      <c r="EG54" s="230">
        <v>399880</v>
      </c>
      <c r="EH54" s="229">
        <v>0.61580000000000001</v>
      </c>
      <c r="EI54" s="229">
        <v>0.53159999999999996</v>
      </c>
      <c r="EJ54" s="231">
        <v>21695.64</v>
      </c>
      <c r="EK54" s="231">
        <v>16718.09</v>
      </c>
      <c r="EL54" s="231">
        <v>32659.06</v>
      </c>
      <c r="EM54" s="231">
        <v>8545</v>
      </c>
      <c r="EN54" s="231">
        <v>71072.789999999994</v>
      </c>
      <c r="EO54" s="231">
        <v>121924.14</v>
      </c>
      <c r="EP54" s="231">
        <v>-50851.35</v>
      </c>
      <c r="EQ54" s="229">
        <v>-0.41710000000000003</v>
      </c>
      <c r="ER54" s="231">
        <v>16145</v>
      </c>
      <c r="ES54" s="231">
        <v>11157</v>
      </c>
      <c r="ET54" s="231">
        <v>101528</v>
      </c>
      <c r="EU54" s="231">
        <v>76827821</v>
      </c>
      <c r="EV54" s="231">
        <v>128830</v>
      </c>
      <c r="EW54" s="231">
        <v>200398</v>
      </c>
      <c r="EX54" s="231">
        <v>-71568</v>
      </c>
      <c r="EY54" s="229">
        <v>-0.35709999999999997</v>
      </c>
      <c r="EZ54" s="229">
        <v>0.37009999999999998</v>
      </c>
      <c r="FA54" s="227" t="s">
        <v>691</v>
      </c>
      <c r="FB54" s="161">
        <f t="shared" si="0"/>
        <v>21745000</v>
      </c>
    </row>
    <row r="55" spans="1:158" ht="17.25" thickBot="1" x14ac:dyDescent="0.3">
      <c r="A55" s="226">
        <v>46168</v>
      </c>
      <c r="B55" s="227" t="s">
        <v>157</v>
      </c>
      <c r="C55" s="227" t="s">
        <v>524</v>
      </c>
      <c r="D55" s="228">
        <v>325</v>
      </c>
      <c r="E55" s="231">
        <v>1794.3</v>
      </c>
      <c r="F55" s="231">
        <v>1832</v>
      </c>
      <c r="G55" s="228">
        <v>-37.700000000000003</v>
      </c>
      <c r="H55" s="229">
        <v>-2.06E-2</v>
      </c>
      <c r="I55" s="231">
        <v>1785.6</v>
      </c>
      <c r="J55" s="231">
        <v>1822.6</v>
      </c>
      <c r="K55" s="228">
        <v>-37</v>
      </c>
      <c r="L55" s="229">
        <v>-2.0299999999999999E-2</v>
      </c>
      <c r="M55" s="231">
        <v>1788</v>
      </c>
      <c r="N55" s="231">
        <v>1827.5</v>
      </c>
      <c r="O55" s="228">
        <v>-39.5</v>
      </c>
      <c r="P55" s="229">
        <v>-2.1600000000000001E-2</v>
      </c>
      <c r="Q55" s="231">
        <v>1794.3</v>
      </c>
      <c r="R55" s="231">
        <v>1832</v>
      </c>
      <c r="S55" s="228">
        <v>-37.700000000000003</v>
      </c>
      <c r="T55" s="229">
        <v>-2.06E-2</v>
      </c>
      <c r="U55" s="231">
        <v>1806.7</v>
      </c>
      <c r="V55" s="231">
        <v>1840.5</v>
      </c>
      <c r="W55" s="228">
        <v>-33.799999999999997</v>
      </c>
      <c r="X55" s="229">
        <v>-1.84E-2</v>
      </c>
      <c r="Y55" s="228">
        <v>8.6999999999999993</v>
      </c>
      <c r="Z55" s="228">
        <v>4.9000000000000004</v>
      </c>
      <c r="AA55" s="228">
        <v>3.8</v>
      </c>
      <c r="AB55" s="229">
        <v>4.8999999999999998E-3</v>
      </c>
      <c r="AC55" s="228">
        <v>2.4</v>
      </c>
      <c r="AD55" s="228">
        <v>4.9000000000000004</v>
      </c>
      <c r="AE55" s="228">
        <v>-2.5</v>
      </c>
      <c r="AF55" s="229">
        <v>1.2999999999999999E-3</v>
      </c>
      <c r="AG55" s="228">
        <v>8.6999999999999993</v>
      </c>
      <c r="AH55" s="228">
        <v>9.4</v>
      </c>
      <c r="AI55" s="228">
        <v>-0.7</v>
      </c>
      <c r="AJ55" s="229">
        <v>4.8999999999999998E-3</v>
      </c>
      <c r="AK55" s="228">
        <v>21.1</v>
      </c>
      <c r="AL55" s="228">
        <v>17.899999999999999</v>
      </c>
      <c r="AM55" s="228">
        <v>3.2</v>
      </c>
      <c r="AN55" s="229">
        <v>1.18E-2</v>
      </c>
      <c r="AO55" s="231">
        <v>1803.24</v>
      </c>
      <c r="AP55" s="231">
        <v>1808.2</v>
      </c>
      <c r="AQ55" s="228">
        <v>0</v>
      </c>
      <c r="AR55" s="230">
        <v>1238250</v>
      </c>
      <c r="AS55" s="230">
        <v>3920150</v>
      </c>
      <c r="AT55" s="230">
        <v>-2681900</v>
      </c>
      <c r="AU55" s="229">
        <v>-0.68410000000000004</v>
      </c>
      <c r="AV55" s="230">
        <v>465725</v>
      </c>
      <c r="AW55" s="230">
        <v>1974700</v>
      </c>
      <c r="AX55" s="230">
        <v>-1508975</v>
      </c>
      <c r="AY55" s="229">
        <v>-0.76419999999999999</v>
      </c>
      <c r="AZ55" s="230">
        <v>768300</v>
      </c>
      <c r="BA55" s="230">
        <v>1929850</v>
      </c>
      <c r="BB55" s="230">
        <v>-1161550</v>
      </c>
      <c r="BC55" s="229">
        <v>-0.60189999999999999</v>
      </c>
      <c r="BD55" s="230">
        <v>4225</v>
      </c>
      <c r="BE55" s="230">
        <v>15600</v>
      </c>
      <c r="BF55" s="230">
        <v>-11375</v>
      </c>
      <c r="BG55" s="229">
        <v>-0.72919999999999996</v>
      </c>
      <c r="BH55" s="230">
        <v>1505075</v>
      </c>
      <c r="BI55" s="230">
        <v>3665025</v>
      </c>
      <c r="BJ55" s="230">
        <v>-2159950</v>
      </c>
      <c r="BK55" s="229">
        <v>-0.58930000000000005</v>
      </c>
      <c r="BL55" s="230">
        <v>765375</v>
      </c>
      <c r="BM55" s="230">
        <v>1704300</v>
      </c>
      <c r="BN55" s="230">
        <v>-938925</v>
      </c>
      <c r="BO55" s="229">
        <v>-0.55089999999999995</v>
      </c>
      <c r="BP55" s="230">
        <v>3508700</v>
      </c>
      <c r="BQ55" s="230">
        <v>9289475</v>
      </c>
      <c r="BR55" s="230">
        <v>-5780775</v>
      </c>
      <c r="BS55" s="229">
        <v>-0.62229999999999996</v>
      </c>
      <c r="BT55" s="230">
        <v>295359</v>
      </c>
      <c r="BU55" s="230">
        <v>346837</v>
      </c>
      <c r="BV55" s="230">
        <v>-51478</v>
      </c>
      <c r="BW55" s="229">
        <v>-0.1484</v>
      </c>
      <c r="BX55" s="230">
        <v>3524625</v>
      </c>
      <c r="BY55" s="230">
        <v>4199650</v>
      </c>
      <c r="BZ55" s="230">
        <v>-675025</v>
      </c>
      <c r="CA55" s="229">
        <v>-0.16070000000000001</v>
      </c>
      <c r="CB55" s="230">
        <v>702325</v>
      </c>
      <c r="CC55" s="230">
        <v>962650</v>
      </c>
      <c r="CD55" s="230">
        <v>-260325</v>
      </c>
      <c r="CE55" s="229">
        <v>-0.27039999999999997</v>
      </c>
      <c r="CF55" s="230">
        <v>3499275</v>
      </c>
      <c r="CG55" s="230">
        <v>3213600</v>
      </c>
      <c r="CH55" s="230">
        <v>285675</v>
      </c>
      <c r="CI55" s="229">
        <v>8.8900000000000007E-2</v>
      </c>
      <c r="CJ55" s="230">
        <v>25350</v>
      </c>
      <c r="CK55" s="230">
        <v>23400</v>
      </c>
      <c r="CL55" s="230">
        <v>1950</v>
      </c>
      <c r="CM55" s="229">
        <v>8.3299999999999999E-2</v>
      </c>
      <c r="CN55" s="230">
        <v>337675</v>
      </c>
      <c r="CO55" s="230">
        <v>1507350</v>
      </c>
      <c r="CP55" s="230">
        <v>-1169675</v>
      </c>
      <c r="CQ55" s="229">
        <v>-0.77600000000000002</v>
      </c>
      <c r="CR55" s="230">
        <v>402025</v>
      </c>
      <c r="CS55" s="230">
        <v>1225575</v>
      </c>
      <c r="CT55" s="230">
        <v>-823550</v>
      </c>
      <c r="CU55" s="229">
        <v>-0.67200000000000004</v>
      </c>
      <c r="CV55" s="230">
        <v>4264325</v>
      </c>
      <c r="CW55" s="230">
        <v>6932575</v>
      </c>
      <c r="CX55" s="230">
        <v>-2668250</v>
      </c>
      <c r="CY55" s="229">
        <v>-0.38490000000000002</v>
      </c>
      <c r="CZ55" s="228">
        <v>28.98</v>
      </c>
      <c r="DA55" s="228">
        <v>29.89</v>
      </c>
      <c r="DB55" s="228">
        <v>-0.91</v>
      </c>
      <c r="DC55" s="228">
        <v>-0.91</v>
      </c>
      <c r="DD55" s="228">
        <v>35.29</v>
      </c>
      <c r="DE55" s="228">
        <v>35.270000000000003</v>
      </c>
      <c r="DF55" s="228">
        <v>-6.31</v>
      </c>
      <c r="DG55" s="228">
        <v>0.02</v>
      </c>
      <c r="DH55" s="228">
        <v>28.98</v>
      </c>
      <c r="DI55" s="228">
        <v>29.75</v>
      </c>
      <c r="DJ55" s="228">
        <v>-0.77</v>
      </c>
      <c r="DK55" s="228">
        <v>-0.77</v>
      </c>
      <c r="DL55" s="228">
        <v>28.98</v>
      </c>
      <c r="DM55" s="228">
        <v>30.14</v>
      </c>
      <c r="DN55" s="228">
        <v>-1.1599999999999999</v>
      </c>
      <c r="DO55" s="228">
        <v>-1.1599999999999999</v>
      </c>
      <c r="DP55" s="228">
        <v>1.19</v>
      </c>
      <c r="DQ55" s="228">
        <v>0.81</v>
      </c>
      <c r="DR55" s="228">
        <v>0.38</v>
      </c>
      <c r="DS55" s="229">
        <v>0.46910000000000002</v>
      </c>
      <c r="DT55" s="231">
        <v>2100</v>
      </c>
      <c r="DU55" s="231">
        <v>1740</v>
      </c>
      <c r="DV55" s="228">
        <v>0.51</v>
      </c>
      <c r="DW55" s="228">
        <v>0.47</v>
      </c>
      <c r="DX55" s="228">
        <v>0.04</v>
      </c>
      <c r="DY55" s="229">
        <v>8.5099999999999995E-2</v>
      </c>
      <c r="DZ55" s="229">
        <v>0.83379999999999999</v>
      </c>
      <c r="EA55" s="230">
        <v>3237000</v>
      </c>
      <c r="EB55" s="229">
        <v>3.5000000000000001E-3</v>
      </c>
      <c r="EC55" s="229">
        <v>0.83379999999999999</v>
      </c>
      <c r="ED55" s="228">
        <v>4.96</v>
      </c>
      <c r="EE55" s="229">
        <v>2.8E-3</v>
      </c>
      <c r="EF55" s="230">
        <v>99693</v>
      </c>
      <c r="EG55" s="230">
        <v>148858</v>
      </c>
      <c r="EH55" s="229">
        <v>-0.33029999999999998</v>
      </c>
      <c r="EI55" s="229">
        <v>0.33750000000000002</v>
      </c>
      <c r="EJ55" s="231">
        <v>27982.5</v>
      </c>
      <c r="EK55" s="231">
        <v>13700.92</v>
      </c>
      <c r="EL55" s="231">
        <v>22367.07</v>
      </c>
      <c r="EM55" s="231">
        <v>6781</v>
      </c>
      <c r="EN55" s="231">
        <v>64050.49</v>
      </c>
      <c r="EO55" s="231">
        <v>169649</v>
      </c>
      <c r="EP55" s="231">
        <v>-105598.51</v>
      </c>
      <c r="EQ55" s="229">
        <v>-0.62250000000000005</v>
      </c>
      <c r="ER55" s="231">
        <v>6263</v>
      </c>
      <c r="ES55" s="231">
        <v>6974</v>
      </c>
      <c r="ET55" s="231">
        <v>63245</v>
      </c>
      <c r="EU55" s="231">
        <v>12425160</v>
      </c>
      <c r="EV55" s="231">
        <v>76482</v>
      </c>
      <c r="EW55" s="231">
        <v>127383</v>
      </c>
      <c r="EX55" s="231">
        <v>-50901</v>
      </c>
      <c r="EY55" s="229">
        <v>-0.39960000000000001</v>
      </c>
      <c r="EZ55" s="229">
        <v>0.34320000000000001</v>
      </c>
      <c r="FA55" s="227" t="s">
        <v>567</v>
      </c>
      <c r="FB55" s="161">
        <f t="shared" si="0"/>
        <v>2822300</v>
      </c>
    </row>
    <row r="56" spans="1:158" ht="17.25" thickBot="1" x14ac:dyDescent="0.3">
      <c r="A56" s="226">
        <v>46168</v>
      </c>
      <c r="B56" s="227" t="s">
        <v>614</v>
      </c>
      <c r="C56" s="227" t="s">
        <v>599</v>
      </c>
      <c r="D56" s="228">
        <v>2075</v>
      </c>
      <c r="E56" s="228">
        <v>467.25</v>
      </c>
      <c r="F56" s="228">
        <v>458.75</v>
      </c>
      <c r="G56" s="228">
        <v>8.5</v>
      </c>
      <c r="H56" s="229">
        <v>1.8499999999999999E-2</v>
      </c>
      <c r="I56" s="228">
        <v>463.5</v>
      </c>
      <c r="J56" s="228">
        <v>455.45</v>
      </c>
      <c r="K56" s="228">
        <v>8.0500000000000007</v>
      </c>
      <c r="L56" s="229">
        <v>1.77E-2</v>
      </c>
      <c r="M56" s="228">
        <v>461.9</v>
      </c>
      <c r="N56" s="228">
        <v>455.5</v>
      </c>
      <c r="O56" s="228">
        <v>6.4</v>
      </c>
      <c r="P56" s="229">
        <v>1.41E-2</v>
      </c>
      <c r="Q56" s="228">
        <v>467.25</v>
      </c>
      <c r="R56" s="228">
        <v>458.75</v>
      </c>
      <c r="S56" s="228">
        <v>8.5</v>
      </c>
      <c r="T56" s="229">
        <v>1.8499999999999999E-2</v>
      </c>
      <c r="U56" s="228">
        <v>470.1</v>
      </c>
      <c r="V56" s="228">
        <v>461.85</v>
      </c>
      <c r="W56" s="228">
        <v>8.25</v>
      </c>
      <c r="X56" s="229">
        <v>1.7899999999999999E-2</v>
      </c>
      <c r="Y56" s="228">
        <v>3.75</v>
      </c>
      <c r="Z56" s="228">
        <v>0.05</v>
      </c>
      <c r="AA56" s="228">
        <v>3.7</v>
      </c>
      <c r="AB56" s="229">
        <v>8.0999999999999996E-3</v>
      </c>
      <c r="AC56" s="228">
        <v>-1.6</v>
      </c>
      <c r="AD56" s="228">
        <v>0.05</v>
      </c>
      <c r="AE56" s="228">
        <v>-1.65</v>
      </c>
      <c r="AF56" s="229">
        <v>-3.5000000000000001E-3</v>
      </c>
      <c r="AG56" s="228">
        <v>3.75</v>
      </c>
      <c r="AH56" s="228">
        <v>3.3</v>
      </c>
      <c r="AI56" s="228">
        <v>0.45</v>
      </c>
      <c r="AJ56" s="229">
        <v>8.0999999999999996E-3</v>
      </c>
      <c r="AK56" s="228">
        <v>6.6</v>
      </c>
      <c r="AL56" s="228">
        <v>6.4</v>
      </c>
      <c r="AM56" s="228">
        <v>0.2</v>
      </c>
      <c r="AN56" s="229">
        <v>1.4200000000000001E-2</v>
      </c>
      <c r="AO56" s="228">
        <v>458.94</v>
      </c>
      <c r="AP56" s="228">
        <v>463.09</v>
      </c>
      <c r="AQ56" s="228">
        <v>0</v>
      </c>
      <c r="AR56" s="230">
        <v>10785850</v>
      </c>
      <c r="AS56" s="230">
        <v>19866050</v>
      </c>
      <c r="AT56" s="230">
        <v>-9080200</v>
      </c>
      <c r="AU56" s="229">
        <v>-0.45710000000000001</v>
      </c>
      <c r="AV56" s="230">
        <v>4768350</v>
      </c>
      <c r="AW56" s="230">
        <v>9578200</v>
      </c>
      <c r="AX56" s="230">
        <v>-4809850</v>
      </c>
      <c r="AY56" s="229">
        <v>-0.50219999999999998</v>
      </c>
      <c r="AZ56" s="230">
        <v>5936575</v>
      </c>
      <c r="BA56" s="230">
        <v>10246350</v>
      </c>
      <c r="BB56" s="230">
        <v>-4309775</v>
      </c>
      <c r="BC56" s="229">
        <v>-0.42059999999999997</v>
      </c>
      <c r="BD56" s="230">
        <v>80925</v>
      </c>
      <c r="BE56" s="230">
        <v>41500</v>
      </c>
      <c r="BF56" s="230">
        <v>39425</v>
      </c>
      <c r="BG56" s="229">
        <v>0.95</v>
      </c>
      <c r="BH56" s="230">
        <v>8140225</v>
      </c>
      <c r="BI56" s="230">
        <v>11070125</v>
      </c>
      <c r="BJ56" s="230">
        <v>-2929900</v>
      </c>
      <c r="BK56" s="229">
        <v>-0.26469999999999999</v>
      </c>
      <c r="BL56" s="230">
        <v>3299250</v>
      </c>
      <c r="BM56" s="230">
        <v>4975850</v>
      </c>
      <c r="BN56" s="230">
        <v>-1676600</v>
      </c>
      <c r="BO56" s="229">
        <v>-0.33689999999999998</v>
      </c>
      <c r="BP56" s="230">
        <v>22225325</v>
      </c>
      <c r="BQ56" s="230">
        <v>35912025</v>
      </c>
      <c r="BR56" s="230">
        <v>-13686700</v>
      </c>
      <c r="BS56" s="229">
        <v>-0.38109999999999999</v>
      </c>
      <c r="BT56" s="230">
        <v>2727445</v>
      </c>
      <c r="BU56" s="230">
        <v>3532265</v>
      </c>
      <c r="BV56" s="230">
        <v>-804820</v>
      </c>
      <c r="BW56" s="229">
        <v>-0.2278</v>
      </c>
      <c r="BX56" s="230">
        <v>29149600</v>
      </c>
      <c r="BY56" s="230">
        <v>30506650</v>
      </c>
      <c r="BZ56" s="230">
        <v>-1357050</v>
      </c>
      <c r="CA56" s="229">
        <v>-4.4499999999999998E-2</v>
      </c>
      <c r="CB56" s="230">
        <v>1162000</v>
      </c>
      <c r="CC56" s="230">
        <v>3656150</v>
      </c>
      <c r="CD56" s="230">
        <v>-2494150</v>
      </c>
      <c r="CE56" s="229">
        <v>-0.68220000000000003</v>
      </c>
      <c r="CF56" s="230">
        <v>28946250</v>
      </c>
      <c r="CG56" s="230">
        <v>26692800</v>
      </c>
      <c r="CH56" s="230">
        <v>2253450</v>
      </c>
      <c r="CI56" s="229">
        <v>8.4400000000000003E-2</v>
      </c>
      <c r="CJ56" s="230">
        <v>203350</v>
      </c>
      <c r="CK56" s="230">
        <v>157700</v>
      </c>
      <c r="CL56" s="230">
        <v>45650</v>
      </c>
      <c r="CM56" s="229">
        <v>0.28949999999999998</v>
      </c>
      <c r="CN56" s="230">
        <v>3894775</v>
      </c>
      <c r="CO56" s="230">
        <v>11611700</v>
      </c>
      <c r="CP56" s="230">
        <v>-7716925</v>
      </c>
      <c r="CQ56" s="229">
        <v>-0.66459999999999997</v>
      </c>
      <c r="CR56" s="230">
        <v>1898625</v>
      </c>
      <c r="CS56" s="230">
        <v>4807775</v>
      </c>
      <c r="CT56" s="230">
        <v>-2909150</v>
      </c>
      <c r="CU56" s="229">
        <v>-0.60509999999999997</v>
      </c>
      <c r="CV56" s="230">
        <v>34943000</v>
      </c>
      <c r="CW56" s="230">
        <v>46926125</v>
      </c>
      <c r="CX56" s="230">
        <v>-11983125</v>
      </c>
      <c r="CY56" s="229">
        <v>-0.25540000000000002</v>
      </c>
      <c r="CZ56" s="228">
        <v>26.35</v>
      </c>
      <c r="DA56" s="228">
        <v>29.42</v>
      </c>
      <c r="DB56" s="228">
        <v>-3.07</v>
      </c>
      <c r="DC56" s="228">
        <v>-3.07</v>
      </c>
      <c r="DD56" s="228">
        <v>38.770000000000003</v>
      </c>
      <c r="DE56" s="228">
        <v>38.79</v>
      </c>
      <c r="DF56" s="228">
        <v>-12.42</v>
      </c>
      <c r="DG56" s="228">
        <v>-0.02</v>
      </c>
      <c r="DH56" s="228">
        <v>25.91</v>
      </c>
      <c r="DI56" s="228">
        <v>28.95</v>
      </c>
      <c r="DJ56" s="228">
        <v>-3.04</v>
      </c>
      <c r="DK56" s="228">
        <v>-3.04</v>
      </c>
      <c r="DL56" s="228">
        <v>27.3</v>
      </c>
      <c r="DM56" s="228">
        <v>30.22</v>
      </c>
      <c r="DN56" s="228">
        <v>-2.92</v>
      </c>
      <c r="DO56" s="228">
        <v>-2.92</v>
      </c>
      <c r="DP56" s="228">
        <v>0.49</v>
      </c>
      <c r="DQ56" s="228">
        <v>0.41</v>
      </c>
      <c r="DR56" s="228">
        <v>0.08</v>
      </c>
      <c r="DS56" s="229">
        <v>0.1951</v>
      </c>
      <c r="DT56" s="228">
        <v>500</v>
      </c>
      <c r="DU56" s="228">
        <v>460</v>
      </c>
      <c r="DV56" s="228">
        <v>0.41</v>
      </c>
      <c r="DW56" s="228">
        <v>0.45</v>
      </c>
      <c r="DX56" s="228">
        <v>-0.04</v>
      </c>
      <c r="DY56" s="229">
        <v>-8.8900000000000007E-2</v>
      </c>
      <c r="DZ56" s="229">
        <v>0.9617</v>
      </c>
      <c r="EA56" s="230">
        <v>26850500</v>
      </c>
      <c r="EB56" s="229">
        <v>1.1599999999999999E-2</v>
      </c>
      <c r="EC56" s="229">
        <v>0.9617</v>
      </c>
      <c r="ED56" s="228">
        <v>4.1500000000000004</v>
      </c>
      <c r="EE56" s="229">
        <v>8.9999999999999993E-3</v>
      </c>
      <c r="EF56" s="230">
        <v>1543986</v>
      </c>
      <c r="EG56" s="230">
        <v>2182181</v>
      </c>
      <c r="EH56" s="229">
        <v>-0.29249999999999998</v>
      </c>
      <c r="EI56" s="229">
        <v>0.56610000000000005</v>
      </c>
      <c r="EJ56" s="231">
        <v>38833.230000000003</v>
      </c>
      <c r="EK56" s="231">
        <v>15193.83</v>
      </c>
      <c r="EL56" s="231">
        <v>49752.86</v>
      </c>
      <c r="EM56" s="231">
        <v>6722</v>
      </c>
      <c r="EN56" s="231">
        <v>103779.92</v>
      </c>
      <c r="EO56" s="231">
        <v>165737.07</v>
      </c>
      <c r="EP56" s="231">
        <v>-61957.15</v>
      </c>
      <c r="EQ56" s="229">
        <v>-0.37380000000000002</v>
      </c>
      <c r="ER56" s="231">
        <v>18950</v>
      </c>
      <c r="ES56" s="231">
        <v>8497</v>
      </c>
      <c r="ET56" s="231">
        <v>136207</v>
      </c>
      <c r="EU56" s="231">
        <v>83072620</v>
      </c>
      <c r="EV56" s="231">
        <v>163655</v>
      </c>
      <c r="EW56" s="231">
        <v>217929</v>
      </c>
      <c r="EX56" s="231">
        <v>-54274</v>
      </c>
      <c r="EY56" s="229">
        <v>-0.249</v>
      </c>
      <c r="EZ56" s="229">
        <v>0.42059999999999997</v>
      </c>
      <c r="FA56" s="227" t="s">
        <v>691</v>
      </c>
      <c r="FB56" s="161">
        <f t="shared" si="0"/>
        <v>27987600</v>
      </c>
    </row>
    <row r="57" spans="1:158" ht="17.25" thickBot="1" x14ac:dyDescent="0.3">
      <c r="A57" s="226">
        <v>46168</v>
      </c>
      <c r="B57" s="227" t="s">
        <v>170</v>
      </c>
      <c r="C57" s="227" t="s">
        <v>205</v>
      </c>
      <c r="D57" s="228">
        <v>100</v>
      </c>
      <c r="E57" s="231">
        <v>6800.5</v>
      </c>
      <c r="F57" s="231">
        <v>6815.5</v>
      </c>
      <c r="G57" s="228">
        <v>-15</v>
      </c>
      <c r="H57" s="229">
        <v>-2.2000000000000001E-3</v>
      </c>
      <c r="I57" s="231">
        <v>6753</v>
      </c>
      <c r="J57" s="231">
        <v>6756.5</v>
      </c>
      <c r="K57" s="228">
        <v>-3.5</v>
      </c>
      <c r="L57" s="229">
        <v>-5.0000000000000001E-4</v>
      </c>
      <c r="M57" s="231">
        <v>6771.5</v>
      </c>
      <c r="N57" s="231">
        <v>6784</v>
      </c>
      <c r="O57" s="228">
        <v>-12.5</v>
      </c>
      <c r="P57" s="229">
        <v>-1.8E-3</v>
      </c>
      <c r="Q57" s="231">
        <v>6800.5</v>
      </c>
      <c r="R57" s="231">
        <v>6815.5</v>
      </c>
      <c r="S57" s="228">
        <v>-15</v>
      </c>
      <c r="T57" s="229">
        <v>-2.2000000000000001E-3</v>
      </c>
      <c r="U57" s="231">
        <v>6805.5</v>
      </c>
      <c r="V57" s="231">
        <v>6825</v>
      </c>
      <c r="W57" s="228">
        <v>-19.5</v>
      </c>
      <c r="X57" s="229">
        <v>-2.8999999999999998E-3</v>
      </c>
      <c r="Y57" s="228">
        <v>47.5</v>
      </c>
      <c r="Z57" s="228">
        <v>27.5</v>
      </c>
      <c r="AA57" s="228">
        <v>20</v>
      </c>
      <c r="AB57" s="229">
        <v>7.0000000000000001E-3</v>
      </c>
      <c r="AC57" s="228">
        <v>18.5</v>
      </c>
      <c r="AD57" s="228">
        <v>27.5</v>
      </c>
      <c r="AE57" s="228">
        <v>-9</v>
      </c>
      <c r="AF57" s="229">
        <v>2.7000000000000001E-3</v>
      </c>
      <c r="AG57" s="228">
        <v>47.5</v>
      </c>
      <c r="AH57" s="228">
        <v>59</v>
      </c>
      <c r="AI57" s="228">
        <v>-11.5</v>
      </c>
      <c r="AJ57" s="229">
        <v>7.0000000000000001E-3</v>
      </c>
      <c r="AK57" s="228">
        <v>52.5</v>
      </c>
      <c r="AL57" s="228">
        <v>68.5</v>
      </c>
      <c r="AM57" s="228">
        <v>-16</v>
      </c>
      <c r="AN57" s="229">
        <v>7.7999999999999996E-3</v>
      </c>
      <c r="AO57" s="231">
        <v>6734.19</v>
      </c>
      <c r="AP57" s="231">
        <v>6766.83</v>
      </c>
      <c r="AQ57" s="228">
        <v>0</v>
      </c>
      <c r="AR57" s="230">
        <v>722500</v>
      </c>
      <c r="AS57" s="230">
        <v>2662800</v>
      </c>
      <c r="AT57" s="230">
        <v>-1940300</v>
      </c>
      <c r="AU57" s="229">
        <v>-0.72870000000000001</v>
      </c>
      <c r="AV57" s="230">
        <v>267700</v>
      </c>
      <c r="AW57" s="230">
        <v>1142100</v>
      </c>
      <c r="AX57" s="230">
        <v>-874400</v>
      </c>
      <c r="AY57" s="229">
        <v>-0.76559999999999995</v>
      </c>
      <c r="AZ57" s="230">
        <v>447500</v>
      </c>
      <c r="BA57" s="230">
        <v>1504700</v>
      </c>
      <c r="BB57" s="230">
        <v>-1057200</v>
      </c>
      <c r="BC57" s="229">
        <v>-0.7026</v>
      </c>
      <c r="BD57" s="230">
        <v>7300</v>
      </c>
      <c r="BE57" s="230">
        <v>16000</v>
      </c>
      <c r="BF57" s="230">
        <v>-8700</v>
      </c>
      <c r="BG57" s="229">
        <v>-0.54379999999999995</v>
      </c>
      <c r="BH57" s="230">
        <v>1925700</v>
      </c>
      <c r="BI57" s="230">
        <v>6546000</v>
      </c>
      <c r="BJ57" s="230">
        <v>-4620300</v>
      </c>
      <c r="BK57" s="229">
        <v>-0.70579999999999998</v>
      </c>
      <c r="BL57" s="230">
        <v>1556400</v>
      </c>
      <c r="BM57" s="230">
        <v>4783800</v>
      </c>
      <c r="BN57" s="230">
        <v>-3227400</v>
      </c>
      <c r="BO57" s="229">
        <v>-0.67469999999999997</v>
      </c>
      <c r="BP57" s="230">
        <v>4204600</v>
      </c>
      <c r="BQ57" s="230">
        <v>13992600</v>
      </c>
      <c r="BR57" s="230">
        <v>-9788000</v>
      </c>
      <c r="BS57" s="229">
        <v>-0.69950000000000001</v>
      </c>
      <c r="BT57" s="230">
        <v>319134</v>
      </c>
      <c r="BU57" s="230">
        <v>995703</v>
      </c>
      <c r="BV57" s="230">
        <v>-676569</v>
      </c>
      <c r="BW57" s="229">
        <v>-0.67949999999999999</v>
      </c>
      <c r="BX57" s="230">
        <v>2207400</v>
      </c>
      <c r="BY57" s="230">
        <v>2398900</v>
      </c>
      <c r="BZ57" s="230">
        <v>-191500</v>
      </c>
      <c r="CA57" s="229">
        <v>-7.9799999999999996E-2</v>
      </c>
      <c r="CB57" s="230">
        <v>253700</v>
      </c>
      <c r="CC57" s="230">
        <v>355400</v>
      </c>
      <c r="CD57" s="230">
        <v>-101700</v>
      </c>
      <c r="CE57" s="229">
        <v>-0.28620000000000001</v>
      </c>
      <c r="CF57" s="230">
        <v>2193900</v>
      </c>
      <c r="CG57" s="230">
        <v>2031800</v>
      </c>
      <c r="CH57" s="230">
        <v>162100</v>
      </c>
      <c r="CI57" s="229">
        <v>7.9799999999999996E-2</v>
      </c>
      <c r="CJ57" s="230">
        <v>13500</v>
      </c>
      <c r="CK57" s="230">
        <v>11700</v>
      </c>
      <c r="CL57" s="230">
        <v>1800</v>
      </c>
      <c r="CM57" s="229">
        <v>0.15379999999999999</v>
      </c>
      <c r="CN57" s="230">
        <v>538900</v>
      </c>
      <c r="CO57" s="230">
        <v>1219500</v>
      </c>
      <c r="CP57" s="230">
        <v>-680600</v>
      </c>
      <c r="CQ57" s="229">
        <v>-0.55810000000000004</v>
      </c>
      <c r="CR57" s="230">
        <v>287000</v>
      </c>
      <c r="CS57" s="230">
        <v>862300</v>
      </c>
      <c r="CT57" s="230">
        <v>-575300</v>
      </c>
      <c r="CU57" s="229">
        <v>-0.66720000000000002</v>
      </c>
      <c r="CV57" s="230">
        <v>3033300</v>
      </c>
      <c r="CW57" s="230">
        <v>4480700</v>
      </c>
      <c r="CX57" s="230">
        <v>-1447400</v>
      </c>
      <c r="CY57" s="229">
        <v>-0.32300000000000001</v>
      </c>
      <c r="CZ57" s="228">
        <v>21.57</v>
      </c>
      <c r="DA57" s="228">
        <v>22.95</v>
      </c>
      <c r="DB57" s="228">
        <v>-1.38</v>
      </c>
      <c r="DC57" s="228">
        <v>-1.38</v>
      </c>
      <c r="DD57" s="228">
        <v>28.93</v>
      </c>
      <c r="DE57" s="228">
        <v>29.01</v>
      </c>
      <c r="DF57" s="228">
        <v>-7.36</v>
      </c>
      <c r="DG57" s="228">
        <v>-0.08</v>
      </c>
      <c r="DH57" s="228">
        <v>21.58</v>
      </c>
      <c r="DI57" s="228">
        <v>23.45</v>
      </c>
      <c r="DJ57" s="228">
        <v>-1.87</v>
      </c>
      <c r="DK57" s="228">
        <v>-1.87</v>
      </c>
      <c r="DL57" s="228">
        <v>21.54</v>
      </c>
      <c r="DM57" s="228">
        <v>22.12</v>
      </c>
      <c r="DN57" s="228">
        <v>-0.57999999999999996</v>
      </c>
      <c r="DO57" s="228">
        <v>-0.57999999999999996</v>
      </c>
      <c r="DP57" s="228">
        <v>0.53</v>
      </c>
      <c r="DQ57" s="228">
        <v>0.71</v>
      </c>
      <c r="DR57" s="228">
        <v>-0.18</v>
      </c>
      <c r="DS57" s="229">
        <v>-0.2535</v>
      </c>
      <c r="DT57" s="231">
        <v>7000</v>
      </c>
      <c r="DU57" s="231">
        <v>6500</v>
      </c>
      <c r="DV57" s="228">
        <v>0.81</v>
      </c>
      <c r="DW57" s="228">
        <v>0.73</v>
      </c>
      <c r="DX57" s="228">
        <v>0.08</v>
      </c>
      <c r="DY57" s="229">
        <v>0.1096</v>
      </c>
      <c r="DZ57" s="229">
        <v>0.89690000000000003</v>
      </c>
      <c r="EA57" s="230">
        <v>2043500</v>
      </c>
      <c r="EB57" s="229">
        <v>4.3E-3</v>
      </c>
      <c r="EC57" s="229">
        <v>0.89690000000000003</v>
      </c>
      <c r="ED57" s="228">
        <v>32.64</v>
      </c>
      <c r="EE57" s="229">
        <v>4.7999999999999996E-3</v>
      </c>
      <c r="EF57" s="230">
        <v>142456</v>
      </c>
      <c r="EG57" s="230">
        <v>467689</v>
      </c>
      <c r="EH57" s="229">
        <v>-0.69540000000000002</v>
      </c>
      <c r="EI57" s="229">
        <v>0.44640000000000002</v>
      </c>
      <c r="EJ57" s="231">
        <v>134468.01999999999</v>
      </c>
      <c r="EK57" s="231">
        <v>103383.47</v>
      </c>
      <c r="EL57" s="231">
        <v>48803.37</v>
      </c>
      <c r="EM57" s="231">
        <v>14003</v>
      </c>
      <c r="EN57" s="231">
        <v>286654.86</v>
      </c>
      <c r="EO57" s="231">
        <v>967578.96</v>
      </c>
      <c r="EP57" s="231">
        <v>-680924.1</v>
      </c>
      <c r="EQ57" s="229">
        <v>-0.70369999999999999</v>
      </c>
      <c r="ER57" s="231">
        <v>37973</v>
      </c>
      <c r="ES57" s="231">
        <v>19043</v>
      </c>
      <c r="ET57" s="231">
        <v>150115</v>
      </c>
      <c r="EU57" s="231">
        <v>15815194</v>
      </c>
      <c r="EV57" s="231">
        <v>207131</v>
      </c>
      <c r="EW57" s="231">
        <v>305249</v>
      </c>
      <c r="EX57" s="231">
        <v>-98118</v>
      </c>
      <c r="EY57" s="229">
        <v>-0.32140000000000002</v>
      </c>
      <c r="EZ57" s="229">
        <v>0.1918</v>
      </c>
      <c r="FA57" s="227" t="s">
        <v>567</v>
      </c>
      <c r="FB57" s="161">
        <f t="shared" si="0"/>
        <v>1953700</v>
      </c>
    </row>
    <row r="58" spans="1:158" ht="17.25" thickBot="1" x14ac:dyDescent="0.3">
      <c r="A58" s="226">
        <v>46168</v>
      </c>
      <c r="B58" s="227" t="s">
        <v>184</v>
      </c>
      <c r="C58" s="227" t="s">
        <v>512</v>
      </c>
      <c r="D58" s="228">
        <v>50</v>
      </c>
      <c r="E58" s="231">
        <v>11632</v>
      </c>
      <c r="F58" s="231">
        <v>11826</v>
      </c>
      <c r="G58" s="228">
        <v>-194</v>
      </c>
      <c r="H58" s="229">
        <v>-1.6400000000000001E-2</v>
      </c>
      <c r="I58" s="231">
        <v>11673</v>
      </c>
      <c r="J58" s="231">
        <v>11824</v>
      </c>
      <c r="K58" s="228">
        <v>-151</v>
      </c>
      <c r="L58" s="229">
        <v>-1.2800000000000001E-2</v>
      </c>
      <c r="M58" s="231">
        <v>11651</v>
      </c>
      <c r="N58" s="231">
        <v>11829</v>
      </c>
      <c r="O58" s="228">
        <v>-178</v>
      </c>
      <c r="P58" s="229">
        <v>-1.4999999999999999E-2</v>
      </c>
      <c r="Q58" s="231">
        <v>11632</v>
      </c>
      <c r="R58" s="231">
        <v>11826</v>
      </c>
      <c r="S58" s="228">
        <v>-194</v>
      </c>
      <c r="T58" s="229">
        <v>-1.6400000000000001E-2</v>
      </c>
      <c r="U58" s="231">
        <v>11624</v>
      </c>
      <c r="V58" s="231">
        <v>11822</v>
      </c>
      <c r="W58" s="228">
        <v>-198</v>
      </c>
      <c r="X58" s="229">
        <v>-1.67E-2</v>
      </c>
      <c r="Y58" s="228">
        <v>-41</v>
      </c>
      <c r="Z58" s="228">
        <v>5</v>
      </c>
      <c r="AA58" s="228">
        <v>-46</v>
      </c>
      <c r="AB58" s="229">
        <v>-3.5000000000000001E-3</v>
      </c>
      <c r="AC58" s="228">
        <v>-22</v>
      </c>
      <c r="AD58" s="228">
        <v>5</v>
      </c>
      <c r="AE58" s="228">
        <v>-27</v>
      </c>
      <c r="AF58" s="229">
        <v>-1.9E-3</v>
      </c>
      <c r="AG58" s="228">
        <v>-41</v>
      </c>
      <c r="AH58" s="228">
        <v>2</v>
      </c>
      <c r="AI58" s="228">
        <v>-43</v>
      </c>
      <c r="AJ58" s="229">
        <v>-3.5000000000000001E-3</v>
      </c>
      <c r="AK58" s="228">
        <v>-49</v>
      </c>
      <c r="AL58" s="228">
        <v>-2</v>
      </c>
      <c r="AM58" s="228">
        <v>-47</v>
      </c>
      <c r="AN58" s="229">
        <v>-4.1999999999999997E-3</v>
      </c>
      <c r="AO58" s="231">
        <v>11702.33</v>
      </c>
      <c r="AP58" s="231">
        <v>11677.17</v>
      </c>
      <c r="AQ58" s="228">
        <v>0</v>
      </c>
      <c r="AR58" s="230">
        <v>892800</v>
      </c>
      <c r="AS58" s="230">
        <v>1565750</v>
      </c>
      <c r="AT58" s="230">
        <v>-672950</v>
      </c>
      <c r="AU58" s="229">
        <v>-0.42980000000000002</v>
      </c>
      <c r="AV58" s="230">
        <v>348700</v>
      </c>
      <c r="AW58" s="230">
        <v>748350</v>
      </c>
      <c r="AX58" s="230">
        <v>-399650</v>
      </c>
      <c r="AY58" s="229">
        <v>-0.53400000000000003</v>
      </c>
      <c r="AZ58" s="230">
        <v>505300</v>
      </c>
      <c r="BA58" s="230">
        <v>790400</v>
      </c>
      <c r="BB58" s="230">
        <v>-285100</v>
      </c>
      <c r="BC58" s="229">
        <v>-0.36070000000000002</v>
      </c>
      <c r="BD58" s="230">
        <v>38800</v>
      </c>
      <c r="BE58" s="230">
        <v>27000</v>
      </c>
      <c r="BF58" s="230">
        <v>11800</v>
      </c>
      <c r="BG58" s="229">
        <v>0.437</v>
      </c>
      <c r="BH58" s="230">
        <v>3425950</v>
      </c>
      <c r="BI58" s="230">
        <v>9670850</v>
      </c>
      <c r="BJ58" s="230">
        <v>-6244900</v>
      </c>
      <c r="BK58" s="229">
        <v>-0.64570000000000005</v>
      </c>
      <c r="BL58" s="230">
        <v>2470800</v>
      </c>
      <c r="BM58" s="230">
        <v>4686900</v>
      </c>
      <c r="BN58" s="230">
        <v>-2216100</v>
      </c>
      <c r="BO58" s="229">
        <v>-0.4728</v>
      </c>
      <c r="BP58" s="230">
        <v>6789550</v>
      </c>
      <c r="BQ58" s="230">
        <v>15923500</v>
      </c>
      <c r="BR58" s="230">
        <v>-9133950</v>
      </c>
      <c r="BS58" s="229">
        <v>-0.5736</v>
      </c>
      <c r="BT58" s="230">
        <v>355171</v>
      </c>
      <c r="BU58" s="230">
        <v>635060</v>
      </c>
      <c r="BV58" s="230">
        <v>-279889</v>
      </c>
      <c r="BW58" s="229">
        <v>-0.44069999999999998</v>
      </c>
      <c r="BX58" s="230">
        <v>2618050</v>
      </c>
      <c r="BY58" s="230">
        <v>2798750</v>
      </c>
      <c r="BZ58" s="230">
        <v>-180700</v>
      </c>
      <c r="CA58" s="229">
        <v>-6.4600000000000005E-2</v>
      </c>
      <c r="CB58" s="230">
        <v>183100</v>
      </c>
      <c r="CC58" s="230">
        <v>335450</v>
      </c>
      <c r="CD58" s="230">
        <v>-152350</v>
      </c>
      <c r="CE58" s="229">
        <v>-0.45419999999999999</v>
      </c>
      <c r="CF58" s="230">
        <v>2532000</v>
      </c>
      <c r="CG58" s="230">
        <v>2402300</v>
      </c>
      <c r="CH58" s="230">
        <v>129700</v>
      </c>
      <c r="CI58" s="229">
        <v>5.3999999999999999E-2</v>
      </c>
      <c r="CJ58" s="230">
        <v>86050</v>
      </c>
      <c r="CK58" s="230">
        <v>61000</v>
      </c>
      <c r="CL58" s="230">
        <v>25050</v>
      </c>
      <c r="CM58" s="229">
        <v>0.41070000000000001</v>
      </c>
      <c r="CN58" s="230">
        <v>815000</v>
      </c>
      <c r="CO58" s="230">
        <v>1932900</v>
      </c>
      <c r="CP58" s="230">
        <v>-1117900</v>
      </c>
      <c r="CQ58" s="229">
        <v>-0.57840000000000003</v>
      </c>
      <c r="CR58" s="230">
        <v>664900</v>
      </c>
      <c r="CS58" s="230">
        <v>1590000</v>
      </c>
      <c r="CT58" s="230">
        <v>-925100</v>
      </c>
      <c r="CU58" s="229">
        <v>-0.58179999999999998</v>
      </c>
      <c r="CV58" s="230">
        <v>4097950</v>
      </c>
      <c r="CW58" s="230">
        <v>6321650</v>
      </c>
      <c r="CX58" s="230">
        <v>-2223700</v>
      </c>
      <c r="CY58" s="229">
        <v>-0.3518</v>
      </c>
      <c r="CZ58" s="228">
        <v>37.4</v>
      </c>
      <c r="DA58" s="228">
        <v>39.770000000000003</v>
      </c>
      <c r="DB58" s="228">
        <v>-2.37</v>
      </c>
      <c r="DC58" s="228">
        <v>-2.37</v>
      </c>
      <c r="DD58" s="228">
        <v>50.39</v>
      </c>
      <c r="DE58" s="228">
        <v>50.47</v>
      </c>
      <c r="DF58" s="228">
        <v>-12.99</v>
      </c>
      <c r="DG58" s="228">
        <v>-0.08</v>
      </c>
      <c r="DH58" s="228">
        <v>37.25</v>
      </c>
      <c r="DI58" s="228">
        <v>39.659999999999997</v>
      </c>
      <c r="DJ58" s="228">
        <v>-2.41</v>
      </c>
      <c r="DK58" s="228">
        <v>-2.41</v>
      </c>
      <c r="DL58" s="228">
        <v>37.65</v>
      </c>
      <c r="DM58" s="228">
        <v>40.04</v>
      </c>
      <c r="DN58" s="228">
        <v>-2.39</v>
      </c>
      <c r="DO58" s="228">
        <v>-2.39</v>
      </c>
      <c r="DP58" s="228">
        <v>0.82</v>
      </c>
      <c r="DQ58" s="228">
        <v>0.82</v>
      </c>
      <c r="DR58" s="228">
        <v>0</v>
      </c>
      <c r="DS58" s="229">
        <v>0</v>
      </c>
      <c r="DT58" s="231">
        <v>12000</v>
      </c>
      <c r="DU58" s="231">
        <v>11000</v>
      </c>
      <c r="DV58" s="228">
        <v>0.72</v>
      </c>
      <c r="DW58" s="228">
        <v>0.48</v>
      </c>
      <c r="DX58" s="228">
        <v>0.24</v>
      </c>
      <c r="DY58" s="229">
        <v>0.5</v>
      </c>
      <c r="DZ58" s="229">
        <v>0.93459999999999999</v>
      </c>
      <c r="EA58" s="230">
        <v>2463300</v>
      </c>
      <c r="EB58" s="229">
        <v>-1.6000000000000001E-3</v>
      </c>
      <c r="EC58" s="229">
        <v>0.93459999999999999</v>
      </c>
      <c r="ED58" s="228">
        <v>-25.16</v>
      </c>
      <c r="EE58" s="229">
        <v>-2.0999999999999999E-3</v>
      </c>
      <c r="EF58" s="230">
        <v>95078</v>
      </c>
      <c r="EG58" s="230">
        <v>175263</v>
      </c>
      <c r="EH58" s="229">
        <v>-0.45750000000000002</v>
      </c>
      <c r="EI58" s="229">
        <v>0.26769999999999999</v>
      </c>
      <c r="EJ58" s="231">
        <v>419508.83</v>
      </c>
      <c r="EK58" s="231">
        <v>276484.88</v>
      </c>
      <c r="EL58" s="231">
        <v>104345.24</v>
      </c>
      <c r="EM58" s="231">
        <v>36274</v>
      </c>
      <c r="EN58" s="231">
        <v>800338.95</v>
      </c>
      <c r="EO58" s="231">
        <v>1897759.66</v>
      </c>
      <c r="EP58" s="231">
        <v>-1097420.71</v>
      </c>
      <c r="EQ58" s="229">
        <v>-0.57830000000000004</v>
      </c>
      <c r="ER58" s="231">
        <v>98007</v>
      </c>
      <c r="ES58" s="231">
        <v>72740</v>
      </c>
      <c r="ET58" s="231">
        <v>304525</v>
      </c>
      <c r="EU58" s="231">
        <v>6478285</v>
      </c>
      <c r="EV58" s="231">
        <v>475272</v>
      </c>
      <c r="EW58" s="231">
        <v>733522</v>
      </c>
      <c r="EX58" s="231">
        <v>-258250</v>
      </c>
      <c r="EY58" s="229">
        <v>-0.35210000000000002</v>
      </c>
      <c r="EZ58" s="229">
        <v>0.63260000000000005</v>
      </c>
      <c r="FA58" s="227" t="s">
        <v>567</v>
      </c>
      <c r="FB58" s="161">
        <f t="shared" si="0"/>
        <v>2434950</v>
      </c>
    </row>
    <row r="59" spans="1:158" ht="17.25" thickBot="1" x14ac:dyDescent="0.3">
      <c r="A59" s="226">
        <v>46168</v>
      </c>
      <c r="B59" s="227" t="s">
        <v>206</v>
      </c>
      <c r="C59" s="227" t="s">
        <v>207</v>
      </c>
      <c r="D59" s="228">
        <v>825</v>
      </c>
      <c r="E59" s="228">
        <v>593.04999999999995</v>
      </c>
      <c r="F59" s="228">
        <v>597</v>
      </c>
      <c r="G59" s="228">
        <v>-3.95</v>
      </c>
      <c r="H59" s="229">
        <v>-6.6E-3</v>
      </c>
      <c r="I59" s="228">
        <v>589.79999999999995</v>
      </c>
      <c r="J59" s="228">
        <v>592.29999999999995</v>
      </c>
      <c r="K59" s="228">
        <v>-2.5</v>
      </c>
      <c r="L59" s="229">
        <v>-4.1999999999999997E-3</v>
      </c>
      <c r="M59" s="228">
        <v>588.95000000000005</v>
      </c>
      <c r="N59" s="228">
        <v>593.35</v>
      </c>
      <c r="O59" s="228">
        <v>-4.4000000000000004</v>
      </c>
      <c r="P59" s="229">
        <v>-7.4000000000000003E-3</v>
      </c>
      <c r="Q59" s="228">
        <v>593.04999999999995</v>
      </c>
      <c r="R59" s="228">
        <v>597</v>
      </c>
      <c r="S59" s="228">
        <v>-3.95</v>
      </c>
      <c r="T59" s="229">
        <v>-6.6E-3</v>
      </c>
      <c r="U59" s="228">
        <v>593.54999999999995</v>
      </c>
      <c r="V59" s="228">
        <v>596.15</v>
      </c>
      <c r="W59" s="228">
        <v>-2.6</v>
      </c>
      <c r="X59" s="229">
        <v>-4.4000000000000003E-3</v>
      </c>
      <c r="Y59" s="228">
        <v>3.25</v>
      </c>
      <c r="Z59" s="228">
        <v>1.05</v>
      </c>
      <c r="AA59" s="228">
        <v>2.2000000000000002</v>
      </c>
      <c r="AB59" s="229">
        <v>5.4999999999999997E-3</v>
      </c>
      <c r="AC59" s="228">
        <v>-0.85</v>
      </c>
      <c r="AD59" s="228">
        <v>1.05</v>
      </c>
      <c r="AE59" s="228">
        <v>-1.9</v>
      </c>
      <c r="AF59" s="229">
        <v>-1.4E-3</v>
      </c>
      <c r="AG59" s="228">
        <v>3.25</v>
      </c>
      <c r="AH59" s="228">
        <v>4.7</v>
      </c>
      <c r="AI59" s="228">
        <v>-1.45</v>
      </c>
      <c r="AJ59" s="229">
        <v>5.4999999999999997E-3</v>
      </c>
      <c r="AK59" s="228">
        <v>3.75</v>
      </c>
      <c r="AL59" s="228">
        <v>3.85</v>
      </c>
      <c r="AM59" s="228">
        <v>-0.1</v>
      </c>
      <c r="AN59" s="229">
        <v>6.4000000000000003E-3</v>
      </c>
      <c r="AO59" s="228">
        <v>591.59</v>
      </c>
      <c r="AP59" s="228">
        <v>595.33000000000004</v>
      </c>
      <c r="AQ59" s="228">
        <v>0</v>
      </c>
      <c r="AR59" s="230">
        <v>14048100</v>
      </c>
      <c r="AS59" s="230">
        <v>22430925</v>
      </c>
      <c r="AT59" s="230">
        <v>-8382825</v>
      </c>
      <c r="AU59" s="229">
        <v>-0.37369999999999998</v>
      </c>
      <c r="AV59" s="230">
        <v>6220500</v>
      </c>
      <c r="AW59" s="230">
        <v>10671375</v>
      </c>
      <c r="AX59" s="230">
        <v>-4450875</v>
      </c>
      <c r="AY59" s="229">
        <v>-0.41710000000000003</v>
      </c>
      <c r="AZ59" s="230">
        <v>7638675</v>
      </c>
      <c r="BA59" s="230">
        <v>11586300</v>
      </c>
      <c r="BB59" s="230">
        <v>-3947625</v>
      </c>
      <c r="BC59" s="229">
        <v>-0.3407</v>
      </c>
      <c r="BD59" s="230">
        <v>188925</v>
      </c>
      <c r="BE59" s="230">
        <v>173250</v>
      </c>
      <c r="BF59" s="230">
        <v>15675</v>
      </c>
      <c r="BG59" s="229">
        <v>9.0499999999999997E-2</v>
      </c>
      <c r="BH59" s="230">
        <v>10542675</v>
      </c>
      <c r="BI59" s="230">
        <v>11554125</v>
      </c>
      <c r="BJ59" s="230">
        <v>-1011450</v>
      </c>
      <c r="BK59" s="229">
        <v>-8.7499999999999994E-2</v>
      </c>
      <c r="BL59" s="230">
        <v>5789850</v>
      </c>
      <c r="BM59" s="230">
        <v>6795525</v>
      </c>
      <c r="BN59" s="230">
        <v>-1005675</v>
      </c>
      <c r="BO59" s="229">
        <v>-0.14799999999999999</v>
      </c>
      <c r="BP59" s="230">
        <v>30380625</v>
      </c>
      <c r="BQ59" s="230">
        <v>40780575</v>
      </c>
      <c r="BR59" s="230">
        <v>-10399950</v>
      </c>
      <c r="BS59" s="229">
        <v>-0.255</v>
      </c>
      <c r="BT59" s="230">
        <v>2643653</v>
      </c>
      <c r="BU59" s="230">
        <v>2215399</v>
      </c>
      <c r="BV59" s="230">
        <v>428254</v>
      </c>
      <c r="BW59" s="229">
        <v>0.1933</v>
      </c>
      <c r="BX59" s="230">
        <v>41181650</v>
      </c>
      <c r="BY59" s="230">
        <v>41949350</v>
      </c>
      <c r="BZ59" s="230">
        <v>-767700</v>
      </c>
      <c r="CA59" s="229">
        <v>-1.83E-2</v>
      </c>
      <c r="CB59" s="230">
        <v>1426425</v>
      </c>
      <c r="CC59" s="230">
        <v>5744475</v>
      </c>
      <c r="CD59" s="230">
        <v>-4318050</v>
      </c>
      <c r="CE59" s="229">
        <v>-0.75170000000000003</v>
      </c>
      <c r="CF59" s="230">
        <v>40616400</v>
      </c>
      <c r="CG59" s="230">
        <v>35799225</v>
      </c>
      <c r="CH59" s="230">
        <v>4817175</v>
      </c>
      <c r="CI59" s="229">
        <v>0.1346</v>
      </c>
      <c r="CJ59" s="230">
        <v>565250</v>
      </c>
      <c r="CK59" s="230">
        <v>405650</v>
      </c>
      <c r="CL59" s="230">
        <v>159600</v>
      </c>
      <c r="CM59" s="229">
        <v>0.39340000000000003</v>
      </c>
      <c r="CN59" s="230">
        <v>5295675</v>
      </c>
      <c r="CO59" s="230">
        <v>10361175</v>
      </c>
      <c r="CP59" s="230">
        <v>-5065500</v>
      </c>
      <c r="CQ59" s="229">
        <v>-0.4889</v>
      </c>
      <c r="CR59" s="230">
        <v>3982400</v>
      </c>
      <c r="CS59" s="230">
        <v>7775625</v>
      </c>
      <c r="CT59" s="230">
        <v>-3793225</v>
      </c>
      <c r="CU59" s="229">
        <v>-0.48780000000000001</v>
      </c>
      <c r="CV59" s="230">
        <v>50459725</v>
      </c>
      <c r="CW59" s="230">
        <v>60086150</v>
      </c>
      <c r="CX59" s="230">
        <v>-9626425</v>
      </c>
      <c r="CY59" s="229">
        <v>-0.16020000000000001</v>
      </c>
      <c r="CZ59" s="228">
        <v>30.71</v>
      </c>
      <c r="DA59" s="228">
        <v>32.06</v>
      </c>
      <c r="DB59" s="228">
        <v>-1.35</v>
      </c>
      <c r="DC59" s="228">
        <v>-1.35</v>
      </c>
      <c r="DD59" s="228">
        <v>37.53</v>
      </c>
      <c r="DE59" s="228">
        <v>37.619999999999997</v>
      </c>
      <c r="DF59" s="228">
        <v>-6.82</v>
      </c>
      <c r="DG59" s="228">
        <v>-0.09</v>
      </c>
      <c r="DH59" s="228">
        <v>30.59</v>
      </c>
      <c r="DI59" s="228">
        <v>32.11</v>
      </c>
      <c r="DJ59" s="228">
        <v>-1.52</v>
      </c>
      <c r="DK59" s="228">
        <v>-1.52</v>
      </c>
      <c r="DL59" s="228">
        <v>30.95</v>
      </c>
      <c r="DM59" s="228">
        <v>31.98</v>
      </c>
      <c r="DN59" s="228">
        <v>-1.03</v>
      </c>
      <c r="DO59" s="228">
        <v>-1.03</v>
      </c>
      <c r="DP59" s="228">
        <v>0.75</v>
      </c>
      <c r="DQ59" s="228">
        <v>0.75</v>
      </c>
      <c r="DR59" s="228">
        <v>0</v>
      </c>
      <c r="DS59" s="229">
        <v>0</v>
      </c>
      <c r="DT59" s="228">
        <v>600</v>
      </c>
      <c r="DU59" s="228">
        <v>590</v>
      </c>
      <c r="DV59" s="228">
        <v>0.55000000000000004</v>
      </c>
      <c r="DW59" s="228">
        <v>0.59</v>
      </c>
      <c r="DX59" s="228">
        <v>-0.04</v>
      </c>
      <c r="DY59" s="229">
        <v>-6.7799999999999999E-2</v>
      </c>
      <c r="DZ59" s="229">
        <v>0.96650000000000003</v>
      </c>
      <c r="EA59" s="230">
        <v>36204875</v>
      </c>
      <c r="EB59" s="229">
        <v>7.0000000000000001E-3</v>
      </c>
      <c r="EC59" s="229">
        <v>0.96650000000000003</v>
      </c>
      <c r="ED59" s="228">
        <v>3.74</v>
      </c>
      <c r="EE59" s="229">
        <v>6.3E-3</v>
      </c>
      <c r="EF59" s="230">
        <v>1400466</v>
      </c>
      <c r="EG59" s="230">
        <v>1102781</v>
      </c>
      <c r="EH59" s="229">
        <v>0.26989999999999997</v>
      </c>
      <c r="EI59" s="229">
        <v>0.52969999999999995</v>
      </c>
      <c r="EJ59" s="231">
        <v>65584.09</v>
      </c>
      <c r="EK59" s="231">
        <v>35650.49</v>
      </c>
      <c r="EL59" s="231">
        <v>83569.53</v>
      </c>
      <c r="EM59" s="231">
        <v>19649</v>
      </c>
      <c r="EN59" s="231">
        <v>184804.11</v>
      </c>
      <c r="EO59" s="231">
        <v>244740.45</v>
      </c>
      <c r="EP59" s="231">
        <v>-59936.34</v>
      </c>
      <c r="EQ59" s="229">
        <v>-0.24490000000000001</v>
      </c>
      <c r="ER59" s="231">
        <v>32523</v>
      </c>
      <c r="ES59" s="231">
        <v>23741</v>
      </c>
      <c r="ET59" s="231">
        <v>244231</v>
      </c>
      <c r="EU59" s="231">
        <v>96251298</v>
      </c>
      <c r="EV59" s="231">
        <v>300495</v>
      </c>
      <c r="EW59" s="231">
        <v>359066</v>
      </c>
      <c r="EX59" s="231">
        <v>-58571</v>
      </c>
      <c r="EY59" s="229">
        <v>-0.16309999999999999</v>
      </c>
      <c r="EZ59" s="229">
        <v>0.5242</v>
      </c>
      <c r="FA59" s="227" t="s">
        <v>567</v>
      </c>
      <c r="FB59" s="161">
        <f t="shared" si="0"/>
        <v>39755225</v>
      </c>
    </row>
    <row r="60" spans="1:158" ht="17.25" thickBot="1" x14ac:dyDescent="0.3">
      <c r="A60" s="226">
        <v>46168</v>
      </c>
      <c r="B60" s="227" t="s">
        <v>614</v>
      </c>
      <c r="C60" s="227" t="s">
        <v>582</v>
      </c>
      <c r="D60" s="228">
        <v>150</v>
      </c>
      <c r="E60" s="231">
        <v>4136.2</v>
      </c>
      <c r="F60" s="231">
        <v>4114.3999999999996</v>
      </c>
      <c r="G60" s="228">
        <v>21.8</v>
      </c>
      <c r="H60" s="229">
        <v>5.3E-3</v>
      </c>
      <c r="I60" s="231">
        <v>4103.6000000000004</v>
      </c>
      <c r="J60" s="231">
        <v>4097.2</v>
      </c>
      <c r="K60" s="228">
        <v>6.4</v>
      </c>
      <c r="L60" s="229">
        <v>1.6000000000000001E-3</v>
      </c>
      <c r="M60" s="231">
        <v>4115.1000000000004</v>
      </c>
      <c r="N60" s="231">
        <v>4107</v>
      </c>
      <c r="O60" s="228">
        <v>8.1</v>
      </c>
      <c r="P60" s="229">
        <v>2E-3</v>
      </c>
      <c r="Q60" s="231">
        <v>4136.2</v>
      </c>
      <c r="R60" s="231">
        <v>4114.3999999999996</v>
      </c>
      <c r="S60" s="228">
        <v>21.8</v>
      </c>
      <c r="T60" s="229">
        <v>5.3E-3</v>
      </c>
      <c r="U60" s="231">
        <v>4141.2</v>
      </c>
      <c r="V60" s="231">
        <v>4124.6000000000004</v>
      </c>
      <c r="W60" s="228">
        <v>16.600000000000001</v>
      </c>
      <c r="X60" s="229">
        <v>4.0000000000000001E-3</v>
      </c>
      <c r="Y60" s="228">
        <v>32.6</v>
      </c>
      <c r="Z60" s="228">
        <v>9.8000000000000007</v>
      </c>
      <c r="AA60" s="228">
        <v>22.8</v>
      </c>
      <c r="AB60" s="229">
        <v>7.9000000000000008E-3</v>
      </c>
      <c r="AC60" s="228">
        <v>11.5</v>
      </c>
      <c r="AD60" s="228">
        <v>9.8000000000000007</v>
      </c>
      <c r="AE60" s="228">
        <v>1.7</v>
      </c>
      <c r="AF60" s="229">
        <v>2.8E-3</v>
      </c>
      <c r="AG60" s="228">
        <v>32.6</v>
      </c>
      <c r="AH60" s="228">
        <v>17.2</v>
      </c>
      <c r="AI60" s="228">
        <v>15.4</v>
      </c>
      <c r="AJ60" s="229">
        <v>7.9000000000000008E-3</v>
      </c>
      <c r="AK60" s="228">
        <v>37.6</v>
      </c>
      <c r="AL60" s="228">
        <v>27.4</v>
      </c>
      <c r="AM60" s="228">
        <v>10.199999999999999</v>
      </c>
      <c r="AN60" s="229">
        <v>9.1999999999999998E-3</v>
      </c>
      <c r="AO60" s="231">
        <v>4104.76</v>
      </c>
      <c r="AP60" s="231">
        <v>4125.74</v>
      </c>
      <c r="AQ60" s="228">
        <v>0</v>
      </c>
      <c r="AR60" s="230">
        <v>1137900</v>
      </c>
      <c r="AS60" s="230">
        <v>1543050</v>
      </c>
      <c r="AT60" s="230">
        <v>-405150</v>
      </c>
      <c r="AU60" s="229">
        <v>-0.2626</v>
      </c>
      <c r="AV60" s="230">
        <v>425700</v>
      </c>
      <c r="AW60" s="230">
        <v>682800</v>
      </c>
      <c r="AX60" s="230">
        <v>-257100</v>
      </c>
      <c r="AY60" s="229">
        <v>-0.3765</v>
      </c>
      <c r="AZ60" s="230">
        <v>700800</v>
      </c>
      <c r="BA60" s="230">
        <v>851100</v>
      </c>
      <c r="BB60" s="230">
        <v>-150300</v>
      </c>
      <c r="BC60" s="229">
        <v>-0.17660000000000001</v>
      </c>
      <c r="BD60" s="230">
        <v>11400</v>
      </c>
      <c r="BE60" s="230">
        <v>9150</v>
      </c>
      <c r="BF60" s="230">
        <v>2250</v>
      </c>
      <c r="BG60" s="229">
        <v>0.24590000000000001</v>
      </c>
      <c r="BH60" s="230">
        <v>2376900</v>
      </c>
      <c r="BI60" s="230">
        <v>2869500</v>
      </c>
      <c r="BJ60" s="230">
        <v>-492600</v>
      </c>
      <c r="BK60" s="229">
        <v>-0.17169999999999999</v>
      </c>
      <c r="BL60" s="230">
        <v>1110750</v>
      </c>
      <c r="BM60" s="230">
        <v>1092750</v>
      </c>
      <c r="BN60" s="230">
        <v>18000</v>
      </c>
      <c r="BO60" s="229">
        <v>1.6500000000000001E-2</v>
      </c>
      <c r="BP60" s="230">
        <v>4625550</v>
      </c>
      <c r="BQ60" s="230">
        <v>5505300</v>
      </c>
      <c r="BR60" s="230">
        <v>-879750</v>
      </c>
      <c r="BS60" s="229">
        <v>-0.1598</v>
      </c>
      <c r="BT60" s="230">
        <v>488702</v>
      </c>
      <c r="BU60" s="230">
        <v>296101</v>
      </c>
      <c r="BV60" s="230">
        <v>192601</v>
      </c>
      <c r="BW60" s="229">
        <v>0.65049999999999997</v>
      </c>
      <c r="BX60" s="230">
        <v>3652800</v>
      </c>
      <c r="BY60" s="230">
        <v>4041150</v>
      </c>
      <c r="BZ60" s="230">
        <v>-388350</v>
      </c>
      <c r="CA60" s="229">
        <v>-9.6100000000000005E-2</v>
      </c>
      <c r="CB60" s="230">
        <v>495600</v>
      </c>
      <c r="CC60" s="230">
        <v>747900</v>
      </c>
      <c r="CD60" s="230">
        <v>-252300</v>
      </c>
      <c r="CE60" s="229">
        <v>-0.33729999999999999</v>
      </c>
      <c r="CF60" s="230">
        <v>3625350</v>
      </c>
      <c r="CG60" s="230">
        <v>3270900</v>
      </c>
      <c r="CH60" s="230">
        <v>354450</v>
      </c>
      <c r="CI60" s="229">
        <v>0.1084</v>
      </c>
      <c r="CJ60" s="230">
        <v>27450</v>
      </c>
      <c r="CK60" s="230">
        <v>22350</v>
      </c>
      <c r="CL60" s="230">
        <v>5100</v>
      </c>
      <c r="CM60" s="229">
        <v>0.22819999999999999</v>
      </c>
      <c r="CN60" s="230">
        <v>601500</v>
      </c>
      <c r="CO60" s="230">
        <v>2011500</v>
      </c>
      <c r="CP60" s="230">
        <v>-1410000</v>
      </c>
      <c r="CQ60" s="229">
        <v>-0.70099999999999996</v>
      </c>
      <c r="CR60" s="230">
        <v>473100</v>
      </c>
      <c r="CS60" s="230">
        <v>903900</v>
      </c>
      <c r="CT60" s="230">
        <v>-430800</v>
      </c>
      <c r="CU60" s="229">
        <v>-0.47660000000000002</v>
      </c>
      <c r="CV60" s="230">
        <v>4727400</v>
      </c>
      <c r="CW60" s="230">
        <v>6956550</v>
      </c>
      <c r="CX60" s="230">
        <v>-2229150</v>
      </c>
      <c r="CY60" s="229">
        <v>-0.32040000000000002</v>
      </c>
      <c r="CZ60" s="228">
        <v>22.99</v>
      </c>
      <c r="DA60" s="228">
        <v>23.87</v>
      </c>
      <c r="DB60" s="228">
        <v>-0.88</v>
      </c>
      <c r="DC60" s="228">
        <v>-0.88</v>
      </c>
      <c r="DD60" s="228">
        <v>32.590000000000003</v>
      </c>
      <c r="DE60" s="228">
        <v>32.659999999999997</v>
      </c>
      <c r="DF60" s="228">
        <v>-9.6</v>
      </c>
      <c r="DG60" s="228">
        <v>-7.0000000000000007E-2</v>
      </c>
      <c r="DH60" s="228">
        <v>22.26</v>
      </c>
      <c r="DI60" s="228">
        <v>23.78</v>
      </c>
      <c r="DJ60" s="228">
        <v>-1.52</v>
      </c>
      <c r="DK60" s="228">
        <v>-1.52</v>
      </c>
      <c r="DL60" s="228">
        <v>24.19</v>
      </c>
      <c r="DM60" s="228">
        <v>24.04</v>
      </c>
      <c r="DN60" s="228">
        <v>0.15</v>
      </c>
      <c r="DO60" s="228">
        <v>0.15</v>
      </c>
      <c r="DP60" s="228">
        <v>0.79</v>
      </c>
      <c r="DQ60" s="228">
        <v>0.45</v>
      </c>
      <c r="DR60" s="228">
        <v>0.34</v>
      </c>
      <c r="DS60" s="229">
        <v>0.75560000000000005</v>
      </c>
      <c r="DT60" s="231">
        <v>4200</v>
      </c>
      <c r="DU60" s="231">
        <v>3800</v>
      </c>
      <c r="DV60" s="228">
        <v>0.47</v>
      </c>
      <c r="DW60" s="228">
        <v>0.38</v>
      </c>
      <c r="DX60" s="228">
        <v>0.09</v>
      </c>
      <c r="DY60" s="229">
        <v>0.23680000000000001</v>
      </c>
      <c r="DZ60" s="229">
        <v>0.88049999999999995</v>
      </c>
      <c r="EA60" s="230">
        <v>3293250</v>
      </c>
      <c r="EB60" s="229">
        <v>5.1000000000000004E-3</v>
      </c>
      <c r="EC60" s="229">
        <v>0.88049999999999995</v>
      </c>
      <c r="ED60" s="228">
        <v>20.98</v>
      </c>
      <c r="EE60" s="229">
        <v>5.1000000000000004E-3</v>
      </c>
      <c r="EF60" s="230">
        <v>271139</v>
      </c>
      <c r="EG60" s="230">
        <v>160652</v>
      </c>
      <c r="EH60" s="229">
        <v>0.68769999999999998</v>
      </c>
      <c r="EI60" s="229">
        <v>0.55479999999999996</v>
      </c>
      <c r="EJ60" s="231">
        <v>103552.58</v>
      </c>
      <c r="EK60" s="231">
        <v>45250.92</v>
      </c>
      <c r="EL60" s="231">
        <v>46857.93</v>
      </c>
      <c r="EM60" s="231">
        <v>12644</v>
      </c>
      <c r="EN60" s="231">
        <v>195661.43</v>
      </c>
      <c r="EO60" s="231">
        <v>232830.76</v>
      </c>
      <c r="EP60" s="231">
        <v>-37169.33</v>
      </c>
      <c r="EQ60" s="229">
        <v>-0.15959999999999999</v>
      </c>
      <c r="ER60" s="231">
        <v>25913</v>
      </c>
      <c r="ES60" s="231">
        <v>18792</v>
      </c>
      <c r="ET60" s="231">
        <v>151088</v>
      </c>
      <c r="EU60" s="231">
        <v>16494391</v>
      </c>
      <c r="EV60" s="231">
        <v>195793</v>
      </c>
      <c r="EW60" s="231">
        <v>294162</v>
      </c>
      <c r="EX60" s="231">
        <v>-98369</v>
      </c>
      <c r="EY60" s="229">
        <v>-0.33439999999999998</v>
      </c>
      <c r="EZ60" s="229">
        <v>0.28660000000000002</v>
      </c>
      <c r="FA60" s="227" t="s">
        <v>691</v>
      </c>
      <c r="FB60" s="161">
        <f t="shared" si="0"/>
        <v>3157200</v>
      </c>
    </row>
    <row r="61" spans="1:158" ht="17.25" thickBot="1" x14ac:dyDescent="0.3">
      <c r="A61" s="226">
        <v>46168</v>
      </c>
      <c r="B61" s="227" t="s">
        <v>170</v>
      </c>
      <c r="C61" s="227" t="s">
        <v>208</v>
      </c>
      <c r="D61" s="228">
        <v>625</v>
      </c>
      <c r="E61" s="231">
        <v>1326.5</v>
      </c>
      <c r="F61" s="231">
        <v>1334.8</v>
      </c>
      <c r="G61" s="228">
        <v>-8.3000000000000007</v>
      </c>
      <c r="H61" s="229">
        <v>-6.1999999999999998E-3</v>
      </c>
      <c r="I61" s="231">
        <v>1327.9</v>
      </c>
      <c r="J61" s="231">
        <v>1331.4</v>
      </c>
      <c r="K61" s="228">
        <v>-3.5</v>
      </c>
      <c r="L61" s="229">
        <v>-2.5999999999999999E-3</v>
      </c>
      <c r="M61" s="231">
        <v>1332.6</v>
      </c>
      <c r="N61" s="231">
        <v>1337.4</v>
      </c>
      <c r="O61" s="228">
        <v>-4.8</v>
      </c>
      <c r="P61" s="229">
        <v>-3.5999999999999999E-3</v>
      </c>
      <c r="Q61" s="231">
        <v>1326.5</v>
      </c>
      <c r="R61" s="231">
        <v>1334.8</v>
      </c>
      <c r="S61" s="228">
        <v>-8.3000000000000007</v>
      </c>
      <c r="T61" s="229">
        <v>-6.1999999999999998E-3</v>
      </c>
      <c r="U61" s="231">
        <v>1320.2</v>
      </c>
      <c r="V61" s="231">
        <v>1330</v>
      </c>
      <c r="W61" s="228">
        <v>-9.8000000000000007</v>
      </c>
      <c r="X61" s="229">
        <v>-7.4000000000000003E-3</v>
      </c>
      <c r="Y61" s="228">
        <v>-1.4</v>
      </c>
      <c r="Z61" s="228">
        <v>6</v>
      </c>
      <c r="AA61" s="228">
        <v>-7.4</v>
      </c>
      <c r="AB61" s="229">
        <v>-1.1000000000000001E-3</v>
      </c>
      <c r="AC61" s="228">
        <v>4.7</v>
      </c>
      <c r="AD61" s="228">
        <v>6</v>
      </c>
      <c r="AE61" s="228">
        <v>-1.3</v>
      </c>
      <c r="AF61" s="229">
        <v>3.5000000000000001E-3</v>
      </c>
      <c r="AG61" s="228">
        <v>-1.4</v>
      </c>
      <c r="AH61" s="228">
        <v>3.4</v>
      </c>
      <c r="AI61" s="228">
        <v>-4.8</v>
      </c>
      <c r="AJ61" s="229">
        <v>-1.1000000000000001E-3</v>
      </c>
      <c r="AK61" s="228">
        <v>-7.7</v>
      </c>
      <c r="AL61" s="228">
        <v>-1.4</v>
      </c>
      <c r="AM61" s="228">
        <v>-6.3</v>
      </c>
      <c r="AN61" s="229">
        <v>-5.7999999999999996E-3</v>
      </c>
      <c r="AO61" s="231">
        <v>1337.36</v>
      </c>
      <c r="AP61" s="231">
        <v>1332.27</v>
      </c>
      <c r="AQ61" s="228">
        <v>0</v>
      </c>
      <c r="AR61" s="230">
        <v>7668125</v>
      </c>
      <c r="AS61" s="230">
        <v>10256250</v>
      </c>
      <c r="AT61" s="230">
        <v>-2588125</v>
      </c>
      <c r="AU61" s="229">
        <v>-0.25230000000000002</v>
      </c>
      <c r="AV61" s="230">
        <v>4321875</v>
      </c>
      <c r="AW61" s="230">
        <v>5149375</v>
      </c>
      <c r="AX61" s="230">
        <v>-827500</v>
      </c>
      <c r="AY61" s="229">
        <v>-0.16070000000000001</v>
      </c>
      <c r="AZ61" s="230">
        <v>3311250</v>
      </c>
      <c r="BA61" s="230">
        <v>5033750</v>
      </c>
      <c r="BB61" s="230">
        <v>-1722500</v>
      </c>
      <c r="BC61" s="229">
        <v>-0.3422</v>
      </c>
      <c r="BD61" s="230">
        <v>35000</v>
      </c>
      <c r="BE61" s="230">
        <v>73125</v>
      </c>
      <c r="BF61" s="230">
        <v>-38125</v>
      </c>
      <c r="BG61" s="229">
        <v>-0.52139999999999997</v>
      </c>
      <c r="BH61" s="230">
        <v>8716250</v>
      </c>
      <c r="BI61" s="230">
        <v>16862500</v>
      </c>
      <c r="BJ61" s="230">
        <v>-8146250</v>
      </c>
      <c r="BK61" s="229">
        <v>-0.48309999999999997</v>
      </c>
      <c r="BL61" s="230">
        <v>5299375</v>
      </c>
      <c r="BM61" s="230">
        <v>9595000</v>
      </c>
      <c r="BN61" s="230">
        <v>-4295625</v>
      </c>
      <c r="BO61" s="229">
        <v>-0.44769999999999999</v>
      </c>
      <c r="BP61" s="230">
        <v>21683750</v>
      </c>
      <c r="BQ61" s="230">
        <v>36713750</v>
      </c>
      <c r="BR61" s="230">
        <v>-15030000</v>
      </c>
      <c r="BS61" s="229">
        <v>-0.40939999999999999</v>
      </c>
      <c r="BT61" s="230">
        <v>1941505</v>
      </c>
      <c r="BU61" s="230">
        <v>4702818</v>
      </c>
      <c r="BV61" s="230">
        <v>-2761313</v>
      </c>
      <c r="BW61" s="229">
        <v>-0.58720000000000006</v>
      </c>
      <c r="BX61" s="230">
        <v>17575000</v>
      </c>
      <c r="BY61" s="230">
        <v>22027500</v>
      </c>
      <c r="BZ61" s="230">
        <v>-4452500</v>
      </c>
      <c r="CA61" s="229">
        <v>-0.2021</v>
      </c>
      <c r="CB61" s="230">
        <v>5315000</v>
      </c>
      <c r="CC61" s="230">
        <v>5790000</v>
      </c>
      <c r="CD61" s="230">
        <v>-475000</v>
      </c>
      <c r="CE61" s="229">
        <v>-8.2000000000000003E-2</v>
      </c>
      <c r="CF61" s="230">
        <v>17446875</v>
      </c>
      <c r="CG61" s="230">
        <v>16125000</v>
      </c>
      <c r="CH61" s="230">
        <v>1321875</v>
      </c>
      <c r="CI61" s="229">
        <v>8.2000000000000003E-2</v>
      </c>
      <c r="CJ61" s="230">
        <v>128125</v>
      </c>
      <c r="CK61" s="230">
        <v>112500</v>
      </c>
      <c r="CL61" s="230">
        <v>15625</v>
      </c>
      <c r="CM61" s="229">
        <v>0.1389</v>
      </c>
      <c r="CN61" s="230">
        <v>2550000</v>
      </c>
      <c r="CO61" s="230">
        <v>9517500</v>
      </c>
      <c r="CP61" s="230">
        <v>-6967500</v>
      </c>
      <c r="CQ61" s="229">
        <v>-0.73209999999999997</v>
      </c>
      <c r="CR61" s="230">
        <v>1770000</v>
      </c>
      <c r="CS61" s="230">
        <v>5685625</v>
      </c>
      <c r="CT61" s="230">
        <v>-3915625</v>
      </c>
      <c r="CU61" s="229">
        <v>-0.68869999999999998</v>
      </c>
      <c r="CV61" s="230">
        <v>21895000</v>
      </c>
      <c r="CW61" s="230">
        <v>37230625</v>
      </c>
      <c r="CX61" s="230">
        <v>-15335625</v>
      </c>
      <c r="CY61" s="229">
        <v>-0.41189999999999999</v>
      </c>
      <c r="CZ61" s="228">
        <v>24</v>
      </c>
      <c r="DA61" s="228">
        <v>24.84</v>
      </c>
      <c r="DB61" s="228">
        <v>-0.84</v>
      </c>
      <c r="DC61" s="228">
        <v>-0.84</v>
      </c>
      <c r="DD61" s="228">
        <v>28.57</v>
      </c>
      <c r="DE61" s="228">
        <v>28.64</v>
      </c>
      <c r="DF61" s="228">
        <v>-4.57</v>
      </c>
      <c r="DG61" s="228">
        <v>-7.0000000000000007E-2</v>
      </c>
      <c r="DH61" s="228">
        <v>23.96</v>
      </c>
      <c r="DI61" s="228">
        <v>24.57</v>
      </c>
      <c r="DJ61" s="228">
        <v>-0.61</v>
      </c>
      <c r="DK61" s="228">
        <v>-0.61</v>
      </c>
      <c r="DL61" s="228">
        <v>24.07</v>
      </c>
      <c r="DM61" s="228">
        <v>25.26</v>
      </c>
      <c r="DN61" s="228">
        <v>-1.19</v>
      </c>
      <c r="DO61" s="228">
        <v>-1.19</v>
      </c>
      <c r="DP61" s="228">
        <v>0.69</v>
      </c>
      <c r="DQ61" s="228">
        <v>0.6</v>
      </c>
      <c r="DR61" s="228">
        <v>0.09</v>
      </c>
      <c r="DS61" s="229">
        <v>0.15</v>
      </c>
      <c r="DT61" s="231">
        <v>1400</v>
      </c>
      <c r="DU61" s="231">
        <v>1200</v>
      </c>
      <c r="DV61" s="228">
        <v>0.61</v>
      </c>
      <c r="DW61" s="228">
        <v>0.56999999999999995</v>
      </c>
      <c r="DX61" s="228">
        <v>0.04</v>
      </c>
      <c r="DY61" s="229">
        <v>7.0199999999999999E-2</v>
      </c>
      <c r="DZ61" s="229">
        <v>0.76780000000000004</v>
      </c>
      <c r="EA61" s="230">
        <v>16237500</v>
      </c>
      <c r="EB61" s="229">
        <v>-4.5999999999999999E-3</v>
      </c>
      <c r="EC61" s="229">
        <v>0.76780000000000004</v>
      </c>
      <c r="ED61" s="228">
        <v>-5.09</v>
      </c>
      <c r="EE61" s="229">
        <v>-3.8E-3</v>
      </c>
      <c r="EF61" s="230">
        <v>1131214</v>
      </c>
      <c r="EG61" s="230">
        <v>3402992</v>
      </c>
      <c r="EH61" s="229">
        <v>-0.66759999999999997</v>
      </c>
      <c r="EI61" s="229">
        <v>0.58260000000000001</v>
      </c>
      <c r="EJ61" s="231">
        <v>119618.22</v>
      </c>
      <c r="EK61" s="231">
        <v>70168.509999999995</v>
      </c>
      <c r="EL61" s="231">
        <v>102379.01</v>
      </c>
      <c r="EM61" s="231">
        <v>16223</v>
      </c>
      <c r="EN61" s="231">
        <v>292165.74</v>
      </c>
      <c r="EO61" s="231">
        <v>488566.32</v>
      </c>
      <c r="EP61" s="231">
        <v>-196400.58</v>
      </c>
      <c r="EQ61" s="229">
        <v>-0.40200000000000002</v>
      </c>
      <c r="ER61" s="231">
        <v>34909</v>
      </c>
      <c r="ES61" s="231">
        <v>22711</v>
      </c>
      <c r="ET61" s="231">
        <v>233124</v>
      </c>
      <c r="EU61" s="231">
        <v>61026255</v>
      </c>
      <c r="EV61" s="231">
        <v>290744</v>
      </c>
      <c r="EW61" s="231">
        <v>495718</v>
      </c>
      <c r="EX61" s="231">
        <v>-204974</v>
      </c>
      <c r="EY61" s="229">
        <v>-0.41349999999999998</v>
      </c>
      <c r="EZ61" s="229">
        <v>0.35880000000000001</v>
      </c>
      <c r="FA61" s="227" t="s">
        <v>567</v>
      </c>
      <c r="FB61" s="161">
        <f t="shared" si="0"/>
        <v>12260000</v>
      </c>
    </row>
    <row r="62" spans="1:158" ht="17.25" thickBot="1" x14ac:dyDescent="0.3">
      <c r="A62" s="226">
        <v>46168</v>
      </c>
      <c r="B62" s="227" t="s">
        <v>162</v>
      </c>
      <c r="C62" s="227" t="s">
        <v>209</v>
      </c>
      <c r="D62" s="228">
        <v>100</v>
      </c>
      <c r="E62" s="231">
        <v>7412</v>
      </c>
      <c r="F62" s="231">
        <v>7472</v>
      </c>
      <c r="G62" s="228">
        <v>-60</v>
      </c>
      <c r="H62" s="229">
        <v>-8.0000000000000002E-3</v>
      </c>
      <c r="I62" s="231">
        <v>7376</v>
      </c>
      <c r="J62" s="231">
        <v>7414</v>
      </c>
      <c r="K62" s="228">
        <v>-38</v>
      </c>
      <c r="L62" s="229">
        <v>-5.1000000000000004E-3</v>
      </c>
      <c r="M62" s="231">
        <v>7374.5</v>
      </c>
      <c r="N62" s="231">
        <v>7424.5</v>
      </c>
      <c r="O62" s="228">
        <v>-50</v>
      </c>
      <c r="P62" s="229">
        <v>-6.7000000000000002E-3</v>
      </c>
      <c r="Q62" s="231">
        <v>7412</v>
      </c>
      <c r="R62" s="231">
        <v>7472</v>
      </c>
      <c r="S62" s="228">
        <v>-60</v>
      </c>
      <c r="T62" s="229">
        <v>-8.0000000000000002E-3</v>
      </c>
      <c r="U62" s="231">
        <v>7446</v>
      </c>
      <c r="V62" s="231">
        <v>7496.5</v>
      </c>
      <c r="W62" s="228">
        <v>-50.5</v>
      </c>
      <c r="X62" s="229">
        <v>-6.7000000000000002E-3</v>
      </c>
      <c r="Y62" s="228">
        <v>36</v>
      </c>
      <c r="Z62" s="228">
        <v>10.5</v>
      </c>
      <c r="AA62" s="228">
        <v>25.5</v>
      </c>
      <c r="AB62" s="229">
        <v>4.8999999999999998E-3</v>
      </c>
      <c r="AC62" s="228">
        <v>-1.5</v>
      </c>
      <c r="AD62" s="228">
        <v>10.5</v>
      </c>
      <c r="AE62" s="228">
        <v>-12</v>
      </c>
      <c r="AF62" s="229">
        <v>-2.0000000000000001E-4</v>
      </c>
      <c r="AG62" s="228">
        <v>36</v>
      </c>
      <c r="AH62" s="228">
        <v>58</v>
      </c>
      <c r="AI62" s="228">
        <v>-22</v>
      </c>
      <c r="AJ62" s="229">
        <v>4.8999999999999998E-3</v>
      </c>
      <c r="AK62" s="228">
        <v>70</v>
      </c>
      <c r="AL62" s="228">
        <v>82.5</v>
      </c>
      <c r="AM62" s="228">
        <v>-12.5</v>
      </c>
      <c r="AN62" s="229">
        <v>9.4999999999999998E-3</v>
      </c>
      <c r="AO62" s="231">
        <v>7402.85</v>
      </c>
      <c r="AP62" s="231">
        <v>7442.32</v>
      </c>
      <c r="AQ62" s="228">
        <v>0</v>
      </c>
      <c r="AR62" s="230">
        <v>631200</v>
      </c>
      <c r="AS62" s="230">
        <v>2999400</v>
      </c>
      <c r="AT62" s="230">
        <v>-2368200</v>
      </c>
      <c r="AU62" s="229">
        <v>-0.78959999999999997</v>
      </c>
      <c r="AV62" s="230">
        <v>186000</v>
      </c>
      <c r="AW62" s="230">
        <v>1316300</v>
      </c>
      <c r="AX62" s="230">
        <v>-1130300</v>
      </c>
      <c r="AY62" s="229">
        <v>-0.85870000000000002</v>
      </c>
      <c r="AZ62" s="230">
        <v>435800</v>
      </c>
      <c r="BA62" s="230">
        <v>1664400</v>
      </c>
      <c r="BB62" s="230">
        <v>-1228600</v>
      </c>
      <c r="BC62" s="229">
        <v>-0.73819999999999997</v>
      </c>
      <c r="BD62" s="230">
        <v>9400</v>
      </c>
      <c r="BE62" s="230">
        <v>18700</v>
      </c>
      <c r="BF62" s="230">
        <v>-9300</v>
      </c>
      <c r="BG62" s="229">
        <v>-0.49730000000000002</v>
      </c>
      <c r="BH62" s="230">
        <v>4902800</v>
      </c>
      <c r="BI62" s="230">
        <v>19366000</v>
      </c>
      <c r="BJ62" s="230">
        <v>-14463200</v>
      </c>
      <c r="BK62" s="229">
        <v>-0.74680000000000002</v>
      </c>
      <c r="BL62" s="230">
        <v>2046800</v>
      </c>
      <c r="BM62" s="230">
        <v>7989400</v>
      </c>
      <c r="BN62" s="230">
        <v>-5942600</v>
      </c>
      <c r="BO62" s="229">
        <v>-0.74380000000000002</v>
      </c>
      <c r="BP62" s="230">
        <v>7580800</v>
      </c>
      <c r="BQ62" s="230">
        <v>30354800</v>
      </c>
      <c r="BR62" s="230">
        <v>-22774000</v>
      </c>
      <c r="BS62" s="229">
        <v>-0.75029999999999997</v>
      </c>
      <c r="BT62" s="230">
        <v>419636</v>
      </c>
      <c r="BU62" s="230">
        <v>1477511</v>
      </c>
      <c r="BV62" s="230">
        <v>-1057875</v>
      </c>
      <c r="BW62" s="229">
        <v>-0.71599999999999997</v>
      </c>
      <c r="BX62" s="230">
        <v>3158700</v>
      </c>
      <c r="BY62" s="230">
        <v>3425000</v>
      </c>
      <c r="BZ62" s="230">
        <v>-266300</v>
      </c>
      <c r="CA62" s="229">
        <v>-7.7799999999999994E-2</v>
      </c>
      <c r="CB62" s="230">
        <v>193900</v>
      </c>
      <c r="CC62" s="230">
        <v>296300</v>
      </c>
      <c r="CD62" s="230">
        <v>-102400</v>
      </c>
      <c r="CE62" s="229">
        <v>-0.34560000000000002</v>
      </c>
      <c r="CF62" s="230">
        <v>3130900</v>
      </c>
      <c r="CG62" s="230">
        <v>3101600</v>
      </c>
      <c r="CH62" s="230">
        <v>29300</v>
      </c>
      <c r="CI62" s="229">
        <v>9.4000000000000004E-3</v>
      </c>
      <c r="CJ62" s="230">
        <v>27800</v>
      </c>
      <c r="CK62" s="230">
        <v>27100</v>
      </c>
      <c r="CL62" s="228">
        <v>700</v>
      </c>
      <c r="CM62" s="229">
        <v>2.58E-2</v>
      </c>
      <c r="CN62" s="230">
        <v>1042900</v>
      </c>
      <c r="CO62" s="230">
        <v>2181900</v>
      </c>
      <c r="CP62" s="230">
        <v>-1139000</v>
      </c>
      <c r="CQ62" s="229">
        <v>-0.52200000000000002</v>
      </c>
      <c r="CR62" s="230">
        <v>752200</v>
      </c>
      <c r="CS62" s="230">
        <v>1696700</v>
      </c>
      <c r="CT62" s="230">
        <v>-944500</v>
      </c>
      <c r="CU62" s="229">
        <v>-0.55669999999999997</v>
      </c>
      <c r="CV62" s="230">
        <v>4953800</v>
      </c>
      <c r="CW62" s="230">
        <v>7303600</v>
      </c>
      <c r="CX62" s="230">
        <v>-2349800</v>
      </c>
      <c r="CY62" s="229">
        <v>-0.32169999999999999</v>
      </c>
      <c r="CZ62" s="228">
        <v>26.08</v>
      </c>
      <c r="DA62" s="228">
        <v>26.89</v>
      </c>
      <c r="DB62" s="228">
        <v>-0.81</v>
      </c>
      <c r="DC62" s="228">
        <v>-0.81</v>
      </c>
      <c r="DD62" s="228">
        <v>33.619999999999997</v>
      </c>
      <c r="DE62" s="228">
        <v>33.700000000000003</v>
      </c>
      <c r="DF62" s="228">
        <v>-7.54</v>
      </c>
      <c r="DG62" s="228">
        <v>-0.08</v>
      </c>
      <c r="DH62" s="228">
        <v>26.3</v>
      </c>
      <c r="DI62" s="228">
        <v>26.94</v>
      </c>
      <c r="DJ62" s="228">
        <v>-0.64</v>
      </c>
      <c r="DK62" s="228">
        <v>-0.64</v>
      </c>
      <c r="DL62" s="228">
        <v>25.69</v>
      </c>
      <c r="DM62" s="228">
        <v>26.77</v>
      </c>
      <c r="DN62" s="228">
        <v>-1.08</v>
      </c>
      <c r="DO62" s="228">
        <v>-1.08</v>
      </c>
      <c r="DP62" s="228">
        <v>0.72</v>
      </c>
      <c r="DQ62" s="228">
        <v>0.78</v>
      </c>
      <c r="DR62" s="228">
        <v>-0.06</v>
      </c>
      <c r="DS62" s="229">
        <v>-7.6899999999999996E-2</v>
      </c>
      <c r="DT62" s="231">
        <v>8000</v>
      </c>
      <c r="DU62" s="231">
        <v>6800</v>
      </c>
      <c r="DV62" s="228">
        <v>0.42</v>
      </c>
      <c r="DW62" s="228">
        <v>0.41</v>
      </c>
      <c r="DX62" s="228">
        <v>0.01</v>
      </c>
      <c r="DY62" s="229">
        <v>2.4400000000000002E-2</v>
      </c>
      <c r="DZ62" s="229">
        <v>0.94220000000000004</v>
      </c>
      <c r="EA62" s="230">
        <v>3128700</v>
      </c>
      <c r="EB62" s="229">
        <v>5.1000000000000004E-3</v>
      </c>
      <c r="EC62" s="229">
        <v>0.94220000000000004</v>
      </c>
      <c r="ED62" s="228">
        <v>39.47</v>
      </c>
      <c r="EE62" s="229">
        <v>5.3E-3</v>
      </c>
      <c r="EF62" s="230">
        <v>195280</v>
      </c>
      <c r="EG62" s="230">
        <v>449714</v>
      </c>
      <c r="EH62" s="229">
        <v>-0.56579999999999997</v>
      </c>
      <c r="EI62" s="229">
        <v>0.46539999999999998</v>
      </c>
      <c r="EJ62" s="231">
        <v>373811.73</v>
      </c>
      <c r="EK62" s="231">
        <v>149326.56</v>
      </c>
      <c r="EL62" s="231">
        <v>46905.4</v>
      </c>
      <c r="EM62" s="231">
        <v>15864</v>
      </c>
      <c r="EN62" s="231">
        <v>570043.68999999994</v>
      </c>
      <c r="EO62" s="231">
        <v>2263723.2999999998</v>
      </c>
      <c r="EP62" s="231">
        <v>-1693679.61</v>
      </c>
      <c r="EQ62" s="229">
        <v>-0.74819999999999998</v>
      </c>
      <c r="ER62" s="231">
        <v>79574</v>
      </c>
      <c r="ES62" s="231">
        <v>54154</v>
      </c>
      <c r="ET62" s="231">
        <v>234132</v>
      </c>
      <c r="EU62" s="231">
        <v>20960143</v>
      </c>
      <c r="EV62" s="231">
        <v>367861</v>
      </c>
      <c r="EW62" s="231">
        <v>540469</v>
      </c>
      <c r="EX62" s="231">
        <v>-172608</v>
      </c>
      <c r="EY62" s="229">
        <v>-0.31940000000000002</v>
      </c>
      <c r="EZ62" s="229">
        <v>0.23630000000000001</v>
      </c>
      <c r="FA62" s="227" t="s">
        <v>567</v>
      </c>
      <c r="FB62" s="161">
        <f t="shared" si="0"/>
        <v>2964800</v>
      </c>
    </row>
    <row r="63" spans="1:158" ht="17.25" thickBot="1" x14ac:dyDescent="0.3">
      <c r="A63" s="226">
        <v>46168</v>
      </c>
      <c r="B63" s="227" t="s">
        <v>614</v>
      </c>
      <c r="C63" s="227" t="s">
        <v>664</v>
      </c>
      <c r="D63" s="228">
        <v>2425</v>
      </c>
      <c r="E63" s="228">
        <v>252.4</v>
      </c>
      <c r="F63" s="228">
        <v>249.62</v>
      </c>
      <c r="G63" s="228">
        <v>2.78</v>
      </c>
      <c r="H63" s="229">
        <v>1.11E-2</v>
      </c>
      <c r="I63" s="228">
        <v>250.17</v>
      </c>
      <c r="J63" s="228">
        <v>247.67</v>
      </c>
      <c r="K63" s="228">
        <v>2.5</v>
      </c>
      <c r="L63" s="229">
        <v>1.01E-2</v>
      </c>
      <c r="M63" s="228">
        <v>250.41</v>
      </c>
      <c r="N63" s="228">
        <v>248.13</v>
      </c>
      <c r="O63" s="228">
        <v>2.2799999999999998</v>
      </c>
      <c r="P63" s="229">
        <v>9.1999999999999998E-3</v>
      </c>
      <c r="Q63" s="228">
        <v>252.4</v>
      </c>
      <c r="R63" s="228">
        <v>249.62</v>
      </c>
      <c r="S63" s="228">
        <v>2.78</v>
      </c>
      <c r="T63" s="229">
        <v>1.11E-2</v>
      </c>
      <c r="U63" s="228">
        <v>253.68</v>
      </c>
      <c r="V63" s="228">
        <v>250.97</v>
      </c>
      <c r="W63" s="228">
        <v>2.71</v>
      </c>
      <c r="X63" s="229">
        <v>1.0800000000000001E-2</v>
      </c>
      <c r="Y63" s="228">
        <v>2.23</v>
      </c>
      <c r="Z63" s="228">
        <v>0.46</v>
      </c>
      <c r="AA63" s="228">
        <v>1.77</v>
      </c>
      <c r="AB63" s="229">
        <v>8.8999999999999999E-3</v>
      </c>
      <c r="AC63" s="228">
        <v>0.24</v>
      </c>
      <c r="AD63" s="228">
        <v>0.46</v>
      </c>
      <c r="AE63" s="228">
        <v>-0.22</v>
      </c>
      <c r="AF63" s="229">
        <v>1E-3</v>
      </c>
      <c r="AG63" s="228">
        <v>2.23</v>
      </c>
      <c r="AH63" s="228">
        <v>1.95</v>
      </c>
      <c r="AI63" s="228">
        <v>0.28000000000000003</v>
      </c>
      <c r="AJ63" s="229">
        <v>8.8999999999999999E-3</v>
      </c>
      <c r="AK63" s="228">
        <v>3.51</v>
      </c>
      <c r="AL63" s="228">
        <v>3.3</v>
      </c>
      <c r="AM63" s="228">
        <v>0.21</v>
      </c>
      <c r="AN63" s="229">
        <v>1.4E-2</v>
      </c>
      <c r="AO63" s="228">
        <v>250.82</v>
      </c>
      <c r="AP63" s="228">
        <v>252.54</v>
      </c>
      <c r="AQ63" s="228">
        <v>0</v>
      </c>
      <c r="AR63" s="230">
        <v>96173075</v>
      </c>
      <c r="AS63" s="230">
        <v>113017125</v>
      </c>
      <c r="AT63" s="230">
        <v>-16844050</v>
      </c>
      <c r="AU63" s="229">
        <v>-0.14899999999999999</v>
      </c>
      <c r="AV63" s="230">
        <v>39711800</v>
      </c>
      <c r="AW63" s="230">
        <v>52156900</v>
      </c>
      <c r="AX63" s="230">
        <v>-12445100</v>
      </c>
      <c r="AY63" s="229">
        <v>-0.23860000000000001</v>
      </c>
      <c r="AZ63" s="230">
        <v>54431550</v>
      </c>
      <c r="BA63" s="230">
        <v>59679250</v>
      </c>
      <c r="BB63" s="230">
        <v>-5247700</v>
      </c>
      <c r="BC63" s="229">
        <v>-8.7900000000000006E-2</v>
      </c>
      <c r="BD63" s="230">
        <v>2029725</v>
      </c>
      <c r="BE63" s="230">
        <v>1180975</v>
      </c>
      <c r="BF63" s="230">
        <v>848750</v>
      </c>
      <c r="BG63" s="229">
        <v>0.71870000000000001</v>
      </c>
      <c r="BH63" s="230">
        <v>84865300</v>
      </c>
      <c r="BI63" s="230">
        <v>98328900</v>
      </c>
      <c r="BJ63" s="230">
        <v>-13463600</v>
      </c>
      <c r="BK63" s="229">
        <v>-0.13689999999999999</v>
      </c>
      <c r="BL63" s="230">
        <v>46535750</v>
      </c>
      <c r="BM63" s="230">
        <v>62586825</v>
      </c>
      <c r="BN63" s="230">
        <v>-16051075</v>
      </c>
      <c r="BO63" s="229">
        <v>-0.25650000000000001</v>
      </c>
      <c r="BP63" s="230">
        <v>227574125</v>
      </c>
      <c r="BQ63" s="230">
        <v>273932850</v>
      </c>
      <c r="BR63" s="230">
        <v>-46358725</v>
      </c>
      <c r="BS63" s="229">
        <v>-0.16919999999999999</v>
      </c>
      <c r="BT63" s="230">
        <v>25760413</v>
      </c>
      <c r="BU63" s="230">
        <v>20915538</v>
      </c>
      <c r="BV63" s="230">
        <v>4844875</v>
      </c>
      <c r="BW63" s="229">
        <v>0.2316</v>
      </c>
      <c r="BX63" s="230">
        <v>195641725</v>
      </c>
      <c r="BY63" s="230">
        <v>196485625</v>
      </c>
      <c r="BZ63" s="230">
        <v>-843900</v>
      </c>
      <c r="CA63" s="229">
        <v>-4.3E-3</v>
      </c>
      <c r="CB63" s="230">
        <v>7146475</v>
      </c>
      <c r="CC63" s="230">
        <v>34010625</v>
      </c>
      <c r="CD63" s="230">
        <v>-26864150</v>
      </c>
      <c r="CE63" s="229">
        <v>-0.78990000000000005</v>
      </c>
      <c r="CF63" s="230">
        <v>189368250</v>
      </c>
      <c r="CG63" s="230">
        <v>157159400</v>
      </c>
      <c r="CH63" s="230">
        <v>32208850</v>
      </c>
      <c r="CI63" s="229">
        <v>0.2049</v>
      </c>
      <c r="CJ63" s="230">
        <v>6273475</v>
      </c>
      <c r="CK63" s="230">
        <v>5315600</v>
      </c>
      <c r="CL63" s="230">
        <v>957875</v>
      </c>
      <c r="CM63" s="229">
        <v>0.1802</v>
      </c>
      <c r="CN63" s="230">
        <v>22860475</v>
      </c>
      <c r="CO63" s="230">
        <v>75611500</v>
      </c>
      <c r="CP63" s="230">
        <v>-52751025</v>
      </c>
      <c r="CQ63" s="229">
        <v>-0.69769999999999999</v>
      </c>
      <c r="CR63" s="230">
        <v>24354275</v>
      </c>
      <c r="CS63" s="230">
        <v>43111650</v>
      </c>
      <c r="CT63" s="230">
        <v>-18757375</v>
      </c>
      <c r="CU63" s="229">
        <v>-0.43509999999999999</v>
      </c>
      <c r="CV63" s="230">
        <v>242856475</v>
      </c>
      <c r="CW63" s="230">
        <v>315208775</v>
      </c>
      <c r="CX63" s="230">
        <v>-72352300</v>
      </c>
      <c r="CY63" s="229">
        <v>-0.22950000000000001</v>
      </c>
      <c r="CZ63" s="228">
        <v>31.91</v>
      </c>
      <c r="DA63" s="228">
        <v>31.58</v>
      </c>
      <c r="DB63" s="228">
        <v>0.33</v>
      </c>
      <c r="DC63" s="228">
        <v>0.33</v>
      </c>
      <c r="DD63" s="228">
        <v>45.02</v>
      </c>
      <c r="DE63" s="228">
        <v>45.11</v>
      </c>
      <c r="DF63" s="228">
        <v>-13.11</v>
      </c>
      <c r="DG63" s="228">
        <v>-0.09</v>
      </c>
      <c r="DH63" s="228">
        <v>31.63</v>
      </c>
      <c r="DI63" s="228">
        <v>31.48</v>
      </c>
      <c r="DJ63" s="228">
        <v>0.15</v>
      </c>
      <c r="DK63" s="228">
        <v>0.15</v>
      </c>
      <c r="DL63" s="228">
        <v>32.35</v>
      </c>
      <c r="DM63" s="228">
        <v>31.71</v>
      </c>
      <c r="DN63" s="228">
        <v>0.64</v>
      </c>
      <c r="DO63" s="228">
        <v>0.64</v>
      </c>
      <c r="DP63" s="228">
        <v>1.07</v>
      </c>
      <c r="DQ63" s="228">
        <v>0.56999999999999995</v>
      </c>
      <c r="DR63" s="228">
        <v>0.5</v>
      </c>
      <c r="DS63" s="229">
        <v>0.87719999999999998</v>
      </c>
      <c r="DT63" s="228">
        <v>260</v>
      </c>
      <c r="DU63" s="228">
        <v>250</v>
      </c>
      <c r="DV63" s="228">
        <v>0.55000000000000004</v>
      </c>
      <c r="DW63" s="228">
        <v>0.64</v>
      </c>
      <c r="DX63" s="228">
        <v>-0.09</v>
      </c>
      <c r="DY63" s="229">
        <v>-0.1406</v>
      </c>
      <c r="DZ63" s="229">
        <v>0.96479999999999999</v>
      </c>
      <c r="EA63" s="230">
        <v>162475000</v>
      </c>
      <c r="EB63" s="229">
        <v>7.9000000000000008E-3</v>
      </c>
      <c r="EC63" s="229">
        <v>0.96479999999999999</v>
      </c>
      <c r="ED63" s="228">
        <v>1.72</v>
      </c>
      <c r="EE63" s="229">
        <v>6.8999999999999999E-3</v>
      </c>
      <c r="EF63" s="230">
        <v>12674139</v>
      </c>
      <c r="EG63" s="230">
        <v>10063721</v>
      </c>
      <c r="EH63" s="229">
        <v>0.25940000000000002</v>
      </c>
      <c r="EI63" s="229">
        <v>0.49199999999999999</v>
      </c>
      <c r="EJ63" s="231">
        <v>222468.97</v>
      </c>
      <c r="EK63" s="231">
        <v>116684.28</v>
      </c>
      <c r="EL63" s="231">
        <v>242226.94</v>
      </c>
      <c r="EM63" s="231">
        <v>29288</v>
      </c>
      <c r="EN63" s="231">
        <v>581380.18999999994</v>
      </c>
      <c r="EO63" s="231">
        <v>689901.35</v>
      </c>
      <c r="EP63" s="231">
        <v>-108521.16</v>
      </c>
      <c r="EQ63" s="229">
        <v>-0.1573</v>
      </c>
      <c r="ER63" s="231">
        <v>59378</v>
      </c>
      <c r="ES63" s="231">
        <v>60131</v>
      </c>
      <c r="ET63" s="231">
        <v>493880</v>
      </c>
      <c r="EU63" s="231">
        <v>1366821859</v>
      </c>
      <c r="EV63" s="231">
        <v>613389</v>
      </c>
      <c r="EW63" s="231">
        <v>793770</v>
      </c>
      <c r="EX63" s="231">
        <v>-180381</v>
      </c>
      <c r="EY63" s="229">
        <v>-0.22720000000000001</v>
      </c>
      <c r="EZ63" s="229">
        <v>0.1777</v>
      </c>
      <c r="FA63" s="227" t="s">
        <v>691</v>
      </c>
      <c r="FB63" s="161">
        <f t="shared" si="0"/>
        <v>188495250</v>
      </c>
    </row>
    <row r="64" spans="1:158" ht="17.25" thickBot="1" x14ac:dyDescent="0.3">
      <c r="A64" s="226">
        <v>46168</v>
      </c>
      <c r="B64" s="227" t="s">
        <v>162</v>
      </c>
      <c r="C64" s="227" t="s">
        <v>211</v>
      </c>
      <c r="D64" s="228">
        <v>1800</v>
      </c>
      <c r="E64" s="228">
        <v>368.15</v>
      </c>
      <c r="F64" s="228">
        <v>349.5</v>
      </c>
      <c r="G64" s="228">
        <v>18.649999999999999</v>
      </c>
      <c r="H64" s="229">
        <v>5.3400000000000003E-2</v>
      </c>
      <c r="I64" s="228">
        <v>366.25</v>
      </c>
      <c r="J64" s="228">
        <v>346.25</v>
      </c>
      <c r="K64" s="228">
        <v>20</v>
      </c>
      <c r="L64" s="229">
        <v>5.7799999999999997E-2</v>
      </c>
      <c r="M64" s="228">
        <v>366.1</v>
      </c>
      <c r="N64" s="228">
        <v>346.9</v>
      </c>
      <c r="O64" s="228">
        <v>19.2</v>
      </c>
      <c r="P64" s="229">
        <v>5.5300000000000002E-2</v>
      </c>
      <c r="Q64" s="228">
        <v>368.15</v>
      </c>
      <c r="R64" s="228">
        <v>349.5</v>
      </c>
      <c r="S64" s="228">
        <v>18.649999999999999</v>
      </c>
      <c r="T64" s="229">
        <v>5.3400000000000003E-2</v>
      </c>
      <c r="U64" s="228">
        <v>368.15</v>
      </c>
      <c r="V64" s="228">
        <v>349.3</v>
      </c>
      <c r="W64" s="228">
        <v>18.850000000000001</v>
      </c>
      <c r="X64" s="229">
        <v>5.3999999999999999E-2</v>
      </c>
      <c r="Y64" s="228">
        <v>1.9</v>
      </c>
      <c r="Z64" s="228">
        <v>0.65</v>
      </c>
      <c r="AA64" s="228">
        <v>1.25</v>
      </c>
      <c r="AB64" s="229">
        <v>5.1999999999999998E-3</v>
      </c>
      <c r="AC64" s="228">
        <v>-0.15</v>
      </c>
      <c r="AD64" s="228">
        <v>0.65</v>
      </c>
      <c r="AE64" s="228">
        <v>-0.8</v>
      </c>
      <c r="AF64" s="229">
        <v>-4.0000000000000002E-4</v>
      </c>
      <c r="AG64" s="228">
        <v>1.9</v>
      </c>
      <c r="AH64" s="228">
        <v>3.25</v>
      </c>
      <c r="AI64" s="228">
        <v>-1.35</v>
      </c>
      <c r="AJ64" s="229">
        <v>5.1999999999999998E-3</v>
      </c>
      <c r="AK64" s="228">
        <v>1.9</v>
      </c>
      <c r="AL64" s="228">
        <v>3.05</v>
      </c>
      <c r="AM64" s="228">
        <v>-1.1499999999999999</v>
      </c>
      <c r="AN64" s="229">
        <v>5.1999999999999998E-3</v>
      </c>
      <c r="AO64" s="228">
        <v>356.18</v>
      </c>
      <c r="AP64" s="228">
        <v>359.43</v>
      </c>
      <c r="AQ64" s="228">
        <v>0</v>
      </c>
      <c r="AR64" s="230">
        <v>20527200</v>
      </c>
      <c r="AS64" s="230">
        <v>12394800</v>
      </c>
      <c r="AT64" s="230">
        <v>8132400</v>
      </c>
      <c r="AU64" s="229">
        <v>0.65610000000000002</v>
      </c>
      <c r="AV64" s="230">
        <v>7018200</v>
      </c>
      <c r="AW64" s="230">
        <v>6093000</v>
      </c>
      <c r="AX64" s="230">
        <v>925200</v>
      </c>
      <c r="AY64" s="229">
        <v>0.15179999999999999</v>
      </c>
      <c r="AZ64" s="230">
        <v>12816000</v>
      </c>
      <c r="BA64" s="230">
        <v>5986800</v>
      </c>
      <c r="BB64" s="230">
        <v>6829200</v>
      </c>
      <c r="BC64" s="229">
        <v>1.1407</v>
      </c>
      <c r="BD64" s="230">
        <v>693000</v>
      </c>
      <c r="BE64" s="230">
        <v>315000</v>
      </c>
      <c r="BF64" s="230">
        <v>378000</v>
      </c>
      <c r="BG64" s="229">
        <v>1.2</v>
      </c>
      <c r="BH64" s="230">
        <v>34041600</v>
      </c>
      <c r="BI64" s="230">
        <v>11476800</v>
      </c>
      <c r="BJ64" s="230">
        <v>22564800</v>
      </c>
      <c r="BK64" s="229">
        <v>1.9661</v>
      </c>
      <c r="BL64" s="230">
        <v>9754200</v>
      </c>
      <c r="BM64" s="230">
        <v>5736600</v>
      </c>
      <c r="BN64" s="230">
        <v>4017600</v>
      </c>
      <c r="BO64" s="229">
        <v>0.70030000000000003</v>
      </c>
      <c r="BP64" s="230">
        <v>64323000</v>
      </c>
      <c r="BQ64" s="230">
        <v>29608200</v>
      </c>
      <c r="BR64" s="230">
        <v>34714800</v>
      </c>
      <c r="BS64" s="229">
        <v>1.1725000000000001</v>
      </c>
      <c r="BT64" s="230">
        <v>9722130</v>
      </c>
      <c r="BU64" s="230">
        <v>1730050</v>
      </c>
      <c r="BV64" s="230">
        <v>7992080</v>
      </c>
      <c r="BW64" s="229">
        <v>4.6196000000000002</v>
      </c>
      <c r="BX64" s="230">
        <v>21601800</v>
      </c>
      <c r="BY64" s="230">
        <v>23173200</v>
      </c>
      <c r="BZ64" s="230">
        <v>-1571400</v>
      </c>
      <c r="CA64" s="229">
        <v>-6.7799999999999999E-2</v>
      </c>
      <c r="CB64" s="230">
        <v>1872000</v>
      </c>
      <c r="CC64" s="230">
        <v>4753800</v>
      </c>
      <c r="CD64" s="230">
        <v>-2881800</v>
      </c>
      <c r="CE64" s="229">
        <v>-0.60619999999999996</v>
      </c>
      <c r="CF64" s="230">
        <v>20795400</v>
      </c>
      <c r="CG64" s="230">
        <v>17757000</v>
      </c>
      <c r="CH64" s="230">
        <v>3038400</v>
      </c>
      <c r="CI64" s="229">
        <v>0.1711</v>
      </c>
      <c r="CJ64" s="230">
        <v>806400</v>
      </c>
      <c r="CK64" s="230">
        <v>662400</v>
      </c>
      <c r="CL64" s="230">
        <v>144000</v>
      </c>
      <c r="CM64" s="229">
        <v>0.21740000000000001</v>
      </c>
      <c r="CN64" s="230">
        <v>7911000</v>
      </c>
      <c r="CO64" s="230">
        <v>16605000</v>
      </c>
      <c r="CP64" s="230">
        <v>-8694000</v>
      </c>
      <c r="CQ64" s="229">
        <v>-0.52359999999999995</v>
      </c>
      <c r="CR64" s="230">
        <v>5414400</v>
      </c>
      <c r="CS64" s="230">
        <v>9979200</v>
      </c>
      <c r="CT64" s="230">
        <v>-4564800</v>
      </c>
      <c r="CU64" s="229">
        <v>-0.45739999999999997</v>
      </c>
      <c r="CV64" s="230">
        <v>34927200</v>
      </c>
      <c r="CW64" s="230">
        <v>49757400</v>
      </c>
      <c r="CX64" s="230">
        <v>-14830200</v>
      </c>
      <c r="CY64" s="229">
        <v>-0.29809999999999998</v>
      </c>
      <c r="CZ64" s="228">
        <v>31.6</v>
      </c>
      <c r="DA64" s="228">
        <v>31.13</v>
      </c>
      <c r="DB64" s="228">
        <v>0.47</v>
      </c>
      <c r="DC64" s="228">
        <v>0.47</v>
      </c>
      <c r="DD64" s="228">
        <v>36.299999999999997</v>
      </c>
      <c r="DE64" s="228">
        <v>35.700000000000003</v>
      </c>
      <c r="DF64" s="228">
        <v>-4.7</v>
      </c>
      <c r="DG64" s="228">
        <v>0.6</v>
      </c>
      <c r="DH64" s="228">
        <v>31.36</v>
      </c>
      <c r="DI64" s="228">
        <v>31.09</v>
      </c>
      <c r="DJ64" s="228">
        <v>0.27</v>
      </c>
      <c r="DK64" s="228">
        <v>0.27</v>
      </c>
      <c r="DL64" s="228">
        <v>32.549999999999997</v>
      </c>
      <c r="DM64" s="228">
        <v>31.2</v>
      </c>
      <c r="DN64" s="228">
        <v>1.35</v>
      </c>
      <c r="DO64" s="228">
        <v>1.35</v>
      </c>
      <c r="DP64" s="228">
        <v>0.68</v>
      </c>
      <c r="DQ64" s="228">
        <v>0.6</v>
      </c>
      <c r="DR64" s="228">
        <v>0.08</v>
      </c>
      <c r="DS64" s="229">
        <v>0.1333</v>
      </c>
      <c r="DT64" s="228">
        <v>350</v>
      </c>
      <c r="DU64" s="228">
        <v>350</v>
      </c>
      <c r="DV64" s="228">
        <v>0.28999999999999998</v>
      </c>
      <c r="DW64" s="228">
        <v>0.5</v>
      </c>
      <c r="DX64" s="228">
        <v>-0.21</v>
      </c>
      <c r="DY64" s="229">
        <v>-0.42</v>
      </c>
      <c r="DZ64" s="229">
        <v>0.92030000000000001</v>
      </c>
      <c r="EA64" s="230">
        <v>18419400</v>
      </c>
      <c r="EB64" s="229">
        <v>5.5999999999999999E-3</v>
      </c>
      <c r="EC64" s="229">
        <v>0.92030000000000001</v>
      </c>
      <c r="ED64" s="228">
        <v>3.25</v>
      </c>
      <c r="EE64" s="229">
        <v>9.1000000000000004E-3</v>
      </c>
      <c r="EF64" s="230">
        <v>4075354</v>
      </c>
      <c r="EG64" s="230">
        <v>604110</v>
      </c>
      <c r="EH64" s="229">
        <v>5.7460000000000004</v>
      </c>
      <c r="EI64" s="229">
        <v>0.41920000000000002</v>
      </c>
      <c r="EJ64" s="231">
        <v>126762.12</v>
      </c>
      <c r="EK64" s="231">
        <v>34485.730000000003</v>
      </c>
      <c r="EL64" s="231">
        <v>73547.59</v>
      </c>
      <c r="EM64" s="231">
        <v>5719</v>
      </c>
      <c r="EN64" s="231">
        <v>234795.44</v>
      </c>
      <c r="EO64" s="231">
        <v>104932.24</v>
      </c>
      <c r="EP64" s="231">
        <v>129863.2</v>
      </c>
      <c r="EQ64" s="229">
        <v>1.2376</v>
      </c>
      <c r="ER64" s="231">
        <v>28958</v>
      </c>
      <c r="ES64" s="231">
        <v>18859</v>
      </c>
      <c r="ET64" s="231">
        <v>79527</v>
      </c>
      <c r="EU64" s="231">
        <v>50211048</v>
      </c>
      <c r="EV64" s="231">
        <v>127344</v>
      </c>
      <c r="EW64" s="231">
        <v>176275</v>
      </c>
      <c r="EX64" s="231">
        <v>-48931</v>
      </c>
      <c r="EY64" s="229">
        <v>-0.27760000000000001</v>
      </c>
      <c r="EZ64" s="229">
        <v>0.6956</v>
      </c>
      <c r="FA64" s="227" t="s">
        <v>691</v>
      </c>
      <c r="FB64" s="161">
        <f t="shared" si="0"/>
        <v>19729800</v>
      </c>
    </row>
    <row r="65" spans="1:158" ht="17.25" thickBot="1" x14ac:dyDescent="0.3">
      <c r="A65" s="226">
        <v>46168</v>
      </c>
      <c r="B65" s="227" t="s">
        <v>172</v>
      </c>
      <c r="C65" s="227" t="s">
        <v>212</v>
      </c>
      <c r="D65" s="228">
        <v>2500</v>
      </c>
      <c r="E65" s="228">
        <v>291.55</v>
      </c>
      <c r="F65" s="228">
        <v>291</v>
      </c>
      <c r="G65" s="228">
        <v>0.55000000000000004</v>
      </c>
      <c r="H65" s="229">
        <v>1.9E-3</v>
      </c>
      <c r="I65" s="228">
        <v>290.2</v>
      </c>
      <c r="J65" s="228">
        <v>289.25</v>
      </c>
      <c r="K65" s="228">
        <v>0.95</v>
      </c>
      <c r="L65" s="229">
        <v>3.3E-3</v>
      </c>
      <c r="M65" s="228">
        <v>289.89999999999998</v>
      </c>
      <c r="N65" s="228">
        <v>289.25</v>
      </c>
      <c r="O65" s="228">
        <v>0.65</v>
      </c>
      <c r="P65" s="229">
        <v>2.2000000000000001E-3</v>
      </c>
      <c r="Q65" s="228">
        <v>291.55</v>
      </c>
      <c r="R65" s="228">
        <v>291</v>
      </c>
      <c r="S65" s="228">
        <v>0.55000000000000004</v>
      </c>
      <c r="T65" s="229">
        <v>1.9E-3</v>
      </c>
      <c r="U65" s="228">
        <v>292.89999999999998</v>
      </c>
      <c r="V65" s="228">
        <v>292.55</v>
      </c>
      <c r="W65" s="228">
        <v>0.35</v>
      </c>
      <c r="X65" s="229">
        <v>1.1999999999999999E-3</v>
      </c>
      <c r="Y65" s="228">
        <v>1.35</v>
      </c>
      <c r="Z65" s="228">
        <v>0</v>
      </c>
      <c r="AA65" s="228">
        <v>1.35</v>
      </c>
      <c r="AB65" s="229">
        <v>4.7000000000000002E-3</v>
      </c>
      <c r="AC65" s="228">
        <v>-0.3</v>
      </c>
      <c r="AD65" s="228">
        <v>0</v>
      </c>
      <c r="AE65" s="228">
        <v>-0.3</v>
      </c>
      <c r="AF65" s="229">
        <v>-1E-3</v>
      </c>
      <c r="AG65" s="228">
        <v>1.35</v>
      </c>
      <c r="AH65" s="228">
        <v>1.75</v>
      </c>
      <c r="AI65" s="228">
        <v>-0.4</v>
      </c>
      <c r="AJ65" s="229">
        <v>4.7000000000000002E-3</v>
      </c>
      <c r="AK65" s="228">
        <v>2.7</v>
      </c>
      <c r="AL65" s="228">
        <v>3.3</v>
      </c>
      <c r="AM65" s="228">
        <v>-0.6</v>
      </c>
      <c r="AN65" s="229">
        <v>9.2999999999999992E-3</v>
      </c>
      <c r="AO65" s="228">
        <v>290.48</v>
      </c>
      <c r="AP65" s="228">
        <v>292.25</v>
      </c>
      <c r="AQ65" s="228">
        <v>0</v>
      </c>
      <c r="AR65" s="230">
        <v>28367500</v>
      </c>
      <c r="AS65" s="230">
        <v>49550000</v>
      </c>
      <c r="AT65" s="230">
        <v>-21182500</v>
      </c>
      <c r="AU65" s="229">
        <v>-0.42749999999999999</v>
      </c>
      <c r="AV65" s="230">
        <v>11457500</v>
      </c>
      <c r="AW65" s="230">
        <v>21765000</v>
      </c>
      <c r="AX65" s="230">
        <v>-10307500</v>
      </c>
      <c r="AY65" s="229">
        <v>-0.47360000000000002</v>
      </c>
      <c r="AZ65" s="230">
        <v>16535000</v>
      </c>
      <c r="BA65" s="230">
        <v>27430000</v>
      </c>
      <c r="BB65" s="230">
        <v>-10895000</v>
      </c>
      <c r="BC65" s="229">
        <v>-0.3972</v>
      </c>
      <c r="BD65" s="230">
        <v>375000</v>
      </c>
      <c r="BE65" s="230">
        <v>355000</v>
      </c>
      <c r="BF65" s="230">
        <v>20000</v>
      </c>
      <c r="BG65" s="229">
        <v>5.6300000000000003E-2</v>
      </c>
      <c r="BH65" s="230">
        <v>22457500</v>
      </c>
      <c r="BI65" s="230">
        <v>29905000</v>
      </c>
      <c r="BJ65" s="230">
        <v>-7447500</v>
      </c>
      <c r="BK65" s="229">
        <v>-0.249</v>
      </c>
      <c r="BL65" s="230">
        <v>11112500</v>
      </c>
      <c r="BM65" s="230">
        <v>13990000</v>
      </c>
      <c r="BN65" s="230">
        <v>-2877500</v>
      </c>
      <c r="BO65" s="229">
        <v>-0.20569999999999999</v>
      </c>
      <c r="BP65" s="230">
        <v>61937500</v>
      </c>
      <c r="BQ65" s="230">
        <v>93445000</v>
      </c>
      <c r="BR65" s="230">
        <v>-31507500</v>
      </c>
      <c r="BS65" s="229">
        <v>-0.3372</v>
      </c>
      <c r="BT65" s="230">
        <v>11095138</v>
      </c>
      <c r="BU65" s="230">
        <v>9561507</v>
      </c>
      <c r="BV65" s="230">
        <v>1533631</v>
      </c>
      <c r="BW65" s="229">
        <v>0.16039999999999999</v>
      </c>
      <c r="BX65" s="230">
        <v>80370000</v>
      </c>
      <c r="BY65" s="230">
        <v>85247500</v>
      </c>
      <c r="BZ65" s="230">
        <v>-4877500</v>
      </c>
      <c r="CA65" s="229">
        <v>-5.7200000000000001E-2</v>
      </c>
      <c r="CB65" s="230">
        <v>7522500</v>
      </c>
      <c r="CC65" s="230">
        <v>12897500</v>
      </c>
      <c r="CD65" s="230">
        <v>-5375000</v>
      </c>
      <c r="CE65" s="229">
        <v>-0.41670000000000001</v>
      </c>
      <c r="CF65" s="230">
        <v>79055000</v>
      </c>
      <c r="CG65" s="230">
        <v>71147500</v>
      </c>
      <c r="CH65" s="230">
        <v>7907500</v>
      </c>
      <c r="CI65" s="229">
        <v>0.1111</v>
      </c>
      <c r="CJ65" s="230">
        <v>1315000</v>
      </c>
      <c r="CK65" s="230">
        <v>1202500</v>
      </c>
      <c r="CL65" s="230">
        <v>112500</v>
      </c>
      <c r="CM65" s="229">
        <v>9.3600000000000003E-2</v>
      </c>
      <c r="CN65" s="230">
        <v>10142500</v>
      </c>
      <c r="CO65" s="230">
        <v>31115000</v>
      </c>
      <c r="CP65" s="230">
        <v>-20972500</v>
      </c>
      <c r="CQ65" s="229">
        <v>-0.67400000000000004</v>
      </c>
      <c r="CR65" s="230">
        <v>7740000</v>
      </c>
      <c r="CS65" s="230">
        <v>18757500</v>
      </c>
      <c r="CT65" s="230">
        <v>-11017500</v>
      </c>
      <c r="CU65" s="229">
        <v>-0.58740000000000003</v>
      </c>
      <c r="CV65" s="230">
        <v>98252500</v>
      </c>
      <c r="CW65" s="230">
        <v>135120000</v>
      </c>
      <c r="CX65" s="230">
        <v>-36867500</v>
      </c>
      <c r="CY65" s="229">
        <v>-0.27289999999999998</v>
      </c>
      <c r="CZ65" s="228">
        <v>23.78</v>
      </c>
      <c r="DA65" s="228">
        <v>24.81</v>
      </c>
      <c r="DB65" s="228">
        <v>-1.03</v>
      </c>
      <c r="DC65" s="228">
        <v>-1.03</v>
      </c>
      <c r="DD65" s="228">
        <v>31.31</v>
      </c>
      <c r="DE65" s="228">
        <v>31.38</v>
      </c>
      <c r="DF65" s="228">
        <v>-7.53</v>
      </c>
      <c r="DG65" s="228">
        <v>-7.0000000000000007E-2</v>
      </c>
      <c r="DH65" s="228">
        <v>23.74</v>
      </c>
      <c r="DI65" s="228">
        <v>24.82</v>
      </c>
      <c r="DJ65" s="228">
        <v>-1.08</v>
      </c>
      <c r="DK65" s="228">
        <v>-1.08</v>
      </c>
      <c r="DL65" s="228">
        <v>23.85</v>
      </c>
      <c r="DM65" s="228">
        <v>24.81</v>
      </c>
      <c r="DN65" s="228">
        <v>-0.96</v>
      </c>
      <c r="DO65" s="228">
        <v>-0.96</v>
      </c>
      <c r="DP65" s="228">
        <v>0.76</v>
      </c>
      <c r="DQ65" s="228">
        <v>0.6</v>
      </c>
      <c r="DR65" s="228">
        <v>0.16</v>
      </c>
      <c r="DS65" s="229">
        <v>0.26669999999999999</v>
      </c>
      <c r="DT65" s="228">
        <v>300</v>
      </c>
      <c r="DU65" s="228">
        <v>280</v>
      </c>
      <c r="DV65" s="228">
        <v>0.49</v>
      </c>
      <c r="DW65" s="228">
        <v>0.47</v>
      </c>
      <c r="DX65" s="228">
        <v>0.02</v>
      </c>
      <c r="DY65" s="229">
        <v>4.2599999999999999E-2</v>
      </c>
      <c r="DZ65" s="229">
        <v>0.91439999999999999</v>
      </c>
      <c r="EA65" s="230">
        <v>72350000</v>
      </c>
      <c r="EB65" s="229">
        <v>5.7000000000000002E-3</v>
      </c>
      <c r="EC65" s="229">
        <v>0.91439999999999999</v>
      </c>
      <c r="ED65" s="228">
        <v>1.77</v>
      </c>
      <c r="EE65" s="229">
        <v>6.1000000000000004E-3</v>
      </c>
      <c r="EF65" s="230">
        <v>6264976</v>
      </c>
      <c r="EG65" s="230">
        <v>5993259</v>
      </c>
      <c r="EH65" s="229">
        <v>4.53E-2</v>
      </c>
      <c r="EI65" s="229">
        <v>0.56469999999999998</v>
      </c>
      <c r="EJ65" s="231">
        <v>67260.899999999994</v>
      </c>
      <c r="EK65" s="231">
        <v>32320.69</v>
      </c>
      <c r="EL65" s="231">
        <v>82706.25</v>
      </c>
      <c r="EM65" s="231">
        <v>15136</v>
      </c>
      <c r="EN65" s="231">
        <v>182287.84</v>
      </c>
      <c r="EO65" s="231">
        <v>273038.68</v>
      </c>
      <c r="EP65" s="231">
        <v>-90750.84</v>
      </c>
      <c r="EQ65" s="229">
        <v>-0.33239999999999997</v>
      </c>
      <c r="ER65" s="231">
        <v>30033</v>
      </c>
      <c r="ES65" s="231">
        <v>22038</v>
      </c>
      <c r="ET65" s="231">
        <v>234336</v>
      </c>
      <c r="EU65" s="231">
        <v>359450597</v>
      </c>
      <c r="EV65" s="231">
        <v>286408</v>
      </c>
      <c r="EW65" s="231">
        <v>394641</v>
      </c>
      <c r="EX65" s="231">
        <v>-108233</v>
      </c>
      <c r="EY65" s="229">
        <v>-0.27429999999999999</v>
      </c>
      <c r="EZ65" s="229">
        <v>0.27329999999999999</v>
      </c>
      <c r="FA65" s="227" t="s">
        <v>691</v>
      </c>
      <c r="FB65" s="161">
        <f t="shared" si="0"/>
        <v>72847500</v>
      </c>
    </row>
    <row r="66" spans="1:158" ht="17.25" thickBot="1" x14ac:dyDescent="0.3">
      <c r="A66" s="226">
        <v>46168</v>
      </c>
      <c r="B66" s="227" t="s">
        <v>181</v>
      </c>
      <c r="C66" s="227" t="s">
        <v>480</v>
      </c>
      <c r="D66" s="228">
        <v>60</v>
      </c>
      <c r="E66" s="231">
        <v>26061.8</v>
      </c>
      <c r="F66" s="231">
        <v>26277.4</v>
      </c>
      <c r="G66" s="228">
        <v>-215.6</v>
      </c>
      <c r="H66" s="229">
        <v>-8.2000000000000007E-3</v>
      </c>
      <c r="I66" s="231">
        <v>25932.25</v>
      </c>
      <c r="J66" s="231">
        <v>26102.15</v>
      </c>
      <c r="K66" s="228">
        <v>-169.9</v>
      </c>
      <c r="L66" s="229">
        <v>-6.4999999999999997E-3</v>
      </c>
      <c r="M66" s="231">
        <v>25936</v>
      </c>
      <c r="N66" s="231">
        <v>26172.7</v>
      </c>
      <c r="O66" s="228">
        <v>-236.7</v>
      </c>
      <c r="P66" s="229">
        <v>-8.9999999999999993E-3</v>
      </c>
      <c r="Q66" s="231">
        <v>26061.8</v>
      </c>
      <c r="R66" s="231">
        <v>26277.4</v>
      </c>
      <c r="S66" s="228">
        <v>-215.6</v>
      </c>
      <c r="T66" s="229">
        <v>-8.2000000000000007E-3</v>
      </c>
      <c r="U66" s="228">
        <v>0</v>
      </c>
      <c r="V66" s="228">
        <v>0</v>
      </c>
      <c r="W66" s="228">
        <v>0</v>
      </c>
      <c r="X66" s="229">
        <v>0</v>
      </c>
      <c r="Y66" s="228">
        <v>129.55000000000001</v>
      </c>
      <c r="Z66" s="228">
        <v>70.55</v>
      </c>
      <c r="AA66" s="228">
        <v>59</v>
      </c>
      <c r="AB66" s="229">
        <v>5.0000000000000001E-3</v>
      </c>
      <c r="AC66" s="228">
        <v>3.75</v>
      </c>
      <c r="AD66" s="228">
        <v>70.55</v>
      </c>
      <c r="AE66" s="228">
        <v>-66.8</v>
      </c>
      <c r="AF66" s="229">
        <v>1E-4</v>
      </c>
      <c r="AG66" s="228">
        <v>129.55000000000001</v>
      </c>
      <c r="AH66" s="228">
        <v>175.25</v>
      </c>
      <c r="AI66" s="228">
        <v>-45.7</v>
      </c>
      <c r="AJ66" s="229">
        <v>5.0000000000000001E-3</v>
      </c>
      <c r="AK66" s="228">
        <v>0</v>
      </c>
      <c r="AL66" s="228">
        <v>0</v>
      </c>
      <c r="AM66" s="228">
        <v>0</v>
      </c>
      <c r="AN66" s="229">
        <v>0</v>
      </c>
      <c r="AO66" s="231">
        <v>25986.720000000001</v>
      </c>
      <c r="AP66" s="231">
        <v>26130.799999999999</v>
      </c>
      <c r="AQ66" s="228">
        <v>0</v>
      </c>
      <c r="AR66" s="230">
        <v>38220</v>
      </c>
      <c r="AS66" s="230">
        <v>30780</v>
      </c>
      <c r="AT66" s="230">
        <v>7440</v>
      </c>
      <c r="AU66" s="229">
        <v>0.2417</v>
      </c>
      <c r="AV66" s="230">
        <v>23640</v>
      </c>
      <c r="AW66" s="230">
        <v>23820</v>
      </c>
      <c r="AX66" s="228">
        <v>-180</v>
      </c>
      <c r="AY66" s="229">
        <v>-7.6E-3</v>
      </c>
      <c r="AZ66" s="230">
        <v>14580</v>
      </c>
      <c r="BA66" s="230">
        <v>6960</v>
      </c>
      <c r="BB66" s="230">
        <v>7620</v>
      </c>
      <c r="BC66" s="229">
        <v>1.0948</v>
      </c>
      <c r="BD66" s="228">
        <v>0</v>
      </c>
      <c r="BE66" s="228">
        <v>0</v>
      </c>
      <c r="BF66" s="228">
        <v>0</v>
      </c>
      <c r="BG66" s="229">
        <v>0</v>
      </c>
      <c r="BH66" s="230">
        <v>78467040</v>
      </c>
      <c r="BI66" s="230">
        <v>9640800</v>
      </c>
      <c r="BJ66" s="230">
        <v>68826240</v>
      </c>
      <c r="BK66" s="229">
        <v>7.1391</v>
      </c>
      <c r="BL66" s="230">
        <v>88682700</v>
      </c>
      <c r="BM66" s="230">
        <v>9445620</v>
      </c>
      <c r="BN66" s="230">
        <v>79237080</v>
      </c>
      <c r="BO66" s="229">
        <v>8.3887999999999998</v>
      </c>
      <c r="BP66" s="230">
        <v>167187960</v>
      </c>
      <c r="BQ66" s="230">
        <v>19117200</v>
      </c>
      <c r="BR66" s="230">
        <v>148070760</v>
      </c>
      <c r="BS66" s="229">
        <v>7.7454000000000001</v>
      </c>
      <c r="BT66" s="228">
        <v>0</v>
      </c>
      <c r="BU66" s="228">
        <v>0</v>
      </c>
      <c r="BV66" s="228">
        <v>0</v>
      </c>
      <c r="BW66" s="229">
        <v>0</v>
      </c>
      <c r="BX66" s="230">
        <v>13860</v>
      </c>
      <c r="BY66" s="230">
        <v>33240</v>
      </c>
      <c r="BZ66" s="230">
        <v>-19380</v>
      </c>
      <c r="CA66" s="229">
        <v>-0.58299999999999996</v>
      </c>
      <c r="CB66" s="230">
        <v>20760</v>
      </c>
      <c r="CC66" s="230">
        <v>26160</v>
      </c>
      <c r="CD66" s="230">
        <v>-5400</v>
      </c>
      <c r="CE66" s="229">
        <v>-0.2064</v>
      </c>
      <c r="CF66" s="230">
        <v>13860</v>
      </c>
      <c r="CG66" s="230">
        <v>7080</v>
      </c>
      <c r="CH66" s="230">
        <v>6780</v>
      </c>
      <c r="CI66" s="229">
        <v>0.95760000000000001</v>
      </c>
      <c r="CJ66" s="228">
        <v>0</v>
      </c>
      <c r="CK66" s="228">
        <v>0</v>
      </c>
      <c r="CL66" s="228">
        <v>0</v>
      </c>
      <c r="CM66" s="229">
        <v>0</v>
      </c>
      <c r="CN66" s="230">
        <v>10200</v>
      </c>
      <c r="CO66" s="230">
        <v>1039860</v>
      </c>
      <c r="CP66" s="230">
        <v>-1029660</v>
      </c>
      <c r="CQ66" s="229">
        <v>-0.99019999999999997</v>
      </c>
      <c r="CR66" s="230">
        <v>7920</v>
      </c>
      <c r="CS66" s="230">
        <v>985620</v>
      </c>
      <c r="CT66" s="230">
        <v>-977700</v>
      </c>
      <c r="CU66" s="229">
        <v>-0.99199999999999999</v>
      </c>
      <c r="CV66" s="230">
        <v>31980</v>
      </c>
      <c r="CW66" s="230">
        <v>2058720</v>
      </c>
      <c r="CX66" s="230">
        <v>-2026740</v>
      </c>
      <c r="CY66" s="229">
        <v>-0.98450000000000004</v>
      </c>
      <c r="CZ66" s="228">
        <v>18.75</v>
      </c>
      <c r="DA66" s="228">
        <v>19.3</v>
      </c>
      <c r="DB66" s="228">
        <v>-0.55000000000000004</v>
      </c>
      <c r="DC66" s="228">
        <v>-0.55000000000000004</v>
      </c>
      <c r="DD66" s="228">
        <v>21.67</v>
      </c>
      <c r="DE66" s="228">
        <v>21.71</v>
      </c>
      <c r="DF66" s="228">
        <v>-2.92</v>
      </c>
      <c r="DG66" s="228">
        <v>-0.04</v>
      </c>
      <c r="DH66" s="228">
        <v>18.170000000000002</v>
      </c>
      <c r="DI66" s="228">
        <v>18.22</v>
      </c>
      <c r="DJ66" s="228">
        <v>-0.05</v>
      </c>
      <c r="DK66" s="228">
        <v>-0.05</v>
      </c>
      <c r="DL66" s="228">
        <v>19.510000000000002</v>
      </c>
      <c r="DM66" s="228">
        <v>21.55</v>
      </c>
      <c r="DN66" s="228">
        <v>-2.04</v>
      </c>
      <c r="DO66" s="228">
        <v>-2.04</v>
      </c>
      <c r="DP66" s="228">
        <v>0.78</v>
      </c>
      <c r="DQ66" s="228">
        <v>0.95</v>
      </c>
      <c r="DR66" s="228">
        <v>-0.17</v>
      </c>
      <c r="DS66" s="229">
        <v>-0.1789</v>
      </c>
      <c r="DT66" s="231">
        <v>26100</v>
      </c>
      <c r="DU66" s="231">
        <v>25900</v>
      </c>
      <c r="DV66" s="228">
        <v>1.1299999999999999</v>
      </c>
      <c r="DW66" s="228">
        <v>0.98</v>
      </c>
      <c r="DX66" s="228">
        <v>0.15</v>
      </c>
      <c r="DY66" s="229">
        <v>0.15310000000000001</v>
      </c>
      <c r="DZ66" s="229">
        <v>0.40029999999999999</v>
      </c>
      <c r="EA66" s="230">
        <v>7080</v>
      </c>
      <c r="EB66" s="229">
        <v>4.8999999999999998E-3</v>
      </c>
      <c r="EC66" s="229">
        <v>0.40029999999999999</v>
      </c>
      <c r="ED66" s="228">
        <v>144.08000000000001</v>
      </c>
      <c r="EE66" s="229">
        <v>5.4999999999999997E-3</v>
      </c>
      <c r="EF66" s="228">
        <v>0</v>
      </c>
      <c r="EG66" s="228">
        <v>0</v>
      </c>
      <c r="EH66" s="229">
        <v>0</v>
      </c>
      <c r="EI66" s="229">
        <v>0</v>
      </c>
      <c r="EJ66" s="231">
        <v>20535668.390000001</v>
      </c>
      <c r="EK66" s="231">
        <v>22985238.710000001</v>
      </c>
      <c r="EL66" s="231">
        <v>9953.1299999999992</v>
      </c>
      <c r="EM66" s="228">
        <v>0</v>
      </c>
      <c r="EN66" s="231">
        <v>43530860.229999997</v>
      </c>
      <c r="EO66" s="231">
        <v>4969812.9000000004</v>
      </c>
      <c r="EP66" s="231">
        <v>38561047.329999998</v>
      </c>
      <c r="EQ66" s="229">
        <v>7.7591000000000001</v>
      </c>
      <c r="ER66" s="231">
        <v>2803</v>
      </c>
      <c r="ES66" s="231">
        <v>1988</v>
      </c>
      <c r="ET66" s="231">
        <v>3612</v>
      </c>
      <c r="EU66" s="228">
        <v>0</v>
      </c>
      <c r="EV66" s="231">
        <v>8403</v>
      </c>
      <c r="EW66" s="231">
        <v>533146</v>
      </c>
      <c r="EX66" s="231">
        <v>-524743</v>
      </c>
      <c r="EY66" s="229">
        <v>-0.98419999999999996</v>
      </c>
      <c r="EZ66" s="229">
        <v>0</v>
      </c>
      <c r="FA66" s="227" t="s">
        <v>567</v>
      </c>
      <c r="FB66" s="161">
        <f t="shared" si="0"/>
        <v>-6900</v>
      </c>
    </row>
    <row r="67" spans="1:158" ht="17.25" thickBot="1" x14ac:dyDescent="0.3">
      <c r="A67" s="226">
        <v>46168</v>
      </c>
      <c r="B67" s="227" t="s">
        <v>162</v>
      </c>
      <c r="C67" s="227" t="s">
        <v>698</v>
      </c>
      <c r="D67" s="228">
        <v>25</v>
      </c>
      <c r="E67" s="231">
        <v>19900</v>
      </c>
      <c r="F67" s="231">
        <v>20089</v>
      </c>
      <c r="G67" s="228">
        <v>-189</v>
      </c>
      <c r="H67" s="229">
        <v>-9.4000000000000004E-3</v>
      </c>
      <c r="I67" s="231">
        <v>19833</v>
      </c>
      <c r="J67" s="231">
        <v>20214</v>
      </c>
      <c r="K67" s="228">
        <v>-381</v>
      </c>
      <c r="L67" s="229">
        <v>-1.8800000000000001E-2</v>
      </c>
      <c r="M67" s="231">
        <v>19773</v>
      </c>
      <c r="N67" s="231">
        <v>20215</v>
      </c>
      <c r="O67" s="228">
        <v>-442</v>
      </c>
      <c r="P67" s="229">
        <v>-2.1899999999999999E-2</v>
      </c>
      <c r="Q67" s="231">
        <v>19900</v>
      </c>
      <c r="R67" s="231">
        <v>20089</v>
      </c>
      <c r="S67" s="228">
        <v>-189</v>
      </c>
      <c r="T67" s="229">
        <v>-9.4000000000000004E-3</v>
      </c>
      <c r="U67" s="231">
        <v>19899</v>
      </c>
      <c r="V67" s="231">
        <v>20060</v>
      </c>
      <c r="W67" s="228">
        <v>-161</v>
      </c>
      <c r="X67" s="229">
        <v>-8.0000000000000002E-3</v>
      </c>
      <c r="Y67" s="228">
        <v>67</v>
      </c>
      <c r="Z67" s="228">
        <v>1</v>
      </c>
      <c r="AA67" s="228">
        <v>66</v>
      </c>
      <c r="AB67" s="229">
        <v>3.3999999999999998E-3</v>
      </c>
      <c r="AC67" s="228">
        <v>-60</v>
      </c>
      <c r="AD67" s="228">
        <v>1</v>
      </c>
      <c r="AE67" s="228">
        <v>-61</v>
      </c>
      <c r="AF67" s="229">
        <v>-3.0000000000000001E-3</v>
      </c>
      <c r="AG67" s="228">
        <v>67</v>
      </c>
      <c r="AH67" s="228">
        <v>-125</v>
      </c>
      <c r="AI67" s="228">
        <v>192</v>
      </c>
      <c r="AJ67" s="229">
        <v>3.3999999999999998E-3</v>
      </c>
      <c r="AK67" s="228">
        <v>66</v>
      </c>
      <c r="AL67" s="228">
        <v>-154</v>
      </c>
      <c r="AM67" s="228">
        <v>220</v>
      </c>
      <c r="AN67" s="229">
        <v>3.3E-3</v>
      </c>
      <c r="AO67" s="231">
        <v>19929.599999999999</v>
      </c>
      <c r="AP67" s="231">
        <v>19964.87</v>
      </c>
      <c r="AQ67" s="228">
        <v>0</v>
      </c>
      <c r="AR67" s="230">
        <v>104225</v>
      </c>
      <c r="AS67" s="230">
        <v>203475</v>
      </c>
      <c r="AT67" s="230">
        <v>-99250</v>
      </c>
      <c r="AU67" s="229">
        <v>-0.48780000000000001</v>
      </c>
      <c r="AV67" s="230">
        <v>46650</v>
      </c>
      <c r="AW67" s="230">
        <v>93675</v>
      </c>
      <c r="AX67" s="230">
        <v>-47025</v>
      </c>
      <c r="AY67" s="229">
        <v>-0.502</v>
      </c>
      <c r="AZ67" s="230">
        <v>56100</v>
      </c>
      <c r="BA67" s="230">
        <v>107950</v>
      </c>
      <c r="BB67" s="230">
        <v>-51850</v>
      </c>
      <c r="BC67" s="229">
        <v>-0.4803</v>
      </c>
      <c r="BD67" s="230">
        <v>1475</v>
      </c>
      <c r="BE67" s="230">
        <v>1850</v>
      </c>
      <c r="BF67" s="228">
        <v>-375</v>
      </c>
      <c r="BG67" s="229">
        <v>-0.20269999999999999</v>
      </c>
      <c r="BH67" s="230">
        <v>433150</v>
      </c>
      <c r="BI67" s="230">
        <v>2047175</v>
      </c>
      <c r="BJ67" s="230">
        <v>-1614025</v>
      </c>
      <c r="BK67" s="229">
        <v>-0.78839999999999999</v>
      </c>
      <c r="BL67" s="230">
        <v>96925</v>
      </c>
      <c r="BM67" s="230">
        <v>596425</v>
      </c>
      <c r="BN67" s="230">
        <v>-499500</v>
      </c>
      <c r="BO67" s="229">
        <v>-0.83750000000000002</v>
      </c>
      <c r="BP67" s="230">
        <v>634300</v>
      </c>
      <c r="BQ67" s="230">
        <v>2847075</v>
      </c>
      <c r="BR67" s="230">
        <v>-2212775</v>
      </c>
      <c r="BS67" s="229">
        <v>-0.7772</v>
      </c>
      <c r="BT67" s="230">
        <v>86116</v>
      </c>
      <c r="BU67" s="230">
        <v>150042</v>
      </c>
      <c r="BV67" s="230">
        <v>-63926</v>
      </c>
      <c r="BW67" s="229">
        <v>-0.42609999999999998</v>
      </c>
      <c r="BX67" s="230">
        <v>212225</v>
      </c>
      <c r="BY67" s="230">
        <v>236550</v>
      </c>
      <c r="BZ67" s="230">
        <v>-24325</v>
      </c>
      <c r="CA67" s="229">
        <v>-0.1028</v>
      </c>
      <c r="CB67" s="230">
        <v>8625</v>
      </c>
      <c r="CC67" s="230">
        <v>32150</v>
      </c>
      <c r="CD67" s="230">
        <v>-23525</v>
      </c>
      <c r="CE67" s="229">
        <v>-0.73170000000000002</v>
      </c>
      <c r="CF67" s="230">
        <v>205225</v>
      </c>
      <c r="CG67" s="230">
        <v>198250</v>
      </c>
      <c r="CH67" s="230">
        <v>6975</v>
      </c>
      <c r="CI67" s="229">
        <v>3.5200000000000002E-2</v>
      </c>
      <c r="CJ67" s="230">
        <v>7000</v>
      </c>
      <c r="CK67" s="230">
        <v>6150</v>
      </c>
      <c r="CL67" s="228">
        <v>850</v>
      </c>
      <c r="CM67" s="229">
        <v>0.13819999999999999</v>
      </c>
      <c r="CN67" s="230">
        <v>41150</v>
      </c>
      <c r="CO67" s="230">
        <v>211300</v>
      </c>
      <c r="CP67" s="230">
        <v>-170150</v>
      </c>
      <c r="CQ67" s="229">
        <v>-0.80530000000000002</v>
      </c>
      <c r="CR67" s="230">
        <v>11175</v>
      </c>
      <c r="CS67" s="230">
        <v>67775</v>
      </c>
      <c r="CT67" s="230">
        <v>-56600</v>
      </c>
      <c r="CU67" s="229">
        <v>-0.83509999999999995</v>
      </c>
      <c r="CV67" s="230">
        <v>264550</v>
      </c>
      <c r="CW67" s="230">
        <v>515625</v>
      </c>
      <c r="CX67" s="230">
        <v>-251075</v>
      </c>
      <c r="CY67" s="229">
        <v>-0.4869</v>
      </c>
      <c r="CZ67" s="228">
        <v>45.77</v>
      </c>
      <c r="DA67" s="228">
        <v>47.44</v>
      </c>
      <c r="DB67" s="228">
        <v>-1.67</v>
      </c>
      <c r="DC67" s="228">
        <v>-1.67</v>
      </c>
      <c r="DD67" s="228">
        <v>64.34</v>
      </c>
      <c r="DE67" s="228">
        <v>64.489999999999995</v>
      </c>
      <c r="DF67" s="228">
        <v>-18.57</v>
      </c>
      <c r="DG67" s="228">
        <v>-0.15</v>
      </c>
      <c r="DH67" s="228">
        <v>45.94</v>
      </c>
      <c r="DI67" s="228">
        <v>47.64</v>
      </c>
      <c r="DJ67" s="228">
        <v>-1.7</v>
      </c>
      <c r="DK67" s="228">
        <v>-1.7</v>
      </c>
      <c r="DL67" s="228">
        <v>44.99</v>
      </c>
      <c r="DM67" s="228">
        <v>46.45</v>
      </c>
      <c r="DN67" s="228">
        <v>-1.46</v>
      </c>
      <c r="DO67" s="228">
        <v>-1.46</v>
      </c>
      <c r="DP67" s="228">
        <v>0.27</v>
      </c>
      <c r="DQ67" s="228">
        <v>0.32</v>
      </c>
      <c r="DR67" s="228">
        <v>-0.05</v>
      </c>
      <c r="DS67" s="229">
        <v>-0.15620000000000001</v>
      </c>
      <c r="DT67" s="231">
        <v>23000</v>
      </c>
      <c r="DU67" s="231">
        <v>19000</v>
      </c>
      <c r="DV67" s="228">
        <v>0.22</v>
      </c>
      <c r="DW67" s="228">
        <v>0.28999999999999998</v>
      </c>
      <c r="DX67" s="228">
        <v>-7.0000000000000007E-2</v>
      </c>
      <c r="DY67" s="229">
        <v>-0.2414</v>
      </c>
      <c r="DZ67" s="229">
        <v>0.96089999999999998</v>
      </c>
      <c r="EA67" s="230">
        <v>204400</v>
      </c>
      <c r="EB67" s="229">
        <v>6.4000000000000003E-3</v>
      </c>
      <c r="EC67" s="229">
        <v>0.96089999999999998</v>
      </c>
      <c r="ED67" s="228">
        <v>35.270000000000003</v>
      </c>
      <c r="EE67" s="229">
        <v>1.8E-3</v>
      </c>
      <c r="EF67" s="230">
        <v>26703</v>
      </c>
      <c r="EG67" s="230">
        <v>24202</v>
      </c>
      <c r="EH67" s="229">
        <v>0.1033</v>
      </c>
      <c r="EI67" s="229">
        <v>0.31009999999999999</v>
      </c>
      <c r="EJ67" s="231">
        <v>93852.42</v>
      </c>
      <c r="EK67" s="231">
        <v>18748.53</v>
      </c>
      <c r="EL67" s="231">
        <v>20791.599999999999</v>
      </c>
      <c r="EM67" s="231">
        <v>7396</v>
      </c>
      <c r="EN67" s="231">
        <v>133392.54999999999</v>
      </c>
      <c r="EO67" s="231">
        <v>603471.16</v>
      </c>
      <c r="EP67" s="231">
        <v>-470078.61</v>
      </c>
      <c r="EQ67" s="229">
        <v>-0.77900000000000003</v>
      </c>
      <c r="ER67" s="231">
        <v>8775</v>
      </c>
      <c r="ES67" s="231">
        <v>2190</v>
      </c>
      <c r="ET67" s="231">
        <v>42233</v>
      </c>
      <c r="EU67" s="231">
        <v>736885</v>
      </c>
      <c r="EV67" s="231">
        <v>53198</v>
      </c>
      <c r="EW67" s="231">
        <v>106931</v>
      </c>
      <c r="EX67" s="231">
        <v>-53733</v>
      </c>
      <c r="EY67" s="229">
        <v>-0.50249999999999995</v>
      </c>
      <c r="EZ67" s="229">
        <v>0.35899999999999999</v>
      </c>
      <c r="FA67" s="227" t="s">
        <v>567</v>
      </c>
      <c r="FB67" s="161">
        <f t="shared" ref="FB67:FB130" si="1">BX67-CB67</f>
        <v>203600</v>
      </c>
    </row>
    <row r="68" spans="1:158" ht="17.25" thickBot="1" x14ac:dyDescent="0.3">
      <c r="A68" s="226">
        <v>46168</v>
      </c>
      <c r="B68" s="227" t="s">
        <v>170</v>
      </c>
      <c r="C68" s="227" t="s">
        <v>674</v>
      </c>
      <c r="D68" s="228">
        <v>775</v>
      </c>
      <c r="E68" s="228">
        <v>974.2</v>
      </c>
      <c r="F68" s="228">
        <v>978.3</v>
      </c>
      <c r="G68" s="228">
        <v>-4.0999999999999996</v>
      </c>
      <c r="H68" s="229">
        <v>-4.1999999999999997E-3</v>
      </c>
      <c r="I68" s="228">
        <v>966.6</v>
      </c>
      <c r="J68" s="228">
        <v>970.35</v>
      </c>
      <c r="K68" s="228">
        <v>-3.75</v>
      </c>
      <c r="L68" s="229">
        <v>-3.8999999999999998E-3</v>
      </c>
      <c r="M68" s="228">
        <v>966.75</v>
      </c>
      <c r="N68" s="228">
        <v>970.85</v>
      </c>
      <c r="O68" s="228">
        <v>-4.0999999999999996</v>
      </c>
      <c r="P68" s="229">
        <v>-4.1999999999999997E-3</v>
      </c>
      <c r="Q68" s="228">
        <v>974.2</v>
      </c>
      <c r="R68" s="228">
        <v>978.3</v>
      </c>
      <c r="S68" s="228">
        <v>-4.0999999999999996</v>
      </c>
      <c r="T68" s="229">
        <v>-4.1999999999999997E-3</v>
      </c>
      <c r="U68" s="228">
        <v>980.5</v>
      </c>
      <c r="V68" s="228">
        <v>978.3</v>
      </c>
      <c r="W68" s="228">
        <v>2.2000000000000002</v>
      </c>
      <c r="X68" s="229">
        <v>2.2000000000000001E-3</v>
      </c>
      <c r="Y68" s="228">
        <v>7.6</v>
      </c>
      <c r="Z68" s="228">
        <v>0.5</v>
      </c>
      <c r="AA68" s="228">
        <v>7.1</v>
      </c>
      <c r="AB68" s="229">
        <v>7.9000000000000008E-3</v>
      </c>
      <c r="AC68" s="228">
        <v>0.15</v>
      </c>
      <c r="AD68" s="228">
        <v>0.5</v>
      </c>
      <c r="AE68" s="228">
        <v>-0.35</v>
      </c>
      <c r="AF68" s="229">
        <v>2.0000000000000001E-4</v>
      </c>
      <c r="AG68" s="228">
        <v>7.6</v>
      </c>
      <c r="AH68" s="228">
        <v>7.95</v>
      </c>
      <c r="AI68" s="228">
        <v>-0.35</v>
      </c>
      <c r="AJ68" s="229">
        <v>7.9000000000000008E-3</v>
      </c>
      <c r="AK68" s="228">
        <v>13.9</v>
      </c>
      <c r="AL68" s="228">
        <v>7.95</v>
      </c>
      <c r="AM68" s="228">
        <v>5.95</v>
      </c>
      <c r="AN68" s="229">
        <v>1.44E-2</v>
      </c>
      <c r="AO68" s="228">
        <v>965.29</v>
      </c>
      <c r="AP68" s="228">
        <v>972.37</v>
      </c>
      <c r="AQ68" s="228">
        <v>0</v>
      </c>
      <c r="AR68" s="230">
        <v>2467600</v>
      </c>
      <c r="AS68" s="230">
        <v>5617200</v>
      </c>
      <c r="AT68" s="230">
        <v>-3149600</v>
      </c>
      <c r="AU68" s="229">
        <v>-0.56069999999999998</v>
      </c>
      <c r="AV68" s="230">
        <v>899000</v>
      </c>
      <c r="AW68" s="230">
        <v>2414125</v>
      </c>
      <c r="AX68" s="230">
        <v>-1515125</v>
      </c>
      <c r="AY68" s="229">
        <v>-0.62760000000000005</v>
      </c>
      <c r="AZ68" s="230">
        <v>1563175</v>
      </c>
      <c r="BA68" s="230">
        <v>3195325</v>
      </c>
      <c r="BB68" s="230">
        <v>-1632150</v>
      </c>
      <c r="BC68" s="229">
        <v>-0.51080000000000003</v>
      </c>
      <c r="BD68" s="230">
        <v>5425</v>
      </c>
      <c r="BE68" s="230">
        <v>7750</v>
      </c>
      <c r="BF68" s="230">
        <v>-2325</v>
      </c>
      <c r="BG68" s="229">
        <v>-0.3</v>
      </c>
      <c r="BH68" s="230">
        <v>2926400</v>
      </c>
      <c r="BI68" s="230">
        <v>14266200</v>
      </c>
      <c r="BJ68" s="230">
        <v>-11339800</v>
      </c>
      <c r="BK68" s="229">
        <v>-0.79490000000000005</v>
      </c>
      <c r="BL68" s="230">
        <v>1264800</v>
      </c>
      <c r="BM68" s="230">
        <v>6367400</v>
      </c>
      <c r="BN68" s="230">
        <v>-5102600</v>
      </c>
      <c r="BO68" s="229">
        <v>-0.8014</v>
      </c>
      <c r="BP68" s="230">
        <v>6658800</v>
      </c>
      <c r="BQ68" s="230">
        <v>26250800</v>
      </c>
      <c r="BR68" s="230">
        <v>-19592000</v>
      </c>
      <c r="BS68" s="229">
        <v>-0.74629999999999996</v>
      </c>
      <c r="BT68" s="230">
        <v>930704</v>
      </c>
      <c r="BU68" s="230">
        <v>1887776</v>
      </c>
      <c r="BV68" s="230">
        <v>-957072</v>
      </c>
      <c r="BW68" s="229">
        <v>-0.50700000000000001</v>
      </c>
      <c r="BX68" s="230">
        <v>9223275</v>
      </c>
      <c r="BY68" s="230">
        <v>9273650</v>
      </c>
      <c r="BZ68" s="230">
        <v>-50375</v>
      </c>
      <c r="CA68" s="229">
        <v>-5.4000000000000003E-3</v>
      </c>
      <c r="CB68" s="230">
        <v>189100</v>
      </c>
      <c r="CC68" s="230">
        <v>643250</v>
      </c>
      <c r="CD68" s="230">
        <v>-454150</v>
      </c>
      <c r="CE68" s="229">
        <v>-0.70599999999999996</v>
      </c>
      <c r="CF68" s="230">
        <v>9186850</v>
      </c>
      <c r="CG68" s="230">
        <v>8597850</v>
      </c>
      <c r="CH68" s="230">
        <v>589000</v>
      </c>
      <c r="CI68" s="229">
        <v>6.8500000000000005E-2</v>
      </c>
      <c r="CJ68" s="230">
        <v>36425</v>
      </c>
      <c r="CK68" s="230">
        <v>32550</v>
      </c>
      <c r="CL68" s="230">
        <v>3875</v>
      </c>
      <c r="CM68" s="229">
        <v>0.11899999999999999</v>
      </c>
      <c r="CN68" s="230">
        <v>1344625</v>
      </c>
      <c r="CO68" s="230">
        <v>2840375</v>
      </c>
      <c r="CP68" s="230">
        <v>-1495750</v>
      </c>
      <c r="CQ68" s="229">
        <v>-0.52659999999999996</v>
      </c>
      <c r="CR68" s="230">
        <v>693625</v>
      </c>
      <c r="CS68" s="230">
        <v>1816600</v>
      </c>
      <c r="CT68" s="230">
        <v>-1122975</v>
      </c>
      <c r="CU68" s="229">
        <v>-0.61819999999999997</v>
      </c>
      <c r="CV68" s="230">
        <v>11261525</v>
      </c>
      <c r="CW68" s="230">
        <v>13930625</v>
      </c>
      <c r="CX68" s="230">
        <v>-2669100</v>
      </c>
      <c r="CY68" s="229">
        <v>-0.19159999999999999</v>
      </c>
      <c r="CZ68" s="228">
        <v>27.01</v>
      </c>
      <c r="DA68" s="228">
        <v>28</v>
      </c>
      <c r="DB68" s="228">
        <v>-0.99</v>
      </c>
      <c r="DC68" s="228">
        <v>-0.99</v>
      </c>
      <c r="DD68" s="228">
        <v>34.43</v>
      </c>
      <c r="DE68" s="228">
        <v>34.520000000000003</v>
      </c>
      <c r="DF68" s="228">
        <v>-7.42</v>
      </c>
      <c r="DG68" s="228">
        <v>-0.09</v>
      </c>
      <c r="DH68" s="228">
        <v>26.6</v>
      </c>
      <c r="DI68" s="228">
        <v>27.77</v>
      </c>
      <c r="DJ68" s="228">
        <v>-1.17</v>
      </c>
      <c r="DK68" s="228">
        <v>-1.17</v>
      </c>
      <c r="DL68" s="228">
        <v>28</v>
      </c>
      <c r="DM68" s="228">
        <v>28.72</v>
      </c>
      <c r="DN68" s="228">
        <v>-0.72</v>
      </c>
      <c r="DO68" s="228">
        <v>-0.72</v>
      </c>
      <c r="DP68" s="228">
        <v>0.52</v>
      </c>
      <c r="DQ68" s="228">
        <v>0.64</v>
      </c>
      <c r="DR68" s="228">
        <v>-0.12</v>
      </c>
      <c r="DS68" s="229">
        <v>-0.1875</v>
      </c>
      <c r="DT68" s="231">
        <v>1000</v>
      </c>
      <c r="DU68" s="228">
        <v>900</v>
      </c>
      <c r="DV68" s="228">
        <v>0.43</v>
      </c>
      <c r="DW68" s="228">
        <v>0.45</v>
      </c>
      <c r="DX68" s="228">
        <v>-0.02</v>
      </c>
      <c r="DY68" s="229">
        <v>-4.4400000000000002E-2</v>
      </c>
      <c r="DZ68" s="229">
        <v>0.97989999999999999</v>
      </c>
      <c r="EA68" s="230">
        <v>8630400</v>
      </c>
      <c r="EB68" s="229">
        <v>7.7000000000000002E-3</v>
      </c>
      <c r="EC68" s="229">
        <v>0.97989999999999999</v>
      </c>
      <c r="ED68" s="228">
        <v>7.08</v>
      </c>
      <c r="EE68" s="229">
        <v>7.3000000000000001E-3</v>
      </c>
      <c r="EF68" s="230">
        <v>418585</v>
      </c>
      <c r="EG68" s="230">
        <v>702180</v>
      </c>
      <c r="EH68" s="229">
        <v>-0.40389999999999998</v>
      </c>
      <c r="EI68" s="229">
        <v>0.44979999999999998</v>
      </c>
      <c r="EJ68" s="231">
        <v>29410.03</v>
      </c>
      <c r="EK68" s="231">
        <v>11991.72</v>
      </c>
      <c r="EL68" s="231">
        <v>23930.77</v>
      </c>
      <c r="EM68" s="231">
        <v>5654</v>
      </c>
      <c r="EN68" s="231">
        <v>65332.52</v>
      </c>
      <c r="EO68" s="231">
        <v>258991.88</v>
      </c>
      <c r="EP68" s="231">
        <v>-193659.36</v>
      </c>
      <c r="EQ68" s="229">
        <v>-0.74770000000000003</v>
      </c>
      <c r="ER68" s="231">
        <v>13403</v>
      </c>
      <c r="ES68" s="231">
        <v>6483</v>
      </c>
      <c r="ET68" s="231">
        <v>89855</v>
      </c>
      <c r="EU68" s="231">
        <v>70894446</v>
      </c>
      <c r="EV68" s="231">
        <v>109741</v>
      </c>
      <c r="EW68" s="231">
        <v>135649</v>
      </c>
      <c r="EX68" s="231">
        <v>-25908</v>
      </c>
      <c r="EY68" s="229">
        <v>-0.191</v>
      </c>
      <c r="EZ68" s="229">
        <v>0.1588</v>
      </c>
      <c r="FA68" s="227" t="s">
        <v>567</v>
      </c>
      <c r="FB68" s="161">
        <f t="shared" si="1"/>
        <v>9034175</v>
      </c>
    </row>
    <row r="69" spans="1:158" ht="17.25" thickBot="1" x14ac:dyDescent="0.3">
      <c r="A69" s="226">
        <v>46168</v>
      </c>
      <c r="B69" s="227" t="s">
        <v>193</v>
      </c>
      <c r="C69" s="227" t="s">
        <v>213</v>
      </c>
      <c r="D69" s="228">
        <v>3150</v>
      </c>
      <c r="E69" s="228">
        <v>168.94</v>
      </c>
      <c r="F69" s="228">
        <v>169.4</v>
      </c>
      <c r="G69" s="228">
        <v>-0.46</v>
      </c>
      <c r="H69" s="229">
        <v>-2.7000000000000001E-3</v>
      </c>
      <c r="I69" s="228">
        <v>167.63</v>
      </c>
      <c r="J69" s="228">
        <v>168.67</v>
      </c>
      <c r="K69" s="228">
        <v>-1.04</v>
      </c>
      <c r="L69" s="229">
        <v>-6.1999999999999998E-3</v>
      </c>
      <c r="M69" s="228">
        <v>167.43</v>
      </c>
      <c r="N69" s="228">
        <v>168.47</v>
      </c>
      <c r="O69" s="228">
        <v>-1.04</v>
      </c>
      <c r="P69" s="229">
        <v>-6.1999999999999998E-3</v>
      </c>
      <c r="Q69" s="228">
        <v>168.94</v>
      </c>
      <c r="R69" s="228">
        <v>169.4</v>
      </c>
      <c r="S69" s="228">
        <v>-0.46</v>
      </c>
      <c r="T69" s="229">
        <v>-2.7000000000000001E-3</v>
      </c>
      <c r="U69" s="228">
        <v>169.74</v>
      </c>
      <c r="V69" s="228">
        <v>170.23</v>
      </c>
      <c r="W69" s="228">
        <v>-0.49</v>
      </c>
      <c r="X69" s="229">
        <v>-2.8999999999999998E-3</v>
      </c>
      <c r="Y69" s="228">
        <v>1.31</v>
      </c>
      <c r="Z69" s="228">
        <v>-0.2</v>
      </c>
      <c r="AA69" s="228">
        <v>1.51</v>
      </c>
      <c r="AB69" s="229">
        <v>7.7999999999999996E-3</v>
      </c>
      <c r="AC69" s="228">
        <v>-0.2</v>
      </c>
      <c r="AD69" s="228">
        <v>-0.2</v>
      </c>
      <c r="AE69" s="228">
        <v>0</v>
      </c>
      <c r="AF69" s="229">
        <v>-1.1999999999999999E-3</v>
      </c>
      <c r="AG69" s="228">
        <v>1.31</v>
      </c>
      <c r="AH69" s="228">
        <v>0.73</v>
      </c>
      <c r="AI69" s="228">
        <v>0.57999999999999996</v>
      </c>
      <c r="AJ69" s="229">
        <v>7.7999999999999996E-3</v>
      </c>
      <c r="AK69" s="228">
        <v>2.11</v>
      </c>
      <c r="AL69" s="228">
        <v>1.56</v>
      </c>
      <c r="AM69" s="228">
        <v>0.55000000000000004</v>
      </c>
      <c r="AN69" s="229">
        <v>1.26E-2</v>
      </c>
      <c r="AO69" s="228">
        <v>168.1</v>
      </c>
      <c r="AP69" s="228">
        <v>169.36</v>
      </c>
      <c r="AQ69" s="228">
        <v>0</v>
      </c>
      <c r="AR69" s="230">
        <v>30331350</v>
      </c>
      <c r="AS69" s="230">
        <v>77433300</v>
      </c>
      <c r="AT69" s="230">
        <v>-47101950</v>
      </c>
      <c r="AU69" s="229">
        <v>-0.60829999999999995</v>
      </c>
      <c r="AV69" s="230">
        <v>12048750</v>
      </c>
      <c r="AW69" s="230">
        <v>31739400</v>
      </c>
      <c r="AX69" s="230">
        <v>-19690650</v>
      </c>
      <c r="AY69" s="229">
        <v>-0.62039999999999995</v>
      </c>
      <c r="AZ69" s="230">
        <v>17863650</v>
      </c>
      <c r="BA69" s="230">
        <v>44761500</v>
      </c>
      <c r="BB69" s="230">
        <v>-26897850</v>
      </c>
      <c r="BC69" s="229">
        <v>-0.60089999999999999</v>
      </c>
      <c r="BD69" s="230">
        <v>418950</v>
      </c>
      <c r="BE69" s="230">
        <v>932400</v>
      </c>
      <c r="BF69" s="230">
        <v>-513450</v>
      </c>
      <c r="BG69" s="229">
        <v>-0.55069999999999997</v>
      </c>
      <c r="BH69" s="230">
        <v>35881650</v>
      </c>
      <c r="BI69" s="230">
        <v>202554450</v>
      </c>
      <c r="BJ69" s="230">
        <v>-166672800</v>
      </c>
      <c r="BK69" s="229">
        <v>-0.82289999999999996</v>
      </c>
      <c r="BL69" s="230">
        <v>25911900</v>
      </c>
      <c r="BM69" s="230">
        <v>89063100</v>
      </c>
      <c r="BN69" s="230">
        <v>-63151200</v>
      </c>
      <c r="BO69" s="229">
        <v>-0.70909999999999995</v>
      </c>
      <c r="BP69" s="230">
        <v>92124900</v>
      </c>
      <c r="BQ69" s="230">
        <v>369050850</v>
      </c>
      <c r="BR69" s="230">
        <v>-276925950</v>
      </c>
      <c r="BS69" s="229">
        <v>-0.75039999999999996</v>
      </c>
      <c r="BT69" s="230">
        <v>16973557</v>
      </c>
      <c r="BU69" s="230">
        <v>38002660</v>
      </c>
      <c r="BV69" s="230">
        <v>-21029103</v>
      </c>
      <c r="BW69" s="229">
        <v>-0.5534</v>
      </c>
      <c r="BX69" s="230">
        <v>77355450</v>
      </c>
      <c r="BY69" s="230">
        <v>84231300</v>
      </c>
      <c r="BZ69" s="230">
        <v>-6875850</v>
      </c>
      <c r="CA69" s="229">
        <v>-8.1600000000000006E-2</v>
      </c>
      <c r="CB69" s="230">
        <v>7575750</v>
      </c>
      <c r="CC69" s="230">
        <v>11245500</v>
      </c>
      <c r="CD69" s="230">
        <v>-3669750</v>
      </c>
      <c r="CE69" s="229">
        <v>-0.32629999999999998</v>
      </c>
      <c r="CF69" s="230">
        <v>75726000</v>
      </c>
      <c r="CG69" s="230">
        <v>71473500</v>
      </c>
      <c r="CH69" s="230">
        <v>4252500</v>
      </c>
      <c r="CI69" s="229">
        <v>5.9499999999999997E-2</v>
      </c>
      <c r="CJ69" s="230">
        <v>1629450</v>
      </c>
      <c r="CK69" s="230">
        <v>1512300</v>
      </c>
      <c r="CL69" s="230">
        <v>117150</v>
      </c>
      <c r="CM69" s="229">
        <v>7.7499999999999999E-2</v>
      </c>
      <c r="CN69" s="230">
        <v>17488450</v>
      </c>
      <c r="CO69" s="230">
        <v>34604350</v>
      </c>
      <c r="CP69" s="230">
        <v>-17115900</v>
      </c>
      <c r="CQ69" s="229">
        <v>-0.49459999999999998</v>
      </c>
      <c r="CR69" s="230">
        <v>15209000</v>
      </c>
      <c r="CS69" s="230">
        <v>33469550</v>
      </c>
      <c r="CT69" s="230">
        <v>-18260550</v>
      </c>
      <c r="CU69" s="229">
        <v>-0.54559999999999997</v>
      </c>
      <c r="CV69" s="230">
        <v>110052900</v>
      </c>
      <c r="CW69" s="230">
        <v>152305200</v>
      </c>
      <c r="CX69" s="230">
        <v>-42252300</v>
      </c>
      <c r="CY69" s="229">
        <v>-0.27739999999999998</v>
      </c>
      <c r="CZ69" s="228">
        <v>25.33</v>
      </c>
      <c r="DA69" s="228">
        <v>27.12</v>
      </c>
      <c r="DB69" s="228">
        <v>-1.79</v>
      </c>
      <c r="DC69" s="228">
        <v>-1.79</v>
      </c>
      <c r="DD69" s="228">
        <v>35.4</v>
      </c>
      <c r="DE69" s="228">
        <v>35.479999999999997</v>
      </c>
      <c r="DF69" s="228">
        <v>-10.07</v>
      </c>
      <c r="DG69" s="228">
        <v>-0.08</v>
      </c>
      <c r="DH69" s="228">
        <v>25.13</v>
      </c>
      <c r="DI69" s="228">
        <v>27.12</v>
      </c>
      <c r="DJ69" s="228">
        <v>-1.99</v>
      </c>
      <c r="DK69" s="228">
        <v>-1.99</v>
      </c>
      <c r="DL69" s="228">
        <v>25.65</v>
      </c>
      <c r="DM69" s="228">
        <v>27.11</v>
      </c>
      <c r="DN69" s="228">
        <v>-1.46</v>
      </c>
      <c r="DO69" s="228">
        <v>-1.46</v>
      </c>
      <c r="DP69" s="228">
        <v>0.87</v>
      </c>
      <c r="DQ69" s="228">
        <v>0.97</v>
      </c>
      <c r="DR69" s="228">
        <v>-0.1</v>
      </c>
      <c r="DS69" s="229">
        <v>-0.1031</v>
      </c>
      <c r="DT69" s="228">
        <v>170</v>
      </c>
      <c r="DU69" s="228">
        <v>190</v>
      </c>
      <c r="DV69" s="228">
        <v>0.72</v>
      </c>
      <c r="DW69" s="228">
        <v>0.44</v>
      </c>
      <c r="DX69" s="228">
        <v>0.28000000000000003</v>
      </c>
      <c r="DY69" s="229">
        <v>0.63639999999999997</v>
      </c>
      <c r="DZ69" s="229">
        <v>0.91080000000000005</v>
      </c>
      <c r="EA69" s="230">
        <v>72985800</v>
      </c>
      <c r="EB69" s="229">
        <v>8.9999999999999993E-3</v>
      </c>
      <c r="EC69" s="229">
        <v>0.91080000000000005</v>
      </c>
      <c r="ED69" s="228">
        <v>1.26</v>
      </c>
      <c r="EE69" s="229">
        <v>7.4999999999999997E-3</v>
      </c>
      <c r="EF69" s="230">
        <v>9209178</v>
      </c>
      <c r="EG69" s="230">
        <v>11531707</v>
      </c>
      <c r="EH69" s="229">
        <v>-0.2014</v>
      </c>
      <c r="EI69" s="229">
        <v>0.54259999999999997</v>
      </c>
      <c r="EJ69" s="231">
        <v>62743.3</v>
      </c>
      <c r="EK69" s="231">
        <v>43059.18</v>
      </c>
      <c r="EL69" s="231">
        <v>51311.839999999997</v>
      </c>
      <c r="EM69" s="231">
        <v>17024</v>
      </c>
      <c r="EN69" s="231">
        <v>157114.32</v>
      </c>
      <c r="EO69" s="231">
        <v>627757.59</v>
      </c>
      <c r="EP69" s="231">
        <v>-470643.27</v>
      </c>
      <c r="EQ69" s="229">
        <v>-0.74970000000000003</v>
      </c>
      <c r="ER69" s="231">
        <v>30071</v>
      </c>
      <c r="ES69" s="231">
        <v>25361</v>
      </c>
      <c r="ET69" s="231">
        <v>130697</v>
      </c>
      <c r="EU69" s="231">
        <v>471255857</v>
      </c>
      <c r="EV69" s="231">
        <v>186130</v>
      </c>
      <c r="EW69" s="231">
        <v>255945</v>
      </c>
      <c r="EX69" s="231">
        <v>-69815</v>
      </c>
      <c r="EY69" s="229">
        <v>-0.27279999999999999</v>
      </c>
      <c r="EZ69" s="229">
        <v>0.23350000000000001</v>
      </c>
      <c r="FA69" s="227" t="s">
        <v>567</v>
      </c>
      <c r="FB69" s="161">
        <f t="shared" si="1"/>
        <v>69779700</v>
      </c>
    </row>
    <row r="70" spans="1:158" ht="17.25" thickBot="1" x14ac:dyDescent="0.3">
      <c r="A70" s="226">
        <v>46168</v>
      </c>
      <c r="B70" s="227" t="s">
        <v>170</v>
      </c>
      <c r="C70" s="227" t="s">
        <v>214</v>
      </c>
      <c r="D70" s="228">
        <v>375</v>
      </c>
      <c r="E70" s="231">
        <v>2372.1999999999998</v>
      </c>
      <c r="F70" s="231">
        <v>2355.9</v>
      </c>
      <c r="G70" s="228">
        <v>16.3</v>
      </c>
      <c r="H70" s="229">
        <v>6.8999999999999999E-3</v>
      </c>
      <c r="I70" s="231">
        <v>2351.4</v>
      </c>
      <c r="J70" s="231">
        <v>2337</v>
      </c>
      <c r="K70" s="228">
        <v>14.4</v>
      </c>
      <c r="L70" s="229">
        <v>6.1999999999999998E-3</v>
      </c>
      <c r="M70" s="231">
        <v>2356</v>
      </c>
      <c r="N70" s="231">
        <v>2338.9</v>
      </c>
      <c r="O70" s="228">
        <v>17.100000000000001</v>
      </c>
      <c r="P70" s="229">
        <v>7.3000000000000001E-3</v>
      </c>
      <c r="Q70" s="231">
        <v>2372.1999999999998</v>
      </c>
      <c r="R70" s="231">
        <v>2355.9</v>
      </c>
      <c r="S70" s="228">
        <v>16.3</v>
      </c>
      <c r="T70" s="229">
        <v>6.8999999999999999E-3</v>
      </c>
      <c r="U70" s="231">
        <v>2396.6</v>
      </c>
      <c r="V70" s="231">
        <v>2369.1</v>
      </c>
      <c r="W70" s="228">
        <v>27.5</v>
      </c>
      <c r="X70" s="229">
        <v>1.1599999999999999E-2</v>
      </c>
      <c r="Y70" s="228">
        <v>20.8</v>
      </c>
      <c r="Z70" s="228">
        <v>1.9</v>
      </c>
      <c r="AA70" s="228">
        <v>18.899999999999999</v>
      </c>
      <c r="AB70" s="229">
        <v>8.8000000000000005E-3</v>
      </c>
      <c r="AC70" s="228">
        <v>4.5999999999999996</v>
      </c>
      <c r="AD70" s="228">
        <v>1.9</v>
      </c>
      <c r="AE70" s="228">
        <v>2.7</v>
      </c>
      <c r="AF70" s="229">
        <v>2E-3</v>
      </c>
      <c r="AG70" s="228">
        <v>20.8</v>
      </c>
      <c r="AH70" s="228">
        <v>18.899999999999999</v>
      </c>
      <c r="AI70" s="228">
        <v>1.9</v>
      </c>
      <c r="AJ70" s="229">
        <v>8.8000000000000005E-3</v>
      </c>
      <c r="AK70" s="228">
        <v>45.2</v>
      </c>
      <c r="AL70" s="228">
        <v>32.1</v>
      </c>
      <c r="AM70" s="228">
        <v>13.1</v>
      </c>
      <c r="AN70" s="229">
        <v>1.9199999999999998E-2</v>
      </c>
      <c r="AO70" s="231">
        <v>2351.87</v>
      </c>
      <c r="AP70" s="231">
        <v>2369.4299999999998</v>
      </c>
      <c r="AQ70" s="228">
        <v>0</v>
      </c>
      <c r="AR70" s="230">
        <v>2823000</v>
      </c>
      <c r="AS70" s="230">
        <v>8200500</v>
      </c>
      <c r="AT70" s="230">
        <v>-5377500</v>
      </c>
      <c r="AU70" s="229">
        <v>-0.65580000000000005</v>
      </c>
      <c r="AV70" s="230">
        <v>1111875</v>
      </c>
      <c r="AW70" s="230">
        <v>3613500</v>
      </c>
      <c r="AX70" s="230">
        <v>-2501625</v>
      </c>
      <c r="AY70" s="229">
        <v>-0.69230000000000003</v>
      </c>
      <c r="AZ70" s="230">
        <v>1707000</v>
      </c>
      <c r="BA70" s="230">
        <v>4571250</v>
      </c>
      <c r="BB70" s="230">
        <v>-2864250</v>
      </c>
      <c r="BC70" s="229">
        <v>-0.62660000000000005</v>
      </c>
      <c r="BD70" s="230">
        <v>4125</v>
      </c>
      <c r="BE70" s="230">
        <v>15750</v>
      </c>
      <c r="BF70" s="230">
        <v>-11625</v>
      </c>
      <c r="BG70" s="229">
        <v>-0.73809999999999998</v>
      </c>
      <c r="BH70" s="230">
        <v>4385250</v>
      </c>
      <c r="BI70" s="230">
        <v>13891125</v>
      </c>
      <c r="BJ70" s="230">
        <v>-9505875</v>
      </c>
      <c r="BK70" s="229">
        <v>-0.68430000000000002</v>
      </c>
      <c r="BL70" s="230">
        <v>2979750</v>
      </c>
      <c r="BM70" s="230">
        <v>6721875</v>
      </c>
      <c r="BN70" s="230">
        <v>-3742125</v>
      </c>
      <c r="BO70" s="229">
        <v>-0.55669999999999997</v>
      </c>
      <c r="BP70" s="230">
        <v>10188000</v>
      </c>
      <c r="BQ70" s="230">
        <v>28813500</v>
      </c>
      <c r="BR70" s="230">
        <v>-18625500</v>
      </c>
      <c r="BS70" s="229">
        <v>-0.64639999999999997</v>
      </c>
      <c r="BT70" s="230">
        <v>493618</v>
      </c>
      <c r="BU70" s="230">
        <v>860613</v>
      </c>
      <c r="BV70" s="230">
        <v>-366995</v>
      </c>
      <c r="BW70" s="229">
        <v>-0.4264</v>
      </c>
      <c r="BX70" s="230">
        <v>11295750</v>
      </c>
      <c r="BY70" s="230">
        <v>11399250</v>
      </c>
      <c r="BZ70" s="230">
        <v>-103500</v>
      </c>
      <c r="CA70" s="229">
        <v>-9.1000000000000004E-3</v>
      </c>
      <c r="CB70" s="230">
        <v>198375</v>
      </c>
      <c r="CC70" s="230">
        <v>943125</v>
      </c>
      <c r="CD70" s="230">
        <v>-744750</v>
      </c>
      <c r="CE70" s="229">
        <v>-0.78969999999999996</v>
      </c>
      <c r="CF70" s="230">
        <v>11269500</v>
      </c>
      <c r="CG70" s="230">
        <v>10431375</v>
      </c>
      <c r="CH70" s="230">
        <v>838125</v>
      </c>
      <c r="CI70" s="229">
        <v>8.0299999999999996E-2</v>
      </c>
      <c r="CJ70" s="230">
        <v>26250</v>
      </c>
      <c r="CK70" s="230">
        <v>24750</v>
      </c>
      <c r="CL70" s="230">
        <v>1500</v>
      </c>
      <c r="CM70" s="229">
        <v>6.0600000000000001E-2</v>
      </c>
      <c r="CN70" s="230">
        <v>1557375</v>
      </c>
      <c r="CO70" s="230">
        <v>3142875</v>
      </c>
      <c r="CP70" s="230">
        <v>-1585500</v>
      </c>
      <c r="CQ70" s="229">
        <v>-0.50449999999999995</v>
      </c>
      <c r="CR70" s="230">
        <v>1109250</v>
      </c>
      <c r="CS70" s="230">
        <v>1865250</v>
      </c>
      <c r="CT70" s="230">
        <v>-756000</v>
      </c>
      <c r="CU70" s="229">
        <v>-0.40529999999999999</v>
      </c>
      <c r="CV70" s="230">
        <v>13962375</v>
      </c>
      <c r="CW70" s="230">
        <v>16407375</v>
      </c>
      <c r="CX70" s="230">
        <v>-2445000</v>
      </c>
      <c r="CY70" s="229">
        <v>-0.14899999999999999</v>
      </c>
      <c r="CZ70" s="228">
        <v>37.82</v>
      </c>
      <c r="DA70" s="228">
        <v>38.61</v>
      </c>
      <c r="DB70" s="228">
        <v>-0.79</v>
      </c>
      <c r="DC70" s="228">
        <v>-0.79</v>
      </c>
      <c r="DD70" s="228">
        <v>36.659999999999997</v>
      </c>
      <c r="DE70" s="228">
        <v>36.74</v>
      </c>
      <c r="DF70" s="228">
        <v>1.1599999999999999</v>
      </c>
      <c r="DG70" s="228">
        <v>-0.08</v>
      </c>
      <c r="DH70" s="228">
        <v>37.81</v>
      </c>
      <c r="DI70" s="228">
        <v>38.72</v>
      </c>
      <c r="DJ70" s="228">
        <v>-0.91</v>
      </c>
      <c r="DK70" s="228">
        <v>-0.91</v>
      </c>
      <c r="DL70" s="228">
        <v>37.85</v>
      </c>
      <c r="DM70" s="228">
        <v>38.369999999999997</v>
      </c>
      <c r="DN70" s="228">
        <v>-0.52</v>
      </c>
      <c r="DO70" s="228">
        <v>-0.52</v>
      </c>
      <c r="DP70" s="228">
        <v>0.71</v>
      </c>
      <c r="DQ70" s="228">
        <v>0.59</v>
      </c>
      <c r="DR70" s="228">
        <v>0.12</v>
      </c>
      <c r="DS70" s="229">
        <v>0.2034</v>
      </c>
      <c r="DT70" s="231">
        <v>2500</v>
      </c>
      <c r="DU70" s="231">
        <v>2300</v>
      </c>
      <c r="DV70" s="228">
        <v>0.68</v>
      </c>
      <c r="DW70" s="228">
        <v>0.48</v>
      </c>
      <c r="DX70" s="228">
        <v>0.2</v>
      </c>
      <c r="DY70" s="229">
        <v>0.41670000000000001</v>
      </c>
      <c r="DZ70" s="229">
        <v>0.98270000000000002</v>
      </c>
      <c r="EA70" s="230">
        <v>10456125</v>
      </c>
      <c r="EB70" s="229">
        <v>6.8999999999999999E-3</v>
      </c>
      <c r="EC70" s="229">
        <v>0.98270000000000002</v>
      </c>
      <c r="ED70" s="228">
        <v>17.559999999999999</v>
      </c>
      <c r="EE70" s="229">
        <v>7.4999999999999997E-3</v>
      </c>
      <c r="EF70" s="230">
        <v>220910</v>
      </c>
      <c r="EG70" s="230">
        <v>204122</v>
      </c>
      <c r="EH70" s="229">
        <v>8.2199999999999995E-2</v>
      </c>
      <c r="EI70" s="229">
        <v>0.44750000000000001</v>
      </c>
      <c r="EJ70" s="231">
        <v>106564.54</v>
      </c>
      <c r="EK70" s="231">
        <v>68887.789999999994</v>
      </c>
      <c r="EL70" s="231">
        <v>66694.31</v>
      </c>
      <c r="EM70" s="231">
        <v>15630</v>
      </c>
      <c r="EN70" s="231">
        <v>242146.64</v>
      </c>
      <c r="EO70" s="231">
        <v>683471.64</v>
      </c>
      <c r="EP70" s="231">
        <v>-441325</v>
      </c>
      <c r="EQ70" s="229">
        <v>-0.64570000000000005</v>
      </c>
      <c r="ER70" s="231">
        <v>37959</v>
      </c>
      <c r="ES70" s="231">
        <v>24969</v>
      </c>
      <c r="ET70" s="231">
        <v>267964</v>
      </c>
      <c r="EU70" s="231">
        <v>15844372</v>
      </c>
      <c r="EV70" s="231">
        <v>330892</v>
      </c>
      <c r="EW70" s="231">
        <v>387008</v>
      </c>
      <c r="EX70" s="231">
        <v>-56116</v>
      </c>
      <c r="EY70" s="229">
        <v>-0.14499999999999999</v>
      </c>
      <c r="EZ70" s="229">
        <v>0.88119999999999998</v>
      </c>
      <c r="FA70" s="227" t="s">
        <v>691</v>
      </c>
      <c r="FB70" s="161">
        <f t="shared" si="1"/>
        <v>11097375</v>
      </c>
    </row>
    <row r="71" spans="1:158" ht="17.25" thickBot="1" x14ac:dyDescent="0.3">
      <c r="A71" s="226">
        <v>46168</v>
      </c>
      <c r="B71" s="227" t="s">
        <v>215</v>
      </c>
      <c r="C71" s="227" t="s">
        <v>630</v>
      </c>
      <c r="D71" s="228">
        <v>6975</v>
      </c>
      <c r="E71" s="228">
        <v>96.88</v>
      </c>
      <c r="F71" s="228">
        <v>97.6</v>
      </c>
      <c r="G71" s="228">
        <v>-0.72</v>
      </c>
      <c r="H71" s="229">
        <v>-7.4000000000000003E-3</v>
      </c>
      <c r="I71" s="228">
        <v>96.23</v>
      </c>
      <c r="J71" s="228">
        <v>96.9</v>
      </c>
      <c r="K71" s="228">
        <v>-0.67</v>
      </c>
      <c r="L71" s="229">
        <v>-6.8999999999999999E-3</v>
      </c>
      <c r="M71" s="228">
        <v>96.2</v>
      </c>
      <c r="N71" s="228">
        <v>97.02</v>
      </c>
      <c r="O71" s="228">
        <v>-0.82</v>
      </c>
      <c r="P71" s="229">
        <v>-8.5000000000000006E-3</v>
      </c>
      <c r="Q71" s="228">
        <v>96.88</v>
      </c>
      <c r="R71" s="228">
        <v>97.6</v>
      </c>
      <c r="S71" s="228">
        <v>-0.72</v>
      </c>
      <c r="T71" s="229">
        <v>-7.4000000000000003E-3</v>
      </c>
      <c r="U71" s="228">
        <v>97.65</v>
      </c>
      <c r="V71" s="228">
        <v>98.25</v>
      </c>
      <c r="W71" s="228">
        <v>-0.6</v>
      </c>
      <c r="X71" s="229">
        <v>-6.1000000000000004E-3</v>
      </c>
      <c r="Y71" s="228">
        <v>0.65</v>
      </c>
      <c r="Z71" s="228">
        <v>0.12</v>
      </c>
      <c r="AA71" s="228">
        <v>0.53</v>
      </c>
      <c r="AB71" s="229">
        <v>6.7999999999999996E-3</v>
      </c>
      <c r="AC71" s="228">
        <v>-0.03</v>
      </c>
      <c r="AD71" s="228">
        <v>0.12</v>
      </c>
      <c r="AE71" s="228">
        <v>-0.15</v>
      </c>
      <c r="AF71" s="229">
        <v>-2.9999999999999997E-4</v>
      </c>
      <c r="AG71" s="228">
        <v>0.65</v>
      </c>
      <c r="AH71" s="228">
        <v>0.7</v>
      </c>
      <c r="AI71" s="228">
        <v>-0.05</v>
      </c>
      <c r="AJ71" s="229">
        <v>6.7999999999999996E-3</v>
      </c>
      <c r="AK71" s="228">
        <v>1.42</v>
      </c>
      <c r="AL71" s="228">
        <v>1.35</v>
      </c>
      <c r="AM71" s="228">
        <v>7.0000000000000007E-2</v>
      </c>
      <c r="AN71" s="229">
        <v>1.4800000000000001E-2</v>
      </c>
      <c r="AO71" s="228">
        <v>96.32</v>
      </c>
      <c r="AP71" s="228">
        <v>96.95</v>
      </c>
      <c r="AQ71" s="228">
        <v>0</v>
      </c>
      <c r="AR71" s="230">
        <v>55130400</v>
      </c>
      <c r="AS71" s="230">
        <v>62342550</v>
      </c>
      <c r="AT71" s="230">
        <v>-7212150</v>
      </c>
      <c r="AU71" s="229">
        <v>-0.1157</v>
      </c>
      <c r="AV71" s="230">
        <v>22194450</v>
      </c>
      <c r="AW71" s="230">
        <v>30299400</v>
      </c>
      <c r="AX71" s="230">
        <v>-8104950</v>
      </c>
      <c r="AY71" s="229">
        <v>-0.26750000000000002</v>
      </c>
      <c r="AZ71" s="230">
        <v>32133825</v>
      </c>
      <c r="BA71" s="230">
        <v>31764150</v>
      </c>
      <c r="BB71" s="230">
        <v>369675</v>
      </c>
      <c r="BC71" s="229">
        <v>1.1599999999999999E-2</v>
      </c>
      <c r="BD71" s="230">
        <v>802125</v>
      </c>
      <c r="BE71" s="230">
        <v>279000</v>
      </c>
      <c r="BF71" s="230">
        <v>523125</v>
      </c>
      <c r="BG71" s="229">
        <v>1.875</v>
      </c>
      <c r="BH71" s="230">
        <v>39722625</v>
      </c>
      <c r="BI71" s="230">
        <v>33438150</v>
      </c>
      <c r="BJ71" s="230">
        <v>6284475</v>
      </c>
      <c r="BK71" s="229">
        <v>0.18790000000000001</v>
      </c>
      <c r="BL71" s="230">
        <v>14061600</v>
      </c>
      <c r="BM71" s="230">
        <v>15882075</v>
      </c>
      <c r="BN71" s="230">
        <v>-1820475</v>
      </c>
      <c r="BO71" s="229">
        <v>-0.11459999999999999</v>
      </c>
      <c r="BP71" s="230">
        <v>108914625</v>
      </c>
      <c r="BQ71" s="230">
        <v>111662775</v>
      </c>
      <c r="BR71" s="230">
        <v>-2748150</v>
      </c>
      <c r="BS71" s="229">
        <v>-2.46E-2</v>
      </c>
      <c r="BT71" s="230">
        <v>9727707</v>
      </c>
      <c r="BU71" s="230">
        <v>6664583</v>
      </c>
      <c r="BV71" s="230">
        <v>3063124</v>
      </c>
      <c r="BW71" s="229">
        <v>0.45960000000000001</v>
      </c>
      <c r="BX71" s="230">
        <v>120207150</v>
      </c>
      <c r="BY71" s="230">
        <v>133152750</v>
      </c>
      <c r="BZ71" s="230">
        <v>-12945600</v>
      </c>
      <c r="CA71" s="229">
        <v>-9.7199999999999995E-2</v>
      </c>
      <c r="CB71" s="230">
        <v>14605650</v>
      </c>
      <c r="CC71" s="230">
        <v>30745800</v>
      </c>
      <c r="CD71" s="230">
        <v>-16140150</v>
      </c>
      <c r="CE71" s="229">
        <v>-0.52500000000000002</v>
      </c>
      <c r="CF71" s="230">
        <v>117738000</v>
      </c>
      <c r="CG71" s="230">
        <v>100321425</v>
      </c>
      <c r="CH71" s="230">
        <v>17416575</v>
      </c>
      <c r="CI71" s="229">
        <v>0.1736</v>
      </c>
      <c r="CJ71" s="230">
        <v>2469150</v>
      </c>
      <c r="CK71" s="230">
        <v>2085525</v>
      </c>
      <c r="CL71" s="230">
        <v>383625</v>
      </c>
      <c r="CM71" s="229">
        <v>0.18390000000000001</v>
      </c>
      <c r="CN71" s="230">
        <v>22264200</v>
      </c>
      <c r="CO71" s="230">
        <v>49250475</v>
      </c>
      <c r="CP71" s="230">
        <v>-26986275</v>
      </c>
      <c r="CQ71" s="229">
        <v>-0.54790000000000005</v>
      </c>
      <c r="CR71" s="230">
        <v>15114825</v>
      </c>
      <c r="CS71" s="230">
        <v>32705775</v>
      </c>
      <c r="CT71" s="230">
        <v>-17590950</v>
      </c>
      <c r="CU71" s="229">
        <v>-0.53790000000000004</v>
      </c>
      <c r="CV71" s="230">
        <v>157586175</v>
      </c>
      <c r="CW71" s="230">
        <v>215109000</v>
      </c>
      <c r="CX71" s="230">
        <v>-57522825</v>
      </c>
      <c r="CY71" s="229">
        <v>-0.26740000000000003</v>
      </c>
      <c r="CZ71" s="228">
        <v>32.81</v>
      </c>
      <c r="DA71" s="228">
        <v>33.159999999999997</v>
      </c>
      <c r="DB71" s="228">
        <v>-0.35</v>
      </c>
      <c r="DC71" s="228">
        <v>-0.35</v>
      </c>
      <c r="DD71" s="228">
        <v>40.380000000000003</v>
      </c>
      <c r="DE71" s="228">
        <v>40.47</v>
      </c>
      <c r="DF71" s="228">
        <v>-7.57</v>
      </c>
      <c r="DG71" s="228">
        <v>-0.09</v>
      </c>
      <c r="DH71" s="228">
        <v>33.29</v>
      </c>
      <c r="DI71" s="228">
        <v>33.369999999999997</v>
      </c>
      <c r="DJ71" s="228">
        <v>-0.08</v>
      </c>
      <c r="DK71" s="228">
        <v>-0.08</v>
      </c>
      <c r="DL71" s="228">
        <v>31.63</v>
      </c>
      <c r="DM71" s="228">
        <v>32.76</v>
      </c>
      <c r="DN71" s="228">
        <v>-1.1299999999999999</v>
      </c>
      <c r="DO71" s="228">
        <v>-1.1299999999999999</v>
      </c>
      <c r="DP71" s="228">
        <v>0.68</v>
      </c>
      <c r="DQ71" s="228">
        <v>0.66</v>
      </c>
      <c r="DR71" s="228">
        <v>0.02</v>
      </c>
      <c r="DS71" s="229">
        <v>3.0300000000000001E-2</v>
      </c>
      <c r="DT71" s="228">
        <v>100</v>
      </c>
      <c r="DU71" s="228">
        <v>90</v>
      </c>
      <c r="DV71" s="228">
        <v>0.35</v>
      </c>
      <c r="DW71" s="228">
        <v>0.47</v>
      </c>
      <c r="DX71" s="228">
        <v>-0.12</v>
      </c>
      <c r="DY71" s="229">
        <v>-0.25530000000000003</v>
      </c>
      <c r="DZ71" s="229">
        <v>0.89170000000000005</v>
      </c>
      <c r="EA71" s="230">
        <v>102406950</v>
      </c>
      <c r="EB71" s="229">
        <v>7.1000000000000004E-3</v>
      </c>
      <c r="EC71" s="229">
        <v>0.89170000000000005</v>
      </c>
      <c r="ED71" s="228">
        <v>0.63</v>
      </c>
      <c r="EE71" s="229">
        <v>6.4999999999999997E-3</v>
      </c>
      <c r="EF71" s="230">
        <v>5642770</v>
      </c>
      <c r="EG71" s="230">
        <v>3940376</v>
      </c>
      <c r="EH71" s="229">
        <v>0.432</v>
      </c>
      <c r="EI71" s="229">
        <v>0.58009999999999995</v>
      </c>
      <c r="EJ71" s="231">
        <v>40650.35</v>
      </c>
      <c r="EK71" s="231">
        <v>13779.54</v>
      </c>
      <c r="EL71" s="231">
        <v>53311.92</v>
      </c>
      <c r="EM71" s="231">
        <v>6932</v>
      </c>
      <c r="EN71" s="231">
        <v>107741.81</v>
      </c>
      <c r="EO71" s="231">
        <v>109467.13</v>
      </c>
      <c r="EP71" s="231">
        <v>-1725.32</v>
      </c>
      <c r="EQ71" s="229">
        <v>-1.5800000000000002E-2</v>
      </c>
      <c r="ER71" s="231">
        <v>22646</v>
      </c>
      <c r="ES71" s="231">
        <v>14203</v>
      </c>
      <c r="ET71" s="231">
        <v>116476</v>
      </c>
      <c r="EU71" s="231">
        <v>534704421</v>
      </c>
      <c r="EV71" s="231">
        <v>153325</v>
      </c>
      <c r="EW71" s="231">
        <v>210601</v>
      </c>
      <c r="EX71" s="231">
        <v>-57276</v>
      </c>
      <c r="EY71" s="229">
        <v>-0.27200000000000002</v>
      </c>
      <c r="EZ71" s="229">
        <v>0.29470000000000002</v>
      </c>
      <c r="FA71" s="227" t="s">
        <v>567</v>
      </c>
      <c r="FB71" s="161">
        <f t="shared" si="1"/>
        <v>105601500</v>
      </c>
    </row>
    <row r="72" spans="1:158" ht="17.25" thickBot="1" x14ac:dyDescent="0.3">
      <c r="A72" s="226">
        <v>46168</v>
      </c>
      <c r="B72" s="227" t="s">
        <v>168</v>
      </c>
      <c r="C72" s="227" t="s">
        <v>697</v>
      </c>
      <c r="D72" s="228">
        <v>275</v>
      </c>
      <c r="E72" s="231">
        <v>2310.9</v>
      </c>
      <c r="F72" s="231">
        <v>2293.3000000000002</v>
      </c>
      <c r="G72" s="228">
        <v>17.600000000000001</v>
      </c>
      <c r="H72" s="229">
        <v>7.7000000000000002E-3</v>
      </c>
      <c r="I72" s="231">
        <v>2298.4</v>
      </c>
      <c r="J72" s="231">
        <v>2320.6</v>
      </c>
      <c r="K72" s="228">
        <v>-22.2</v>
      </c>
      <c r="L72" s="229">
        <v>-9.5999999999999992E-3</v>
      </c>
      <c r="M72" s="231">
        <v>2295.5</v>
      </c>
      <c r="N72" s="231">
        <v>2331.3000000000002</v>
      </c>
      <c r="O72" s="228">
        <v>-35.799999999999997</v>
      </c>
      <c r="P72" s="229">
        <v>-1.54E-2</v>
      </c>
      <c r="Q72" s="231">
        <v>2310.9</v>
      </c>
      <c r="R72" s="231">
        <v>2293.3000000000002</v>
      </c>
      <c r="S72" s="228">
        <v>17.600000000000001</v>
      </c>
      <c r="T72" s="229">
        <v>7.7000000000000002E-3</v>
      </c>
      <c r="U72" s="231">
        <v>2308.4</v>
      </c>
      <c r="V72" s="231">
        <v>2281.5</v>
      </c>
      <c r="W72" s="228">
        <v>26.9</v>
      </c>
      <c r="X72" s="229">
        <v>1.18E-2</v>
      </c>
      <c r="Y72" s="228">
        <v>12.5</v>
      </c>
      <c r="Z72" s="228">
        <v>10.7</v>
      </c>
      <c r="AA72" s="228">
        <v>1.8</v>
      </c>
      <c r="AB72" s="229">
        <v>5.4000000000000003E-3</v>
      </c>
      <c r="AC72" s="228">
        <v>-2.9</v>
      </c>
      <c r="AD72" s="228">
        <v>10.7</v>
      </c>
      <c r="AE72" s="228">
        <v>-13.6</v>
      </c>
      <c r="AF72" s="229">
        <v>-1.2999999999999999E-3</v>
      </c>
      <c r="AG72" s="228">
        <v>12.5</v>
      </c>
      <c r="AH72" s="228">
        <v>-27.3</v>
      </c>
      <c r="AI72" s="228">
        <v>39.799999999999997</v>
      </c>
      <c r="AJ72" s="229">
        <v>5.4000000000000003E-3</v>
      </c>
      <c r="AK72" s="228">
        <v>10</v>
      </c>
      <c r="AL72" s="228">
        <v>-39.1</v>
      </c>
      <c r="AM72" s="228">
        <v>49.1</v>
      </c>
      <c r="AN72" s="229">
        <v>4.4000000000000003E-3</v>
      </c>
      <c r="AO72" s="231">
        <v>2317.9699999999998</v>
      </c>
      <c r="AP72" s="231">
        <v>2323.52</v>
      </c>
      <c r="AQ72" s="228">
        <v>0</v>
      </c>
      <c r="AR72" s="230">
        <v>1590875</v>
      </c>
      <c r="AS72" s="230">
        <v>2388925</v>
      </c>
      <c r="AT72" s="230">
        <v>-798050</v>
      </c>
      <c r="AU72" s="229">
        <v>-0.33410000000000001</v>
      </c>
      <c r="AV72" s="230">
        <v>641300</v>
      </c>
      <c r="AW72" s="230">
        <v>1129150</v>
      </c>
      <c r="AX72" s="230">
        <v>-487850</v>
      </c>
      <c r="AY72" s="229">
        <v>-0.43209999999999998</v>
      </c>
      <c r="AZ72" s="230">
        <v>942150</v>
      </c>
      <c r="BA72" s="230">
        <v>1256200</v>
      </c>
      <c r="BB72" s="230">
        <v>-314050</v>
      </c>
      <c r="BC72" s="229">
        <v>-0.25</v>
      </c>
      <c r="BD72" s="230">
        <v>7425</v>
      </c>
      <c r="BE72" s="230">
        <v>3575</v>
      </c>
      <c r="BF72" s="230">
        <v>3850</v>
      </c>
      <c r="BG72" s="229">
        <v>1.0769</v>
      </c>
      <c r="BH72" s="230">
        <v>2833325</v>
      </c>
      <c r="BI72" s="230">
        <v>4994825</v>
      </c>
      <c r="BJ72" s="230">
        <v>-2161500</v>
      </c>
      <c r="BK72" s="229">
        <v>-0.43269999999999997</v>
      </c>
      <c r="BL72" s="230">
        <v>1542750</v>
      </c>
      <c r="BM72" s="230">
        <v>1456675</v>
      </c>
      <c r="BN72" s="230">
        <v>86075</v>
      </c>
      <c r="BO72" s="229">
        <v>5.91E-2</v>
      </c>
      <c r="BP72" s="230">
        <v>5966950</v>
      </c>
      <c r="BQ72" s="230">
        <v>8840425</v>
      </c>
      <c r="BR72" s="230">
        <v>-2873475</v>
      </c>
      <c r="BS72" s="229">
        <v>-0.32500000000000001</v>
      </c>
      <c r="BT72" s="230">
        <v>479669</v>
      </c>
      <c r="BU72" s="230">
        <v>370885</v>
      </c>
      <c r="BV72" s="230">
        <v>108784</v>
      </c>
      <c r="BW72" s="229">
        <v>0.29330000000000001</v>
      </c>
      <c r="BX72" s="230">
        <v>2556675</v>
      </c>
      <c r="BY72" s="230">
        <v>2833050</v>
      </c>
      <c r="BZ72" s="230">
        <v>-276375</v>
      </c>
      <c r="CA72" s="229">
        <v>-9.7600000000000006E-2</v>
      </c>
      <c r="CB72" s="230">
        <v>81400</v>
      </c>
      <c r="CC72" s="230">
        <v>381975</v>
      </c>
      <c r="CD72" s="230">
        <v>-300575</v>
      </c>
      <c r="CE72" s="229">
        <v>-0.78690000000000004</v>
      </c>
      <c r="CF72" s="230">
        <v>2516250</v>
      </c>
      <c r="CG72" s="230">
        <v>2413400</v>
      </c>
      <c r="CH72" s="230">
        <v>102850</v>
      </c>
      <c r="CI72" s="229">
        <v>4.2599999999999999E-2</v>
      </c>
      <c r="CJ72" s="230">
        <v>40425</v>
      </c>
      <c r="CK72" s="230">
        <v>37675</v>
      </c>
      <c r="CL72" s="230">
        <v>2750</v>
      </c>
      <c r="CM72" s="229">
        <v>7.2999999999999995E-2</v>
      </c>
      <c r="CN72" s="230">
        <v>555500</v>
      </c>
      <c r="CO72" s="230">
        <v>1370600</v>
      </c>
      <c r="CP72" s="230">
        <v>-815100</v>
      </c>
      <c r="CQ72" s="229">
        <v>-0.59470000000000001</v>
      </c>
      <c r="CR72" s="230">
        <v>189750</v>
      </c>
      <c r="CS72" s="230">
        <v>682825</v>
      </c>
      <c r="CT72" s="230">
        <v>-493075</v>
      </c>
      <c r="CU72" s="229">
        <v>-0.72209999999999996</v>
      </c>
      <c r="CV72" s="230">
        <v>3301925</v>
      </c>
      <c r="CW72" s="230">
        <v>4886475</v>
      </c>
      <c r="CX72" s="230">
        <v>-1584550</v>
      </c>
      <c r="CY72" s="229">
        <v>-0.32429999999999998</v>
      </c>
      <c r="CZ72" s="228">
        <v>43.37</v>
      </c>
      <c r="DA72" s="228">
        <v>44.83</v>
      </c>
      <c r="DB72" s="228">
        <v>-1.46</v>
      </c>
      <c r="DC72" s="228">
        <v>-1.46</v>
      </c>
      <c r="DD72" s="228">
        <v>68.67</v>
      </c>
      <c r="DE72" s="228">
        <v>68.83</v>
      </c>
      <c r="DF72" s="228">
        <v>-25.3</v>
      </c>
      <c r="DG72" s="228">
        <v>-0.16</v>
      </c>
      <c r="DH72" s="228">
        <v>43.37</v>
      </c>
      <c r="DI72" s="228">
        <v>44.72</v>
      </c>
      <c r="DJ72" s="228">
        <v>-1.35</v>
      </c>
      <c r="DK72" s="228">
        <v>-1.35</v>
      </c>
      <c r="DL72" s="228">
        <v>43.36</v>
      </c>
      <c r="DM72" s="228">
        <v>45.14</v>
      </c>
      <c r="DN72" s="228">
        <v>-1.78</v>
      </c>
      <c r="DO72" s="228">
        <v>-1.78</v>
      </c>
      <c r="DP72" s="228">
        <v>0.34</v>
      </c>
      <c r="DQ72" s="228">
        <v>0.5</v>
      </c>
      <c r="DR72" s="228">
        <v>-0.16</v>
      </c>
      <c r="DS72" s="229">
        <v>-0.32</v>
      </c>
      <c r="DT72" s="231">
        <v>2400</v>
      </c>
      <c r="DU72" s="231">
        <v>2100</v>
      </c>
      <c r="DV72" s="228">
        <v>0.54</v>
      </c>
      <c r="DW72" s="228">
        <v>0.28999999999999998</v>
      </c>
      <c r="DX72" s="228">
        <v>0.25</v>
      </c>
      <c r="DY72" s="229">
        <v>0.86209999999999998</v>
      </c>
      <c r="DZ72" s="229">
        <v>0.96909999999999996</v>
      </c>
      <c r="EA72" s="230">
        <v>2451075</v>
      </c>
      <c r="EB72" s="229">
        <v>6.7000000000000002E-3</v>
      </c>
      <c r="EC72" s="229">
        <v>0.96909999999999996</v>
      </c>
      <c r="ED72" s="228">
        <v>5.55</v>
      </c>
      <c r="EE72" s="229">
        <v>2.3999999999999998E-3</v>
      </c>
      <c r="EF72" s="230">
        <v>130475</v>
      </c>
      <c r="EG72" s="230">
        <v>106125</v>
      </c>
      <c r="EH72" s="229">
        <v>0.22939999999999999</v>
      </c>
      <c r="EI72" s="229">
        <v>0.27200000000000002</v>
      </c>
      <c r="EJ72" s="231">
        <v>68868.78</v>
      </c>
      <c r="EK72" s="231">
        <v>34744.410000000003</v>
      </c>
      <c r="EL72" s="231">
        <v>36928.44</v>
      </c>
      <c r="EM72" s="231">
        <v>7840</v>
      </c>
      <c r="EN72" s="231">
        <v>140541.63</v>
      </c>
      <c r="EO72" s="231">
        <v>209926.85</v>
      </c>
      <c r="EP72" s="231">
        <v>-69385.22</v>
      </c>
      <c r="EQ72" s="229">
        <v>-0.33050000000000002</v>
      </c>
      <c r="ER72" s="231">
        <v>13494</v>
      </c>
      <c r="ES72" s="231">
        <v>4191</v>
      </c>
      <c r="ET72" s="231">
        <v>59081</v>
      </c>
      <c r="EU72" s="231">
        <v>6329596</v>
      </c>
      <c r="EV72" s="231">
        <v>76766</v>
      </c>
      <c r="EW72" s="231">
        <v>113814</v>
      </c>
      <c r="EX72" s="231">
        <v>-37048</v>
      </c>
      <c r="EY72" s="229">
        <v>-0.32550000000000001</v>
      </c>
      <c r="EZ72" s="229">
        <v>0.52170000000000005</v>
      </c>
      <c r="FA72" s="227" t="s">
        <v>691</v>
      </c>
      <c r="FB72" s="161">
        <f t="shared" si="1"/>
        <v>2475275</v>
      </c>
    </row>
    <row r="73" spans="1:158" ht="17.25" thickBot="1" x14ac:dyDescent="0.3">
      <c r="A73" s="226">
        <v>46168</v>
      </c>
      <c r="B73" s="227" t="s">
        <v>168</v>
      </c>
      <c r="C73" s="227" t="s">
        <v>217</v>
      </c>
      <c r="D73" s="228">
        <v>500</v>
      </c>
      <c r="E73" s="231">
        <v>1037.2</v>
      </c>
      <c r="F73" s="231">
        <v>1027</v>
      </c>
      <c r="G73" s="228">
        <v>10.199999999999999</v>
      </c>
      <c r="H73" s="229">
        <v>9.9000000000000008E-3</v>
      </c>
      <c r="I73" s="231">
        <v>1031.8</v>
      </c>
      <c r="J73" s="231">
        <v>1020.4</v>
      </c>
      <c r="K73" s="228">
        <v>11.4</v>
      </c>
      <c r="L73" s="229">
        <v>1.12E-2</v>
      </c>
      <c r="M73" s="231">
        <v>1031.7</v>
      </c>
      <c r="N73" s="231">
        <v>1020.6</v>
      </c>
      <c r="O73" s="228">
        <v>11.1</v>
      </c>
      <c r="P73" s="229">
        <v>1.09E-2</v>
      </c>
      <c r="Q73" s="231">
        <v>1037.2</v>
      </c>
      <c r="R73" s="231">
        <v>1027</v>
      </c>
      <c r="S73" s="228">
        <v>10.199999999999999</v>
      </c>
      <c r="T73" s="229">
        <v>9.9000000000000008E-3</v>
      </c>
      <c r="U73" s="231">
        <v>1040.8</v>
      </c>
      <c r="V73" s="231">
        <v>1035</v>
      </c>
      <c r="W73" s="228">
        <v>5.8</v>
      </c>
      <c r="X73" s="229">
        <v>5.5999999999999999E-3</v>
      </c>
      <c r="Y73" s="228">
        <v>5.4</v>
      </c>
      <c r="Z73" s="228">
        <v>0.2</v>
      </c>
      <c r="AA73" s="228">
        <v>5.2</v>
      </c>
      <c r="AB73" s="229">
        <v>5.1999999999999998E-3</v>
      </c>
      <c r="AC73" s="228">
        <v>-0.1</v>
      </c>
      <c r="AD73" s="228">
        <v>0.2</v>
      </c>
      <c r="AE73" s="228">
        <v>-0.3</v>
      </c>
      <c r="AF73" s="229">
        <v>-1E-4</v>
      </c>
      <c r="AG73" s="228">
        <v>5.4</v>
      </c>
      <c r="AH73" s="228">
        <v>6.6</v>
      </c>
      <c r="AI73" s="228">
        <v>-1.2</v>
      </c>
      <c r="AJ73" s="229">
        <v>5.1999999999999998E-3</v>
      </c>
      <c r="AK73" s="228">
        <v>9</v>
      </c>
      <c r="AL73" s="228">
        <v>14.6</v>
      </c>
      <c r="AM73" s="228">
        <v>-5.6</v>
      </c>
      <c r="AN73" s="229">
        <v>8.6999999999999994E-3</v>
      </c>
      <c r="AO73" s="231">
        <v>1029.81</v>
      </c>
      <c r="AP73" s="231">
        <v>1035.6400000000001</v>
      </c>
      <c r="AQ73" s="228">
        <v>0</v>
      </c>
      <c r="AR73" s="230">
        <v>3312000</v>
      </c>
      <c r="AS73" s="230">
        <v>7732500</v>
      </c>
      <c r="AT73" s="230">
        <v>-4420500</v>
      </c>
      <c r="AU73" s="229">
        <v>-0.57169999999999999</v>
      </c>
      <c r="AV73" s="230">
        <v>1351000</v>
      </c>
      <c r="AW73" s="230">
        <v>3384000</v>
      </c>
      <c r="AX73" s="230">
        <v>-2033000</v>
      </c>
      <c r="AY73" s="229">
        <v>-0.6008</v>
      </c>
      <c r="AZ73" s="230">
        <v>1952500</v>
      </c>
      <c r="BA73" s="230">
        <v>4320000</v>
      </c>
      <c r="BB73" s="230">
        <v>-2367500</v>
      </c>
      <c r="BC73" s="229">
        <v>-0.54800000000000004</v>
      </c>
      <c r="BD73" s="230">
        <v>8500</v>
      </c>
      <c r="BE73" s="230">
        <v>28500</v>
      </c>
      <c r="BF73" s="230">
        <v>-20000</v>
      </c>
      <c r="BG73" s="229">
        <v>-0.70179999999999998</v>
      </c>
      <c r="BH73" s="230">
        <v>2045500</v>
      </c>
      <c r="BI73" s="230">
        <v>4397000</v>
      </c>
      <c r="BJ73" s="230">
        <v>-2351500</v>
      </c>
      <c r="BK73" s="229">
        <v>-0.53480000000000005</v>
      </c>
      <c r="BL73" s="230">
        <v>1324500</v>
      </c>
      <c r="BM73" s="230">
        <v>1980500</v>
      </c>
      <c r="BN73" s="230">
        <v>-656000</v>
      </c>
      <c r="BO73" s="229">
        <v>-0.33119999999999999</v>
      </c>
      <c r="BP73" s="230">
        <v>6682000</v>
      </c>
      <c r="BQ73" s="230">
        <v>14110000</v>
      </c>
      <c r="BR73" s="230">
        <v>-7428000</v>
      </c>
      <c r="BS73" s="229">
        <v>-0.52639999999999998</v>
      </c>
      <c r="BT73" s="230">
        <v>1273339</v>
      </c>
      <c r="BU73" s="230">
        <v>3571494</v>
      </c>
      <c r="BV73" s="230">
        <v>-2298155</v>
      </c>
      <c r="BW73" s="229">
        <v>-0.64349999999999996</v>
      </c>
      <c r="BX73" s="230">
        <v>12049000</v>
      </c>
      <c r="BY73" s="230">
        <v>13638000</v>
      </c>
      <c r="BZ73" s="230">
        <v>-1589000</v>
      </c>
      <c r="CA73" s="229">
        <v>-0.11650000000000001</v>
      </c>
      <c r="CB73" s="230">
        <v>1083500</v>
      </c>
      <c r="CC73" s="230">
        <v>1973500</v>
      </c>
      <c r="CD73" s="230">
        <v>-890000</v>
      </c>
      <c r="CE73" s="229">
        <v>-0.45100000000000001</v>
      </c>
      <c r="CF73" s="230">
        <v>10951000</v>
      </c>
      <c r="CG73" s="230">
        <v>10563500</v>
      </c>
      <c r="CH73" s="230">
        <v>387500</v>
      </c>
      <c r="CI73" s="229">
        <v>3.6700000000000003E-2</v>
      </c>
      <c r="CJ73" s="230">
        <v>1098000</v>
      </c>
      <c r="CK73" s="230">
        <v>1101000</v>
      </c>
      <c r="CL73" s="230">
        <v>-3000</v>
      </c>
      <c r="CM73" s="229">
        <v>-2.7000000000000001E-3</v>
      </c>
      <c r="CN73" s="230">
        <v>624000</v>
      </c>
      <c r="CO73" s="230">
        <v>3269000</v>
      </c>
      <c r="CP73" s="230">
        <v>-2645000</v>
      </c>
      <c r="CQ73" s="229">
        <v>-0.80910000000000004</v>
      </c>
      <c r="CR73" s="230">
        <v>455500</v>
      </c>
      <c r="CS73" s="230">
        <v>2062000</v>
      </c>
      <c r="CT73" s="230">
        <v>-1606500</v>
      </c>
      <c r="CU73" s="229">
        <v>-0.77910000000000001</v>
      </c>
      <c r="CV73" s="230">
        <v>13128500</v>
      </c>
      <c r="CW73" s="230">
        <v>18969000</v>
      </c>
      <c r="CX73" s="230">
        <v>-5840500</v>
      </c>
      <c r="CY73" s="229">
        <v>-0.30790000000000001</v>
      </c>
      <c r="CZ73" s="228">
        <v>24.67</v>
      </c>
      <c r="DA73" s="228">
        <v>27.52</v>
      </c>
      <c r="DB73" s="228">
        <v>-2.85</v>
      </c>
      <c r="DC73" s="228">
        <v>-2.85</v>
      </c>
      <c r="DD73" s="228">
        <v>31.17</v>
      </c>
      <c r="DE73" s="228">
        <v>31.22</v>
      </c>
      <c r="DF73" s="228">
        <v>-6.5</v>
      </c>
      <c r="DG73" s="228">
        <v>-0.05</v>
      </c>
      <c r="DH73" s="228">
        <v>24.97</v>
      </c>
      <c r="DI73" s="228">
        <v>28.08</v>
      </c>
      <c r="DJ73" s="228">
        <v>-3.11</v>
      </c>
      <c r="DK73" s="228">
        <v>-3.11</v>
      </c>
      <c r="DL73" s="228">
        <v>24.13</v>
      </c>
      <c r="DM73" s="228">
        <v>24.96</v>
      </c>
      <c r="DN73" s="228">
        <v>-0.83</v>
      </c>
      <c r="DO73" s="228">
        <v>-0.83</v>
      </c>
      <c r="DP73" s="228">
        <v>0.73</v>
      </c>
      <c r="DQ73" s="228">
        <v>0.63</v>
      </c>
      <c r="DR73" s="228">
        <v>0.1</v>
      </c>
      <c r="DS73" s="229">
        <v>0.15870000000000001</v>
      </c>
      <c r="DT73" s="231">
        <v>1100</v>
      </c>
      <c r="DU73" s="231">
        <v>1040</v>
      </c>
      <c r="DV73" s="228">
        <v>0.65</v>
      </c>
      <c r="DW73" s="228">
        <v>0.45</v>
      </c>
      <c r="DX73" s="228">
        <v>0.2</v>
      </c>
      <c r="DY73" s="229">
        <v>0.44440000000000002</v>
      </c>
      <c r="DZ73" s="229">
        <v>0.91749999999999998</v>
      </c>
      <c r="EA73" s="230">
        <v>11664500</v>
      </c>
      <c r="EB73" s="229">
        <v>5.3E-3</v>
      </c>
      <c r="EC73" s="229">
        <v>0.91749999999999998</v>
      </c>
      <c r="ED73" s="228">
        <v>5.83</v>
      </c>
      <c r="EE73" s="229">
        <v>5.7000000000000002E-3</v>
      </c>
      <c r="EF73" s="230">
        <v>722544</v>
      </c>
      <c r="EG73" s="230">
        <v>2123541</v>
      </c>
      <c r="EH73" s="229">
        <v>-0.65969999999999995</v>
      </c>
      <c r="EI73" s="229">
        <v>0.56740000000000002</v>
      </c>
      <c r="EJ73" s="231">
        <v>21843.86</v>
      </c>
      <c r="EK73" s="231">
        <v>13497.03</v>
      </c>
      <c r="EL73" s="231">
        <v>34222.06</v>
      </c>
      <c r="EM73" s="231">
        <v>10540</v>
      </c>
      <c r="EN73" s="231">
        <v>69562.95</v>
      </c>
      <c r="EO73" s="231">
        <v>148087.97</v>
      </c>
      <c r="EP73" s="231">
        <v>-78525.02</v>
      </c>
      <c r="EQ73" s="229">
        <v>-0.53029999999999999</v>
      </c>
      <c r="ER73" s="231">
        <v>6759</v>
      </c>
      <c r="ES73" s="231">
        <v>4620</v>
      </c>
      <c r="ET73" s="231">
        <v>125012</v>
      </c>
      <c r="EU73" s="231">
        <v>53250524</v>
      </c>
      <c r="EV73" s="231">
        <v>136392</v>
      </c>
      <c r="EW73" s="231">
        <v>196723</v>
      </c>
      <c r="EX73" s="231">
        <v>-60331</v>
      </c>
      <c r="EY73" s="229">
        <v>-0.30669999999999997</v>
      </c>
      <c r="EZ73" s="229">
        <v>0.2465</v>
      </c>
      <c r="FA73" s="227" t="s">
        <v>691</v>
      </c>
      <c r="FB73" s="161">
        <f t="shared" si="1"/>
        <v>10965500</v>
      </c>
    </row>
    <row r="74" spans="1:158" ht="17.25" thickBot="1" x14ac:dyDescent="0.3">
      <c r="A74" s="226">
        <v>46168</v>
      </c>
      <c r="B74" s="227" t="s">
        <v>206</v>
      </c>
      <c r="C74" s="227" t="s">
        <v>218</v>
      </c>
      <c r="D74" s="228">
        <v>275</v>
      </c>
      <c r="E74" s="231">
        <v>1771.7</v>
      </c>
      <c r="F74" s="231">
        <v>1779.7</v>
      </c>
      <c r="G74" s="228">
        <v>-8</v>
      </c>
      <c r="H74" s="229">
        <v>-4.4999999999999997E-3</v>
      </c>
      <c r="I74" s="231">
        <v>1760.2</v>
      </c>
      <c r="J74" s="231">
        <v>1767.3</v>
      </c>
      <c r="K74" s="228">
        <v>-7.1</v>
      </c>
      <c r="L74" s="229">
        <v>-4.0000000000000001E-3</v>
      </c>
      <c r="M74" s="231">
        <v>1760.9</v>
      </c>
      <c r="N74" s="231">
        <v>1768.7</v>
      </c>
      <c r="O74" s="228">
        <v>-7.8</v>
      </c>
      <c r="P74" s="229">
        <v>-4.4000000000000003E-3</v>
      </c>
      <c r="Q74" s="231">
        <v>1771.7</v>
      </c>
      <c r="R74" s="231">
        <v>1779.7</v>
      </c>
      <c r="S74" s="228">
        <v>-8</v>
      </c>
      <c r="T74" s="229">
        <v>-4.4999999999999997E-3</v>
      </c>
      <c r="U74" s="231">
        <v>1773.8</v>
      </c>
      <c r="V74" s="231">
        <v>1780.1</v>
      </c>
      <c r="W74" s="228">
        <v>-6.3</v>
      </c>
      <c r="X74" s="229">
        <v>-3.5000000000000001E-3</v>
      </c>
      <c r="Y74" s="228">
        <v>11.5</v>
      </c>
      <c r="Z74" s="228">
        <v>1.4</v>
      </c>
      <c r="AA74" s="228">
        <v>10.1</v>
      </c>
      <c r="AB74" s="229">
        <v>6.4999999999999997E-3</v>
      </c>
      <c r="AC74" s="228">
        <v>0.7</v>
      </c>
      <c r="AD74" s="228">
        <v>1.4</v>
      </c>
      <c r="AE74" s="228">
        <v>-0.7</v>
      </c>
      <c r="AF74" s="229">
        <v>4.0000000000000002E-4</v>
      </c>
      <c r="AG74" s="228">
        <v>11.5</v>
      </c>
      <c r="AH74" s="228">
        <v>12.4</v>
      </c>
      <c r="AI74" s="228">
        <v>-0.9</v>
      </c>
      <c r="AJ74" s="229">
        <v>6.4999999999999997E-3</v>
      </c>
      <c r="AK74" s="228">
        <v>13.6</v>
      </c>
      <c r="AL74" s="228">
        <v>12.8</v>
      </c>
      <c r="AM74" s="228">
        <v>0.8</v>
      </c>
      <c r="AN74" s="229">
        <v>7.7000000000000002E-3</v>
      </c>
      <c r="AO74" s="231">
        <v>1765.36</v>
      </c>
      <c r="AP74" s="231">
        <v>1779.54</v>
      </c>
      <c r="AQ74" s="228">
        <v>0</v>
      </c>
      <c r="AR74" s="230">
        <v>2772825</v>
      </c>
      <c r="AS74" s="230">
        <v>4958800</v>
      </c>
      <c r="AT74" s="230">
        <v>-2185975</v>
      </c>
      <c r="AU74" s="229">
        <v>-0.44080000000000003</v>
      </c>
      <c r="AV74" s="230">
        <v>1245200</v>
      </c>
      <c r="AW74" s="230">
        <v>2367200</v>
      </c>
      <c r="AX74" s="230">
        <v>-1122000</v>
      </c>
      <c r="AY74" s="229">
        <v>-0.47399999999999998</v>
      </c>
      <c r="AZ74" s="230">
        <v>1489125</v>
      </c>
      <c r="BA74" s="230">
        <v>2519550</v>
      </c>
      <c r="BB74" s="230">
        <v>-1030425</v>
      </c>
      <c r="BC74" s="229">
        <v>-0.40899999999999997</v>
      </c>
      <c r="BD74" s="230">
        <v>38500</v>
      </c>
      <c r="BE74" s="230">
        <v>72050</v>
      </c>
      <c r="BF74" s="230">
        <v>-33550</v>
      </c>
      <c r="BG74" s="229">
        <v>-0.46560000000000001</v>
      </c>
      <c r="BH74" s="230">
        <v>2873200</v>
      </c>
      <c r="BI74" s="230">
        <v>4286425</v>
      </c>
      <c r="BJ74" s="230">
        <v>-1413225</v>
      </c>
      <c r="BK74" s="229">
        <v>-0.32969999999999999</v>
      </c>
      <c r="BL74" s="230">
        <v>1867525</v>
      </c>
      <c r="BM74" s="230">
        <v>3120700</v>
      </c>
      <c r="BN74" s="230">
        <v>-1253175</v>
      </c>
      <c r="BO74" s="229">
        <v>-0.40160000000000001</v>
      </c>
      <c r="BP74" s="230">
        <v>7513550</v>
      </c>
      <c r="BQ74" s="230">
        <v>12365925</v>
      </c>
      <c r="BR74" s="230">
        <v>-4852375</v>
      </c>
      <c r="BS74" s="229">
        <v>-0.39240000000000003</v>
      </c>
      <c r="BT74" s="230">
        <v>404007</v>
      </c>
      <c r="BU74" s="230">
        <v>374118</v>
      </c>
      <c r="BV74" s="230">
        <v>29889</v>
      </c>
      <c r="BW74" s="229">
        <v>7.9899999999999999E-2</v>
      </c>
      <c r="BX74" s="230">
        <v>7964100</v>
      </c>
      <c r="BY74" s="230">
        <v>8075350</v>
      </c>
      <c r="BZ74" s="230">
        <v>-111250</v>
      </c>
      <c r="CA74" s="229">
        <v>-1.38E-2</v>
      </c>
      <c r="CB74" s="230">
        <v>278575</v>
      </c>
      <c r="CC74" s="230">
        <v>788150</v>
      </c>
      <c r="CD74" s="230">
        <v>-509575</v>
      </c>
      <c r="CE74" s="229">
        <v>-0.64649999999999996</v>
      </c>
      <c r="CF74" s="230">
        <v>7763250</v>
      </c>
      <c r="CG74" s="230">
        <v>7106825</v>
      </c>
      <c r="CH74" s="230">
        <v>656425</v>
      </c>
      <c r="CI74" s="229">
        <v>9.2399999999999996E-2</v>
      </c>
      <c r="CJ74" s="230">
        <v>200850</v>
      </c>
      <c r="CK74" s="230">
        <v>180375</v>
      </c>
      <c r="CL74" s="230">
        <v>20475</v>
      </c>
      <c r="CM74" s="229">
        <v>0.1135</v>
      </c>
      <c r="CN74" s="230">
        <v>1255100</v>
      </c>
      <c r="CO74" s="230">
        <v>3110525</v>
      </c>
      <c r="CP74" s="230">
        <v>-1855425</v>
      </c>
      <c r="CQ74" s="229">
        <v>-0.59650000000000003</v>
      </c>
      <c r="CR74" s="230">
        <v>836050</v>
      </c>
      <c r="CS74" s="230">
        <v>2134825</v>
      </c>
      <c r="CT74" s="230">
        <v>-1298775</v>
      </c>
      <c r="CU74" s="229">
        <v>-0.60840000000000005</v>
      </c>
      <c r="CV74" s="230">
        <v>10055250</v>
      </c>
      <c r="CW74" s="230">
        <v>13320700</v>
      </c>
      <c r="CX74" s="230">
        <v>-3265450</v>
      </c>
      <c r="CY74" s="229">
        <v>-0.24510000000000001</v>
      </c>
      <c r="CZ74" s="228">
        <v>33.43</v>
      </c>
      <c r="DA74" s="228">
        <v>34.659999999999997</v>
      </c>
      <c r="DB74" s="228">
        <v>-1.23</v>
      </c>
      <c r="DC74" s="228">
        <v>-1.23</v>
      </c>
      <c r="DD74" s="228">
        <v>45.39</v>
      </c>
      <c r="DE74" s="228">
        <v>45.5</v>
      </c>
      <c r="DF74" s="228">
        <v>-11.96</v>
      </c>
      <c r="DG74" s="228">
        <v>-0.11</v>
      </c>
      <c r="DH74" s="228">
        <v>33.130000000000003</v>
      </c>
      <c r="DI74" s="228">
        <v>34.68</v>
      </c>
      <c r="DJ74" s="228">
        <v>-1.55</v>
      </c>
      <c r="DK74" s="228">
        <v>-1.55</v>
      </c>
      <c r="DL74" s="228">
        <v>33.94</v>
      </c>
      <c r="DM74" s="228">
        <v>34.64</v>
      </c>
      <c r="DN74" s="228">
        <v>-0.7</v>
      </c>
      <c r="DO74" s="228">
        <v>-0.7</v>
      </c>
      <c r="DP74" s="228">
        <v>0.67</v>
      </c>
      <c r="DQ74" s="228">
        <v>0.69</v>
      </c>
      <c r="DR74" s="228">
        <v>-0.02</v>
      </c>
      <c r="DS74" s="229">
        <v>-2.9000000000000001E-2</v>
      </c>
      <c r="DT74" s="231">
        <v>1900</v>
      </c>
      <c r="DU74" s="231">
        <v>1600</v>
      </c>
      <c r="DV74" s="228">
        <v>0.65</v>
      </c>
      <c r="DW74" s="228">
        <v>0.73</v>
      </c>
      <c r="DX74" s="228">
        <v>-0.08</v>
      </c>
      <c r="DY74" s="229">
        <v>-0.1096</v>
      </c>
      <c r="DZ74" s="229">
        <v>0.96619999999999995</v>
      </c>
      <c r="EA74" s="230">
        <v>7287200</v>
      </c>
      <c r="EB74" s="229">
        <v>6.1000000000000004E-3</v>
      </c>
      <c r="EC74" s="229">
        <v>0.96619999999999995</v>
      </c>
      <c r="ED74" s="228">
        <v>14.18</v>
      </c>
      <c r="EE74" s="229">
        <v>8.0000000000000002E-3</v>
      </c>
      <c r="EF74" s="230">
        <v>128102</v>
      </c>
      <c r="EG74" s="230">
        <v>148685</v>
      </c>
      <c r="EH74" s="229">
        <v>-0.1384</v>
      </c>
      <c r="EI74" s="229">
        <v>0.31709999999999999</v>
      </c>
      <c r="EJ74" s="231">
        <v>53470.75</v>
      </c>
      <c r="EK74" s="231">
        <v>33075.96</v>
      </c>
      <c r="EL74" s="231">
        <v>49293.14</v>
      </c>
      <c r="EM74" s="231">
        <v>12968</v>
      </c>
      <c r="EN74" s="231">
        <v>135839.85</v>
      </c>
      <c r="EO74" s="231">
        <v>220098.02</v>
      </c>
      <c r="EP74" s="231">
        <v>-84258.17</v>
      </c>
      <c r="EQ74" s="229">
        <v>-0.38279999999999997</v>
      </c>
      <c r="ER74" s="231">
        <v>23286</v>
      </c>
      <c r="ES74" s="231">
        <v>14498</v>
      </c>
      <c r="ET74" s="231">
        <v>141104</v>
      </c>
      <c r="EU74" s="231">
        <v>23870110</v>
      </c>
      <c r="EV74" s="231">
        <v>178889</v>
      </c>
      <c r="EW74" s="231">
        <v>238504</v>
      </c>
      <c r="EX74" s="231">
        <v>-59615</v>
      </c>
      <c r="EY74" s="229">
        <v>-0.25</v>
      </c>
      <c r="EZ74" s="229">
        <v>0.42120000000000002</v>
      </c>
      <c r="FA74" s="227" t="s">
        <v>567</v>
      </c>
      <c r="FB74" s="161">
        <f t="shared" si="1"/>
        <v>7685525</v>
      </c>
    </row>
    <row r="75" spans="1:158" ht="17.25" thickBot="1" x14ac:dyDescent="0.3">
      <c r="A75" s="226">
        <v>46168</v>
      </c>
      <c r="B75" s="227" t="s">
        <v>157</v>
      </c>
      <c r="C75" s="227" t="s">
        <v>219</v>
      </c>
      <c r="D75" s="228">
        <v>250</v>
      </c>
      <c r="E75" s="231">
        <v>3187.3</v>
      </c>
      <c r="F75" s="231">
        <v>3192.2</v>
      </c>
      <c r="G75" s="228">
        <v>-4.9000000000000004</v>
      </c>
      <c r="H75" s="229">
        <v>-1.5E-3</v>
      </c>
      <c r="I75" s="231">
        <v>3165</v>
      </c>
      <c r="J75" s="231">
        <v>3171.6</v>
      </c>
      <c r="K75" s="228">
        <v>-6.6</v>
      </c>
      <c r="L75" s="229">
        <v>-2.0999999999999999E-3</v>
      </c>
      <c r="M75" s="231">
        <v>3161.1</v>
      </c>
      <c r="N75" s="231">
        <v>3172.2</v>
      </c>
      <c r="O75" s="228">
        <v>-11.1</v>
      </c>
      <c r="P75" s="229">
        <v>-3.5000000000000001E-3</v>
      </c>
      <c r="Q75" s="231">
        <v>3187.3</v>
      </c>
      <c r="R75" s="231">
        <v>3192.2</v>
      </c>
      <c r="S75" s="228">
        <v>-4.9000000000000004</v>
      </c>
      <c r="T75" s="229">
        <v>-1.5E-3</v>
      </c>
      <c r="U75" s="231">
        <v>3200.9</v>
      </c>
      <c r="V75" s="231">
        <v>3207.8</v>
      </c>
      <c r="W75" s="228">
        <v>-6.9</v>
      </c>
      <c r="X75" s="229">
        <v>-2.2000000000000001E-3</v>
      </c>
      <c r="Y75" s="228">
        <v>22.3</v>
      </c>
      <c r="Z75" s="228">
        <v>0.6</v>
      </c>
      <c r="AA75" s="228">
        <v>21.7</v>
      </c>
      <c r="AB75" s="229">
        <v>7.0000000000000001E-3</v>
      </c>
      <c r="AC75" s="228">
        <v>-3.9</v>
      </c>
      <c r="AD75" s="228">
        <v>0.6</v>
      </c>
      <c r="AE75" s="228">
        <v>-4.5</v>
      </c>
      <c r="AF75" s="229">
        <v>-1.1999999999999999E-3</v>
      </c>
      <c r="AG75" s="228">
        <v>22.3</v>
      </c>
      <c r="AH75" s="228">
        <v>20.6</v>
      </c>
      <c r="AI75" s="228">
        <v>1.7</v>
      </c>
      <c r="AJ75" s="229">
        <v>7.0000000000000001E-3</v>
      </c>
      <c r="AK75" s="228">
        <v>35.9</v>
      </c>
      <c r="AL75" s="228">
        <v>36.200000000000003</v>
      </c>
      <c r="AM75" s="228">
        <v>-0.3</v>
      </c>
      <c r="AN75" s="229">
        <v>1.1299999999999999E-2</v>
      </c>
      <c r="AO75" s="231">
        <v>3172.45</v>
      </c>
      <c r="AP75" s="231">
        <v>3194.51</v>
      </c>
      <c r="AQ75" s="228">
        <v>0</v>
      </c>
      <c r="AR75" s="230">
        <v>3198250</v>
      </c>
      <c r="AS75" s="230">
        <v>5794250</v>
      </c>
      <c r="AT75" s="230">
        <v>-2596000</v>
      </c>
      <c r="AU75" s="229">
        <v>-0.44800000000000001</v>
      </c>
      <c r="AV75" s="230">
        <v>1376250</v>
      </c>
      <c r="AW75" s="230">
        <v>2859250</v>
      </c>
      <c r="AX75" s="230">
        <v>-1483000</v>
      </c>
      <c r="AY75" s="229">
        <v>-0.51870000000000005</v>
      </c>
      <c r="AZ75" s="230">
        <v>1812000</v>
      </c>
      <c r="BA75" s="230">
        <v>2799000</v>
      </c>
      <c r="BB75" s="230">
        <v>-987000</v>
      </c>
      <c r="BC75" s="229">
        <v>-0.35260000000000002</v>
      </c>
      <c r="BD75" s="230">
        <v>10000</v>
      </c>
      <c r="BE75" s="230">
        <v>136000</v>
      </c>
      <c r="BF75" s="230">
        <v>-126000</v>
      </c>
      <c r="BG75" s="229">
        <v>-0.92649999999999999</v>
      </c>
      <c r="BH75" s="230">
        <v>3437250</v>
      </c>
      <c r="BI75" s="230">
        <v>4812500</v>
      </c>
      <c r="BJ75" s="230">
        <v>-1375250</v>
      </c>
      <c r="BK75" s="229">
        <v>-0.2858</v>
      </c>
      <c r="BL75" s="230">
        <v>2467250</v>
      </c>
      <c r="BM75" s="230">
        <v>4028500</v>
      </c>
      <c r="BN75" s="230">
        <v>-1561250</v>
      </c>
      <c r="BO75" s="229">
        <v>-0.3876</v>
      </c>
      <c r="BP75" s="230">
        <v>9102750</v>
      </c>
      <c r="BQ75" s="230">
        <v>14635250</v>
      </c>
      <c r="BR75" s="230">
        <v>-5532500</v>
      </c>
      <c r="BS75" s="229">
        <v>-0.378</v>
      </c>
      <c r="BT75" s="230">
        <v>994564</v>
      </c>
      <c r="BU75" s="230">
        <v>637356</v>
      </c>
      <c r="BV75" s="230">
        <v>357208</v>
      </c>
      <c r="BW75" s="229">
        <v>0.5605</v>
      </c>
      <c r="BX75" s="230">
        <v>15312250</v>
      </c>
      <c r="BY75" s="230">
        <v>16102500</v>
      </c>
      <c r="BZ75" s="230">
        <v>-790250</v>
      </c>
      <c r="CA75" s="229">
        <v>-4.9099999999999998E-2</v>
      </c>
      <c r="CB75" s="230">
        <v>479250</v>
      </c>
      <c r="CC75" s="230">
        <v>1272750</v>
      </c>
      <c r="CD75" s="230">
        <v>-793500</v>
      </c>
      <c r="CE75" s="229">
        <v>-0.62350000000000005</v>
      </c>
      <c r="CF75" s="230">
        <v>14561500</v>
      </c>
      <c r="CG75" s="230">
        <v>14080000</v>
      </c>
      <c r="CH75" s="230">
        <v>481500</v>
      </c>
      <c r="CI75" s="229">
        <v>3.4200000000000001E-2</v>
      </c>
      <c r="CJ75" s="230">
        <v>750750</v>
      </c>
      <c r="CK75" s="230">
        <v>749750</v>
      </c>
      <c r="CL75" s="230">
        <v>1000</v>
      </c>
      <c r="CM75" s="229">
        <v>1.2999999999999999E-3</v>
      </c>
      <c r="CN75" s="230">
        <v>785000</v>
      </c>
      <c r="CO75" s="230">
        <v>2407000</v>
      </c>
      <c r="CP75" s="230">
        <v>-1622000</v>
      </c>
      <c r="CQ75" s="229">
        <v>-0.67390000000000005</v>
      </c>
      <c r="CR75" s="230">
        <v>845250</v>
      </c>
      <c r="CS75" s="230">
        <v>2706500</v>
      </c>
      <c r="CT75" s="230">
        <v>-1861250</v>
      </c>
      <c r="CU75" s="229">
        <v>-0.68769999999999998</v>
      </c>
      <c r="CV75" s="230">
        <v>16942500</v>
      </c>
      <c r="CW75" s="230">
        <v>21216000</v>
      </c>
      <c r="CX75" s="230">
        <v>-4273500</v>
      </c>
      <c r="CY75" s="229">
        <v>-0.2014</v>
      </c>
      <c r="CZ75" s="228">
        <v>21.53</v>
      </c>
      <c r="DA75" s="228">
        <v>22.39</v>
      </c>
      <c r="DB75" s="228">
        <v>-0.86</v>
      </c>
      <c r="DC75" s="228">
        <v>-0.86</v>
      </c>
      <c r="DD75" s="228">
        <v>28.65</v>
      </c>
      <c r="DE75" s="228">
        <v>28.73</v>
      </c>
      <c r="DF75" s="228">
        <v>-7.12</v>
      </c>
      <c r="DG75" s="228">
        <v>-0.08</v>
      </c>
      <c r="DH75" s="228">
        <v>21.09</v>
      </c>
      <c r="DI75" s="228">
        <v>21.7</v>
      </c>
      <c r="DJ75" s="228">
        <v>-0.61</v>
      </c>
      <c r="DK75" s="228">
        <v>-0.61</v>
      </c>
      <c r="DL75" s="228">
        <v>22.01</v>
      </c>
      <c r="DM75" s="228">
        <v>23.14</v>
      </c>
      <c r="DN75" s="228">
        <v>-1.1299999999999999</v>
      </c>
      <c r="DO75" s="228">
        <v>-1.1299999999999999</v>
      </c>
      <c r="DP75" s="228">
        <v>1.08</v>
      </c>
      <c r="DQ75" s="228">
        <v>1.1200000000000001</v>
      </c>
      <c r="DR75" s="228">
        <v>-0.04</v>
      </c>
      <c r="DS75" s="229">
        <v>-3.5700000000000003E-2</v>
      </c>
      <c r="DT75" s="231">
        <v>3200</v>
      </c>
      <c r="DU75" s="231">
        <v>3000</v>
      </c>
      <c r="DV75" s="228">
        <v>0.72</v>
      </c>
      <c r="DW75" s="228">
        <v>0.84</v>
      </c>
      <c r="DX75" s="228">
        <v>-0.12</v>
      </c>
      <c r="DY75" s="229">
        <v>-0.1429</v>
      </c>
      <c r="DZ75" s="229">
        <v>0.96970000000000001</v>
      </c>
      <c r="EA75" s="230">
        <v>14829750</v>
      </c>
      <c r="EB75" s="229">
        <v>8.3000000000000001E-3</v>
      </c>
      <c r="EC75" s="229">
        <v>0.96970000000000001</v>
      </c>
      <c r="ED75" s="228">
        <v>22.06</v>
      </c>
      <c r="EE75" s="229">
        <v>7.0000000000000001E-3</v>
      </c>
      <c r="EF75" s="230">
        <v>562178</v>
      </c>
      <c r="EG75" s="230">
        <v>295977</v>
      </c>
      <c r="EH75" s="229">
        <v>0.89939999999999998</v>
      </c>
      <c r="EI75" s="229">
        <v>0.56530000000000002</v>
      </c>
      <c r="EJ75" s="231">
        <v>111477.57</v>
      </c>
      <c r="EK75" s="231">
        <v>76786.61</v>
      </c>
      <c r="EL75" s="231">
        <v>101866</v>
      </c>
      <c r="EM75" s="231">
        <v>29836</v>
      </c>
      <c r="EN75" s="231">
        <v>290130.18</v>
      </c>
      <c r="EO75" s="231">
        <v>463849.41</v>
      </c>
      <c r="EP75" s="231">
        <v>-173719.23</v>
      </c>
      <c r="EQ75" s="229">
        <v>-0.3745</v>
      </c>
      <c r="ER75" s="231">
        <v>25282</v>
      </c>
      <c r="ES75" s="231">
        <v>25548</v>
      </c>
      <c r="ET75" s="231">
        <v>488149</v>
      </c>
      <c r="EU75" s="231">
        <v>38401443</v>
      </c>
      <c r="EV75" s="231">
        <v>538979</v>
      </c>
      <c r="EW75" s="231">
        <v>669031</v>
      </c>
      <c r="EX75" s="231">
        <v>-130052</v>
      </c>
      <c r="EY75" s="229">
        <v>-0.19439999999999999</v>
      </c>
      <c r="EZ75" s="229">
        <v>0.44119999999999998</v>
      </c>
      <c r="FA75" s="227" t="s">
        <v>567</v>
      </c>
      <c r="FB75" s="161">
        <f t="shared" si="1"/>
        <v>14833000</v>
      </c>
    </row>
    <row r="76" spans="1:158" ht="17.25" thickBot="1" x14ac:dyDescent="0.3">
      <c r="A76" s="226">
        <v>46168</v>
      </c>
      <c r="B76" s="227" t="s">
        <v>184</v>
      </c>
      <c r="C76" s="227" t="s">
        <v>513</v>
      </c>
      <c r="D76" s="228">
        <v>150</v>
      </c>
      <c r="E76" s="231">
        <v>4460.3999999999996</v>
      </c>
      <c r="F76" s="231">
        <v>4451.2</v>
      </c>
      <c r="G76" s="228">
        <v>9.1999999999999993</v>
      </c>
      <c r="H76" s="229">
        <v>2.0999999999999999E-3</v>
      </c>
      <c r="I76" s="231">
        <v>4427.7</v>
      </c>
      <c r="J76" s="231">
        <v>4425.8999999999996</v>
      </c>
      <c r="K76" s="228">
        <v>1.8</v>
      </c>
      <c r="L76" s="229">
        <v>4.0000000000000002E-4</v>
      </c>
      <c r="M76" s="231">
        <v>4424.5</v>
      </c>
      <c r="N76" s="231">
        <v>4426.7</v>
      </c>
      <c r="O76" s="228">
        <v>-2.2000000000000002</v>
      </c>
      <c r="P76" s="229">
        <v>-5.0000000000000001E-4</v>
      </c>
      <c r="Q76" s="231">
        <v>4460.3999999999996</v>
      </c>
      <c r="R76" s="231">
        <v>4451.2</v>
      </c>
      <c r="S76" s="228">
        <v>9.1999999999999993</v>
      </c>
      <c r="T76" s="229">
        <v>2.0999999999999999E-3</v>
      </c>
      <c r="U76" s="231">
        <v>4495.8999999999996</v>
      </c>
      <c r="V76" s="231">
        <v>4480.1000000000004</v>
      </c>
      <c r="W76" s="228">
        <v>15.8</v>
      </c>
      <c r="X76" s="229">
        <v>3.5000000000000001E-3</v>
      </c>
      <c r="Y76" s="228">
        <v>32.700000000000003</v>
      </c>
      <c r="Z76" s="228">
        <v>0.8</v>
      </c>
      <c r="AA76" s="228">
        <v>31.9</v>
      </c>
      <c r="AB76" s="229">
        <v>7.4000000000000003E-3</v>
      </c>
      <c r="AC76" s="228">
        <v>-3.2</v>
      </c>
      <c r="AD76" s="228">
        <v>0.8</v>
      </c>
      <c r="AE76" s="228">
        <v>-4</v>
      </c>
      <c r="AF76" s="229">
        <v>-6.9999999999999999E-4</v>
      </c>
      <c r="AG76" s="228">
        <v>32.700000000000003</v>
      </c>
      <c r="AH76" s="228">
        <v>25.3</v>
      </c>
      <c r="AI76" s="228">
        <v>7.4</v>
      </c>
      <c r="AJ76" s="229">
        <v>7.4000000000000003E-3</v>
      </c>
      <c r="AK76" s="228">
        <v>68.2</v>
      </c>
      <c r="AL76" s="228">
        <v>54.2</v>
      </c>
      <c r="AM76" s="228">
        <v>14</v>
      </c>
      <c r="AN76" s="229">
        <v>1.54E-2</v>
      </c>
      <c r="AO76" s="231">
        <v>4422.71</v>
      </c>
      <c r="AP76" s="231">
        <v>4453.09</v>
      </c>
      <c r="AQ76" s="228">
        <v>0</v>
      </c>
      <c r="AR76" s="230">
        <v>3371400</v>
      </c>
      <c r="AS76" s="230">
        <v>3509700</v>
      </c>
      <c r="AT76" s="230">
        <v>-138300</v>
      </c>
      <c r="AU76" s="229">
        <v>-3.9399999999999998E-2</v>
      </c>
      <c r="AV76" s="230">
        <v>1533600</v>
      </c>
      <c r="AW76" s="230">
        <v>1714800</v>
      </c>
      <c r="AX76" s="230">
        <v>-181200</v>
      </c>
      <c r="AY76" s="229">
        <v>-0.1057</v>
      </c>
      <c r="AZ76" s="230">
        <v>1794750</v>
      </c>
      <c r="BA76" s="230">
        <v>1727400</v>
      </c>
      <c r="BB76" s="230">
        <v>67350</v>
      </c>
      <c r="BC76" s="229">
        <v>3.9E-2</v>
      </c>
      <c r="BD76" s="230">
        <v>43050</v>
      </c>
      <c r="BE76" s="230">
        <v>67500</v>
      </c>
      <c r="BF76" s="230">
        <v>-24450</v>
      </c>
      <c r="BG76" s="229">
        <v>-0.36220000000000002</v>
      </c>
      <c r="BH76" s="230">
        <v>3947850</v>
      </c>
      <c r="BI76" s="230">
        <v>8536800</v>
      </c>
      <c r="BJ76" s="230">
        <v>-4588950</v>
      </c>
      <c r="BK76" s="229">
        <v>-0.53749999999999998</v>
      </c>
      <c r="BL76" s="230">
        <v>2217600</v>
      </c>
      <c r="BM76" s="230">
        <v>4021800</v>
      </c>
      <c r="BN76" s="230">
        <v>-1804200</v>
      </c>
      <c r="BO76" s="229">
        <v>-0.4486</v>
      </c>
      <c r="BP76" s="230">
        <v>9536850</v>
      </c>
      <c r="BQ76" s="230">
        <v>16068300</v>
      </c>
      <c r="BR76" s="230">
        <v>-6531450</v>
      </c>
      <c r="BS76" s="229">
        <v>-0.40649999999999997</v>
      </c>
      <c r="BT76" s="230">
        <v>1051849</v>
      </c>
      <c r="BU76" s="230">
        <v>1135718</v>
      </c>
      <c r="BV76" s="230">
        <v>-83869</v>
      </c>
      <c r="BW76" s="229">
        <v>-7.3800000000000004E-2</v>
      </c>
      <c r="BX76" s="230">
        <v>6656550</v>
      </c>
      <c r="BY76" s="230">
        <v>7191600</v>
      </c>
      <c r="BZ76" s="230">
        <v>-535050</v>
      </c>
      <c r="CA76" s="229">
        <v>-7.4399999999999994E-2</v>
      </c>
      <c r="CB76" s="230">
        <v>678150</v>
      </c>
      <c r="CC76" s="230">
        <v>1661250</v>
      </c>
      <c r="CD76" s="230">
        <v>-983100</v>
      </c>
      <c r="CE76" s="229">
        <v>-0.59179999999999999</v>
      </c>
      <c r="CF76" s="230">
        <v>6398100</v>
      </c>
      <c r="CG76" s="230">
        <v>5298000</v>
      </c>
      <c r="CH76" s="230">
        <v>1100100</v>
      </c>
      <c r="CI76" s="229">
        <v>0.20760000000000001</v>
      </c>
      <c r="CJ76" s="230">
        <v>258450</v>
      </c>
      <c r="CK76" s="230">
        <v>232350</v>
      </c>
      <c r="CL76" s="230">
        <v>26100</v>
      </c>
      <c r="CM76" s="229">
        <v>0.1123</v>
      </c>
      <c r="CN76" s="230">
        <v>1500000</v>
      </c>
      <c r="CO76" s="230">
        <v>4100250</v>
      </c>
      <c r="CP76" s="230">
        <v>-2600250</v>
      </c>
      <c r="CQ76" s="229">
        <v>-0.63419999999999999</v>
      </c>
      <c r="CR76" s="230">
        <v>1211700</v>
      </c>
      <c r="CS76" s="230">
        <v>2626050</v>
      </c>
      <c r="CT76" s="230">
        <v>-1414350</v>
      </c>
      <c r="CU76" s="229">
        <v>-0.53859999999999997</v>
      </c>
      <c r="CV76" s="230">
        <v>9368250</v>
      </c>
      <c r="CW76" s="230">
        <v>13917900</v>
      </c>
      <c r="CX76" s="230">
        <v>-4549650</v>
      </c>
      <c r="CY76" s="229">
        <v>-0.32690000000000002</v>
      </c>
      <c r="CZ76" s="228">
        <v>25.8</v>
      </c>
      <c r="DA76" s="228">
        <v>26.73</v>
      </c>
      <c r="DB76" s="228">
        <v>-0.93</v>
      </c>
      <c r="DC76" s="228">
        <v>-0.93</v>
      </c>
      <c r="DD76" s="228">
        <v>38.869999999999997</v>
      </c>
      <c r="DE76" s="228">
        <v>38.97</v>
      </c>
      <c r="DF76" s="228">
        <v>-13.07</v>
      </c>
      <c r="DG76" s="228">
        <v>-0.1</v>
      </c>
      <c r="DH76" s="228">
        <v>26.01</v>
      </c>
      <c r="DI76" s="228">
        <v>26.91</v>
      </c>
      <c r="DJ76" s="228">
        <v>-0.9</v>
      </c>
      <c r="DK76" s="228">
        <v>-0.9</v>
      </c>
      <c r="DL76" s="228">
        <v>25.36</v>
      </c>
      <c r="DM76" s="228">
        <v>26.38</v>
      </c>
      <c r="DN76" s="228">
        <v>-1.02</v>
      </c>
      <c r="DO76" s="228">
        <v>-1.02</v>
      </c>
      <c r="DP76" s="228">
        <v>0.81</v>
      </c>
      <c r="DQ76" s="228">
        <v>0.64</v>
      </c>
      <c r="DR76" s="228">
        <v>0.17</v>
      </c>
      <c r="DS76" s="229">
        <v>0.2656</v>
      </c>
      <c r="DT76" s="231">
        <v>4700</v>
      </c>
      <c r="DU76" s="231">
        <v>4400</v>
      </c>
      <c r="DV76" s="228">
        <v>0.56000000000000005</v>
      </c>
      <c r="DW76" s="228">
        <v>0.47</v>
      </c>
      <c r="DX76" s="228">
        <v>0.09</v>
      </c>
      <c r="DY76" s="229">
        <v>0.1915</v>
      </c>
      <c r="DZ76" s="229">
        <v>0.90749999999999997</v>
      </c>
      <c r="EA76" s="230">
        <v>5530350</v>
      </c>
      <c r="EB76" s="229">
        <v>8.0999999999999996E-3</v>
      </c>
      <c r="EC76" s="229">
        <v>0.90749999999999997</v>
      </c>
      <c r="ED76" s="228">
        <v>30.38</v>
      </c>
      <c r="EE76" s="229">
        <v>6.8999999999999999E-3</v>
      </c>
      <c r="EF76" s="230">
        <v>576993</v>
      </c>
      <c r="EG76" s="230">
        <v>580611</v>
      </c>
      <c r="EH76" s="229">
        <v>-6.1999999999999998E-3</v>
      </c>
      <c r="EI76" s="229">
        <v>0.54859999999999998</v>
      </c>
      <c r="EJ76" s="231">
        <v>183487.21</v>
      </c>
      <c r="EK76" s="231">
        <v>98590.05</v>
      </c>
      <c r="EL76" s="231">
        <v>149678.22</v>
      </c>
      <c r="EM76" s="231">
        <v>17067</v>
      </c>
      <c r="EN76" s="231">
        <v>431755.48</v>
      </c>
      <c r="EO76" s="231">
        <v>723719.59</v>
      </c>
      <c r="EP76" s="231">
        <v>-291964.11</v>
      </c>
      <c r="EQ76" s="229">
        <v>-0.40339999999999998</v>
      </c>
      <c r="ER76" s="231">
        <v>70093</v>
      </c>
      <c r="ES76" s="231">
        <v>53462</v>
      </c>
      <c r="ET76" s="231">
        <v>297001</v>
      </c>
      <c r="EU76" s="231">
        <v>28450886</v>
      </c>
      <c r="EV76" s="231">
        <v>420556</v>
      </c>
      <c r="EW76" s="231">
        <v>627286</v>
      </c>
      <c r="EX76" s="231">
        <v>-206730</v>
      </c>
      <c r="EY76" s="229">
        <v>-0.3296</v>
      </c>
      <c r="EZ76" s="229">
        <v>0.32929999999999998</v>
      </c>
      <c r="FA76" s="227" t="s">
        <v>691</v>
      </c>
      <c r="FB76" s="161">
        <f t="shared" si="1"/>
        <v>5978400</v>
      </c>
    </row>
    <row r="77" spans="1:158" ht="17.25" thickBot="1" x14ac:dyDescent="0.3">
      <c r="A77" s="226">
        <v>46168</v>
      </c>
      <c r="B77" s="227" t="s">
        <v>184</v>
      </c>
      <c r="C77" s="227" t="s">
        <v>220</v>
      </c>
      <c r="D77" s="228">
        <v>500</v>
      </c>
      <c r="E77" s="231">
        <v>1211</v>
      </c>
      <c r="F77" s="231">
        <v>1212.7</v>
      </c>
      <c r="G77" s="228">
        <v>-1.7</v>
      </c>
      <c r="H77" s="229">
        <v>-1.4E-3</v>
      </c>
      <c r="I77" s="231">
        <v>1201</v>
      </c>
      <c r="J77" s="231">
        <v>1203.8</v>
      </c>
      <c r="K77" s="228">
        <v>-2.8</v>
      </c>
      <c r="L77" s="229">
        <v>-2.3E-3</v>
      </c>
      <c r="M77" s="231">
        <v>1202.9000000000001</v>
      </c>
      <c r="N77" s="231">
        <v>1205.7</v>
      </c>
      <c r="O77" s="228">
        <v>-2.8</v>
      </c>
      <c r="P77" s="229">
        <v>-2.3E-3</v>
      </c>
      <c r="Q77" s="231">
        <v>1211</v>
      </c>
      <c r="R77" s="231">
        <v>1212.7</v>
      </c>
      <c r="S77" s="228">
        <v>-1.7</v>
      </c>
      <c r="T77" s="229">
        <v>-1.4E-3</v>
      </c>
      <c r="U77" s="231">
        <v>1218.2</v>
      </c>
      <c r="V77" s="231">
        <v>1220.5999999999999</v>
      </c>
      <c r="W77" s="228">
        <v>-2.4</v>
      </c>
      <c r="X77" s="229">
        <v>-2E-3</v>
      </c>
      <c r="Y77" s="228">
        <v>10</v>
      </c>
      <c r="Z77" s="228">
        <v>1.9</v>
      </c>
      <c r="AA77" s="228">
        <v>8.1</v>
      </c>
      <c r="AB77" s="229">
        <v>8.3000000000000001E-3</v>
      </c>
      <c r="AC77" s="228">
        <v>1.9</v>
      </c>
      <c r="AD77" s="228">
        <v>1.9</v>
      </c>
      <c r="AE77" s="228">
        <v>0</v>
      </c>
      <c r="AF77" s="229">
        <v>1.6000000000000001E-3</v>
      </c>
      <c r="AG77" s="228">
        <v>10</v>
      </c>
      <c r="AH77" s="228">
        <v>8.9</v>
      </c>
      <c r="AI77" s="228">
        <v>1.1000000000000001</v>
      </c>
      <c r="AJ77" s="229">
        <v>8.3000000000000001E-3</v>
      </c>
      <c r="AK77" s="228">
        <v>17.2</v>
      </c>
      <c r="AL77" s="228">
        <v>16.8</v>
      </c>
      <c r="AM77" s="228">
        <v>0.4</v>
      </c>
      <c r="AN77" s="229">
        <v>1.43E-2</v>
      </c>
      <c r="AO77" s="231">
        <v>1202.3800000000001</v>
      </c>
      <c r="AP77" s="231">
        <v>1209.94</v>
      </c>
      <c r="AQ77" s="228">
        <v>0</v>
      </c>
      <c r="AR77" s="230">
        <v>5337500</v>
      </c>
      <c r="AS77" s="230">
        <v>4568000</v>
      </c>
      <c r="AT77" s="230">
        <v>769500</v>
      </c>
      <c r="AU77" s="229">
        <v>0.16850000000000001</v>
      </c>
      <c r="AV77" s="230">
        <v>2472500</v>
      </c>
      <c r="AW77" s="230">
        <v>2114000</v>
      </c>
      <c r="AX77" s="230">
        <v>358500</v>
      </c>
      <c r="AY77" s="229">
        <v>0.1696</v>
      </c>
      <c r="AZ77" s="230">
        <v>2787000</v>
      </c>
      <c r="BA77" s="230">
        <v>2400000</v>
      </c>
      <c r="BB77" s="230">
        <v>387000</v>
      </c>
      <c r="BC77" s="229">
        <v>0.1613</v>
      </c>
      <c r="BD77" s="230">
        <v>78000</v>
      </c>
      <c r="BE77" s="230">
        <v>54000</v>
      </c>
      <c r="BF77" s="230">
        <v>24000</v>
      </c>
      <c r="BG77" s="229">
        <v>0.44440000000000002</v>
      </c>
      <c r="BH77" s="230">
        <v>2295500</v>
      </c>
      <c r="BI77" s="230">
        <v>2605000</v>
      </c>
      <c r="BJ77" s="230">
        <v>-309500</v>
      </c>
      <c r="BK77" s="229">
        <v>-0.1188</v>
      </c>
      <c r="BL77" s="230">
        <v>3136500</v>
      </c>
      <c r="BM77" s="230">
        <v>1000000</v>
      </c>
      <c r="BN77" s="230">
        <v>2136500</v>
      </c>
      <c r="BO77" s="229">
        <v>2.1364999999999998</v>
      </c>
      <c r="BP77" s="230">
        <v>10769500</v>
      </c>
      <c r="BQ77" s="230">
        <v>8173000</v>
      </c>
      <c r="BR77" s="230">
        <v>2596500</v>
      </c>
      <c r="BS77" s="229">
        <v>0.31769999999999998</v>
      </c>
      <c r="BT77" s="230">
        <v>503021</v>
      </c>
      <c r="BU77" s="230">
        <v>388233</v>
      </c>
      <c r="BV77" s="230">
        <v>114788</v>
      </c>
      <c r="BW77" s="229">
        <v>0.29570000000000002</v>
      </c>
      <c r="BX77" s="230">
        <v>9651000</v>
      </c>
      <c r="BY77" s="230">
        <v>11291500</v>
      </c>
      <c r="BZ77" s="230">
        <v>-1640500</v>
      </c>
      <c r="CA77" s="229">
        <v>-0.14530000000000001</v>
      </c>
      <c r="CB77" s="230">
        <v>1812500</v>
      </c>
      <c r="CC77" s="230">
        <v>3814500</v>
      </c>
      <c r="CD77" s="230">
        <v>-2002000</v>
      </c>
      <c r="CE77" s="229">
        <v>-0.52480000000000004</v>
      </c>
      <c r="CF77" s="230">
        <v>9474500</v>
      </c>
      <c r="CG77" s="230">
        <v>7353000</v>
      </c>
      <c r="CH77" s="230">
        <v>2121500</v>
      </c>
      <c r="CI77" s="229">
        <v>0.28849999999999998</v>
      </c>
      <c r="CJ77" s="230">
        <v>176500</v>
      </c>
      <c r="CK77" s="230">
        <v>124000</v>
      </c>
      <c r="CL77" s="230">
        <v>52500</v>
      </c>
      <c r="CM77" s="229">
        <v>0.4234</v>
      </c>
      <c r="CN77" s="230">
        <v>1219500</v>
      </c>
      <c r="CO77" s="230">
        <v>4176000</v>
      </c>
      <c r="CP77" s="230">
        <v>-2956500</v>
      </c>
      <c r="CQ77" s="229">
        <v>-0.70799999999999996</v>
      </c>
      <c r="CR77" s="230">
        <v>905000</v>
      </c>
      <c r="CS77" s="230">
        <v>1950000</v>
      </c>
      <c r="CT77" s="230">
        <v>-1045000</v>
      </c>
      <c r="CU77" s="229">
        <v>-0.53590000000000004</v>
      </c>
      <c r="CV77" s="230">
        <v>11775500</v>
      </c>
      <c r="CW77" s="230">
        <v>17417500</v>
      </c>
      <c r="CX77" s="230">
        <v>-5642000</v>
      </c>
      <c r="CY77" s="229">
        <v>-0.32390000000000002</v>
      </c>
      <c r="CZ77" s="228">
        <v>24.64</v>
      </c>
      <c r="DA77" s="228">
        <v>26.23</v>
      </c>
      <c r="DB77" s="228">
        <v>-1.59</v>
      </c>
      <c r="DC77" s="228">
        <v>-1.59</v>
      </c>
      <c r="DD77" s="228">
        <v>30.69</v>
      </c>
      <c r="DE77" s="228">
        <v>30.77</v>
      </c>
      <c r="DF77" s="228">
        <v>-6.05</v>
      </c>
      <c r="DG77" s="228">
        <v>-0.08</v>
      </c>
      <c r="DH77" s="228">
        <v>24.88</v>
      </c>
      <c r="DI77" s="228">
        <v>26.63</v>
      </c>
      <c r="DJ77" s="228">
        <v>-1.75</v>
      </c>
      <c r="DK77" s="228">
        <v>-1.75</v>
      </c>
      <c r="DL77" s="228">
        <v>24.28</v>
      </c>
      <c r="DM77" s="228">
        <v>25.7</v>
      </c>
      <c r="DN77" s="228">
        <v>-1.42</v>
      </c>
      <c r="DO77" s="228">
        <v>-1.42</v>
      </c>
      <c r="DP77" s="228">
        <v>0.74</v>
      </c>
      <c r="DQ77" s="228">
        <v>0.47</v>
      </c>
      <c r="DR77" s="228">
        <v>0.27</v>
      </c>
      <c r="DS77" s="229">
        <v>0.57450000000000001</v>
      </c>
      <c r="DT77" s="231">
        <v>1400</v>
      </c>
      <c r="DU77" s="231">
        <v>1200</v>
      </c>
      <c r="DV77" s="228">
        <v>1.37</v>
      </c>
      <c r="DW77" s="228">
        <v>0.38</v>
      </c>
      <c r="DX77" s="228">
        <v>0.99</v>
      </c>
      <c r="DY77" s="229">
        <v>2.6053000000000002</v>
      </c>
      <c r="DZ77" s="229">
        <v>0.84189999999999998</v>
      </c>
      <c r="EA77" s="230">
        <v>7477000</v>
      </c>
      <c r="EB77" s="229">
        <v>6.7000000000000002E-3</v>
      </c>
      <c r="EC77" s="229">
        <v>0.84189999999999998</v>
      </c>
      <c r="ED77" s="228">
        <v>7.56</v>
      </c>
      <c r="EE77" s="229">
        <v>6.3E-3</v>
      </c>
      <c r="EF77" s="230">
        <v>307334</v>
      </c>
      <c r="EG77" s="230">
        <v>229638</v>
      </c>
      <c r="EH77" s="229">
        <v>0.33829999999999999</v>
      </c>
      <c r="EI77" s="229">
        <v>0.61099999999999999</v>
      </c>
      <c r="EJ77" s="231">
        <v>29385.47</v>
      </c>
      <c r="EK77" s="231">
        <v>38157.65</v>
      </c>
      <c r="EL77" s="231">
        <v>64398.9</v>
      </c>
      <c r="EM77" s="231">
        <v>7873</v>
      </c>
      <c r="EN77" s="231">
        <v>131942.01999999999</v>
      </c>
      <c r="EO77" s="231">
        <v>101203.7</v>
      </c>
      <c r="EP77" s="231">
        <v>30738.32</v>
      </c>
      <c r="EQ77" s="229">
        <v>0.30370000000000003</v>
      </c>
      <c r="ER77" s="231">
        <v>15429</v>
      </c>
      <c r="ES77" s="231">
        <v>10932</v>
      </c>
      <c r="ET77" s="231">
        <v>116886</v>
      </c>
      <c r="EU77" s="231">
        <v>29751886</v>
      </c>
      <c r="EV77" s="231">
        <v>143248</v>
      </c>
      <c r="EW77" s="231">
        <v>215455</v>
      </c>
      <c r="EX77" s="231">
        <v>-72207</v>
      </c>
      <c r="EY77" s="229">
        <v>-0.33510000000000001</v>
      </c>
      <c r="EZ77" s="229">
        <v>0.39579999999999999</v>
      </c>
      <c r="FA77" s="227" t="s">
        <v>567</v>
      </c>
      <c r="FB77" s="161">
        <f t="shared" si="1"/>
        <v>7838500</v>
      </c>
    </row>
    <row r="78" spans="1:158" ht="17.25" thickBot="1" x14ac:dyDescent="0.3">
      <c r="A78" s="226">
        <v>46168</v>
      </c>
      <c r="B78" s="227" t="s">
        <v>221</v>
      </c>
      <c r="C78" s="227" t="s">
        <v>222</v>
      </c>
      <c r="D78" s="228">
        <v>350</v>
      </c>
      <c r="E78" s="231">
        <v>1161.3</v>
      </c>
      <c r="F78" s="231">
        <v>1154.3</v>
      </c>
      <c r="G78" s="228">
        <v>7</v>
      </c>
      <c r="H78" s="229">
        <v>6.1000000000000004E-3</v>
      </c>
      <c r="I78" s="231">
        <v>1161.9000000000001</v>
      </c>
      <c r="J78" s="231">
        <v>1165.7</v>
      </c>
      <c r="K78" s="228">
        <v>-3.8</v>
      </c>
      <c r="L78" s="229">
        <v>-3.3E-3</v>
      </c>
      <c r="M78" s="231">
        <v>1161.9000000000001</v>
      </c>
      <c r="N78" s="231">
        <v>1169</v>
      </c>
      <c r="O78" s="228">
        <v>-7.1</v>
      </c>
      <c r="P78" s="229">
        <v>-6.1000000000000004E-3</v>
      </c>
      <c r="Q78" s="231">
        <v>1161.3</v>
      </c>
      <c r="R78" s="231">
        <v>1154.3</v>
      </c>
      <c r="S78" s="228">
        <v>7</v>
      </c>
      <c r="T78" s="229">
        <v>6.1000000000000004E-3</v>
      </c>
      <c r="U78" s="231">
        <v>1150.5</v>
      </c>
      <c r="V78" s="231">
        <v>1142.0999999999999</v>
      </c>
      <c r="W78" s="228">
        <v>8.4</v>
      </c>
      <c r="X78" s="229">
        <v>7.4000000000000003E-3</v>
      </c>
      <c r="Y78" s="228">
        <v>-0.6</v>
      </c>
      <c r="Z78" s="228">
        <v>3.3</v>
      </c>
      <c r="AA78" s="228">
        <v>-3.9</v>
      </c>
      <c r="AB78" s="229">
        <v>-5.0000000000000001E-4</v>
      </c>
      <c r="AC78" s="228">
        <v>0</v>
      </c>
      <c r="AD78" s="228">
        <v>3.3</v>
      </c>
      <c r="AE78" s="228">
        <v>-3.3</v>
      </c>
      <c r="AF78" s="229">
        <v>0</v>
      </c>
      <c r="AG78" s="228">
        <v>-0.6</v>
      </c>
      <c r="AH78" s="228">
        <v>-11.4</v>
      </c>
      <c r="AI78" s="228">
        <v>10.8</v>
      </c>
      <c r="AJ78" s="229">
        <v>-5.0000000000000001E-4</v>
      </c>
      <c r="AK78" s="228">
        <v>-11.4</v>
      </c>
      <c r="AL78" s="228">
        <v>-23.6</v>
      </c>
      <c r="AM78" s="228">
        <v>12.2</v>
      </c>
      <c r="AN78" s="229">
        <v>-9.7999999999999997E-3</v>
      </c>
      <c r="AO78" s="231">
        <v>1167.75</v>
      </c>
      <c r="AP78" s="231">
        <v>1162.4100000000001</v>
      </c>
      <c r="AQ78" s="228">
        <v>0</v>
      </c>
      <c r="AR78" s="230">
        <v>9685900</v>
      </c>
      <c r="AS78" s="230">
        <v>31479000</v>
      </c>
      <c r="AT78" s="230">
        <v>-21793100</v>
      </c>
      <c r="AU78" s="229">
        <v>-0.69230000000000003</v>
      </c>
      <c r="AV78" s="230">
        <v>3968300</v>
      </c>
      <c r="AW78" s="230">
        <v>15118950</v>
      </c>
      <c r="AX78" s="230">
        <v>-11150650</v>
      </c>
      <c r="AY78" s="229">
        <v>-0.73750000000000004</v>
      </c>
      <c r="AZ78" s="230">
        <v>5428150</v>
      </c>
      <c r="BA78" s="230">
        <v>16028250</v>
      </c>
      <c r="BB78" s="230">
        <v>-10600100</v>
      </c>
      <c r="BC78" s="229">
        <v>-0.6613</v>
      </c>
      <c r="BD78" s="230">
        <v>289450</v>
      </c>
      <c r="BE78" s="230">
        <v>331800</v>
      </c>
      <c r="BF78" s="230">
        <v>-42350</v>
      </c>
      <c r="BG78" s="229">
        <v>-0.12759999999999999</v>
      </c>
      <c r="BH78" s="230">
        <v>11423300</v>
      </c>
      <c r="BI78" s="230">
        <v>16921800</v>
      </c>
      <c r="BJ78" s="230">
        <v>-5498500</v>
      </c>
      <c r="BK78" s="229">
        <v>-0.32490000000000002</v>
      </c>
      <c r="BL78" s="230">
        <v>5402950</v>
      </c>
      <c r="BM78" s="230">
        <v>8849750</v>
      </c>
      <c r="BN78" s="230">
        <v>-3446800</v>
      </c>
      <c r="BO78" s="229">
        <v>-0.38950000000000001</v>
      </c>
      <c r="BP78" s="230">
        <v>26512150</v>
      </c>
      <c r="BQ78" s="230">
        <v>57250550</v>
      </c>
      <c r="BR78" s="230">
        <v>-30738400</v>
      </c>
      <c r="BS78" s="229">
        <v>-0.53690000000000004</v>
      </c>
      <c r="BT78" s="230">
        <v>1316166</v>
      </c>
      <c r="BU78" s="230">
        <v>1481646</v>
      </c>
      <c r="BV78" s="230">
        <v>-165480</v>
      </c>
      <c r="BW78" s="229">
        <v>-0.11169999999999999</v>
      </c>
      <c r="BX78" s="230">
        <v>39810600</v>
      </c>
      <c r="BY78" s="230">
        <v>43314350</v>
      </c>
      <c r="BZ78" s="230">
        <v>-3503750</v>
      </c>
      <c r="CA78" s="229">
        <v>-8.09E-2</v>
      </c>
      <c r="CB78" s="230">
        <v>2802450</v>
      </c>
      <c r="CC78" s="230">
        <v>4888450</v>
      </c>
      <c r="CD78" s="230">
        <v>-2086000</v>
      </c>
      <c r="CE78" s="229">
        <v>-0.42670000000000002</v>
      </c>
      <c r="CF78" s="230">
        <v>38795400</v>
      </c>
      <c r="CG78" s="230">
        <v>37582300</v>
      </c>
      <c r="CH78" s="230">
        <v>1213100</v>
      </c>
      <c r="CI78" s="229">
        <v>3.2300000000000002E-2</v>
      </c>
      <c r="CJ78" s="230">
        <v>1015200</v>
      </c>
      <c r="CK78" s="230">
        <v>843600</v>
      </c>
      <c r="CL78" s="230">
        <v>171600</v>
      </c>
      <c r="CM78" s="229">
        <v>0.2034</v>
      </c>
      <c r="CN78" s="230">
        <v>4354750</v>
      </c>
      <c r="CO78" s="230">
        <v>24352800</v>
      </c>
      <c r="CP78" s="230">
        <v>-19998050</v>
      </c>
      <c r="CQ78" s="229">
        <v>-0.82120000000000004</v>
      </c>
      <c r="CR78" s="230">
        <v>3264050</v>
      </c>
      <c r="CS78" s="230">
        <v>10371900</v>
      </c>
      <c r="CT78" s="230">
        <v>-7107850</v>
      </c>
      <c r="CU78" s="229">
        <v>-0.68530000000000002</v>
      </c>
      <c r="CV78" s="230">
        <v>47429400</v>
      </c>
      <c r="CW78" s="230">
        <v>78039050</v>
      </c>
      <c r="CX78" s="230">
        <v>-30609650</v>
      </c>
      <c r="CY78" s="229">
        <v>-0.39219999999999999</v>
      </c>
      <c r="CZ78" s="228">
        <v>25.73</v>
      </c>
      <c r="DA78" s="228">
        <v>27.26</v>
      </c>
      <c r="DB78" s="228">
        <v>-1.53</v>
      </c>
      <c r="DC78" s="228">
        <v>-1.53</v>
      </c>
      <c r="DD78" s="228">
        <v>32.840000000000003</v>
      </c>
      <c r="DE78" s="228">
        <v>32.92</v>
      </c>
      <c r="DF78" s="228">
        <v>-7.11</v>
      </c>
      <c r="DG78" s="228">
        <v>-0.08</v>
      </c>
      <c r="DH78" s="228">
        <v>25.94</v>
      </c>
      <c r="DI78" s="228">
        <v>27.59</v>
      </c>
      <c r="DJ78" s="228">
        <v>-1.65</v>
      </c>
      <c r="DK78" s="228">
        <v>-1.65</v>
      </c>
      <c r="DL78" s="228">
        <v>25.4</v>
      </c>
      <c r="DM78" s="228">
        <v>26.72</v>
      </c>
      <c r="DN78" s="228">
        <v>-1.32</v>
      </c>
      <c r="DO78" s="228">
        <v>-1.32</v>
      </c>
      <c r="DP78" s="228">
        <v>0.75</v>
      </c>
      <c r="DQ78" s="228">
        <v>0.43</v>
      </c>
      <c r="DR78" s="228">
        <v>0.32</v>
      </c>
      <c r="DS78" s="229">
        <v>0.74419999999999997</v>
      </c>
      <c r="DT78" s="231">
        <v>1290</v>
      </c>
      <c r="DU78" s="231">
        <v>1200</v>
      </c>
      <c r="DV78" s="228">
        <v>0.47</v>
      </c>
      <c r="DW78" s="228">
        <v>0.52</v>
      </c>
      <c r="DX78" s="228">
        <v>-0.05</v>
      </c>
      <c r="DY78" s="229">
        <v>-9.6199999999999994E-2</v>
      </c>
      <c r="DZ78" s="229">
        <v>0.93420000000000003</v>
      </c>
      <c r="EA78" s="230">
        <v>38425900</v>
      </c>
      <c r="EB78" s="229">
        <v>-5.0000000000000001E-4</v>
      </c>
      <c r="EC78" s="229">
        <v>0.93420000000000003</v>
      </c>
      <c r="ED78" s="228">
        <v>-5.34</v>
      </c>
      <c r="EE78" s="229">
        <v>-4.5999999999999999E-3</v>
      </c>
      <c r="EF78" s="230">
        <v>565909</v>
      </c>
      <c r="EG78" s="230">
        <v>608154</v>
      </c>
      <c r="EH78" s="229">
        <v>-6.9500000000000006E-2</v>
      </c>
      <c r="EI78" s="229">
        <v>0.43</v>
      </c>
      <c r="EJ78" s="231">
        <v>141164.91</v>
      </c>
      <c r="EK78" s="231">
        <v>64643.8</v>
      </c>
      <c r="EL78" s="231">
        <v>113245.05</v>
      </c>
      <c r="EM78" s="231">
        <v>58575</v>
      </c>
      <c r="EN78" s="231">
        <v>319053.76</v>
      </c>
      <c r="EO78" s="231">
        <v>679618.97</v>
      </c>
      <c r="EP78" s="231">
        <v>-360565.21</v>
      </c>
      <c r="EQ78" s="229">
        <v>-0.53049999999999997</v>
      </c>
      <c r="ER78" s="231">
        <v>53151</v>
      </c>
      <c r="ES78" s="231">
        <v>37922</v>
      </c>
      <c r="ET78" s="231">
        <v>462211</v>
      </c>
      <c r="EU78" s="231">
        <v>145140505</v>
      </c>
      <c r="EV78" s="231">
        <v>553284</v>
      </c>
      <c r="EW78" s="231">
        <v>930526</v>
      </c>
      <c r="EX78" s="231">
        <v>-377242</v>
      </c>
      <c r="EY78" s="229">
        <v>-0.40539999999999998</v>
      </c>
      <c r="EZ78" s="229">
        <v>0.32679999999999998</v>
      </c>
      <c r="FA78" s="227" t="s">
        <v>691</v>
      </c>
      <c r="FB78" s="161">
        <f t="shared" si="1"/>
        <v>37008150</v>
      </c>
    </row>
    <row r="79" spans="1:158" ht="17.25" thickBot="1" x14ac:dyDescent="0.3">
      <c r="A79" s="226">
        <v>46168</v>
      </c>
      <c r="B79" s="227" t="s">
        <v>175</v>
      </c>
      <c r="C79" s="227" t="s">
        <v>475</v>
      </c>
      <c r="D79" s="228">
        <v>300</v>
      </c>
      <c r="E79" s="231">
        <v>2755.1</v>
      </c>
      <c r="F79" s="231">
        <v>2780.7</v>
      </c>
      <c r="G79" s="228">
        <v>-25.6</v>
      </c>
      <c r="H79" s="229">
        <v>-9.1999999999999998E-3</v>
      </c>
      <c r="I79" s="231">
        <v>2739.8</v>
      </c>
      <c r="J79" s="231">
        <v>2758.1</v>
      </c>
      <c r="K79" s="228">
        <v>-18.3</v>
      </c>
      <c r="L79" s="229">
        <v>-6.6E-3</v>
      </c>
      <c r="M79" s="231">
        <v>2739.6</v>
      </c>
      <c r="N79" s="231">
        <v>2763.2</v>
      </c>
      <c r="O79" s="228">
        <v>-23.6</v>
      </c>
      <c r="P79" s="229">
        <v>-8.5000000000000006E-3</v>
      </c>
      <c r="Q79" s="231">
        <v>2755.1</v>
      </c>
      <c r="R79" s="231">
        <v>2780.7</v>
      </c>
      <c r="S79" s="228">
        <v>-25.6</v>
      </c>
      <c r="T79" s="229">
        <v>-9.1999999999999998E-3</v>
      </c>
      <c r="U79" s="231">
        <v>2772.1</v>
      </c>
      <c r="V79" s="231">
        <v>2793.4</v>
      </c>
      <c r="W79" s="228">
        <v>-21.3</v>
      </c>
      <c r="X79" s="229">
        <v>-7.6E-3</v>
      </c>
      <c r="Y79" s="228">
        <v>15.3</v>
      </c>
      <c r="Z79" s="228">
        <v>5.0999999999999996</v>
      </c>
      <c r="AA79" s="228">
        <v>10.199999999999999</v>
      </c>
      <c r="AB79" s="229">
        <v>5.5999999999999999E-3</v>
      </c>
      <c r="AC79" s="228">
        <v>-0.2</v>
      </c>
      <c r="AD79" s="228">
        <v>5.0999999999999996</v>
      </c>
      <c r="AE79" s="228">
        <v>-5.3</v>
      </c>
      <c r="AF79" s="229">
        <v>-1E-4</v>
      </c>
      <c r="AG79" s="228">
        <v>15.3</v>
      </c>
      <c r="AH79" s="228">
        <v>22.6</v>
      </c>
      <c r="AI79" s="228">
        <v>-7.3</v>
      </c>
      <c r="AJ79" s="229">
        <v>5.5999999999999999E-3</v>
      </c>
      <c r="AK79" s="228">
        <v>32.299999999999997</v>
      </c>
      <c r="AL79" s="228">
        <v>35.299999999999997</v>
      </c>
      <c r="AM79" s="228">
        <v>-3</v>
      </c>
      <c r="AN79" s="229">
        <v>1.18E-2</v>
      </c>
      <c r="AO79" s="231">
        <v>2742.11</v>
      </c>
      <c r="AP79" s="231">
        <v>2756.38</v>
      </c>
      <c r="AQ79" s="228">
        <v>0</v>
      </c>
      <c r="AR79" s="230">
        <v>1355700</v>
      </c>
      <c r="AS79" s="230">
        <v>3737100</v>
      </c>
      <c r="AT79" s="230">
        <v>-2381400</v>
      </c>
      <c r="AU79" s="229">
        <v>-0.63719999999999999</v>
      </c>
      <c r="AV79" s="230">
        <v>509400</v>
      </c>
      <c r="AW79" s="230">
        <v>1729200</v>
      </c>
      <c r="AX79" s="230">
        <v>-1219800</v>
      </c>
      <c r="AY79" s="229">
        <v>-0.70540000000000003</v>
      </c>
      <c r="AZ79" s="230">
        <v>832200</v>
      </c>
      <c r="BA79" s="230">
        <v>1998900</v>
      </c>
      <c r="BB79" s="230">
        <v>-1166700</v>
      </c>
      <c r="BC79" s="229">
        <v>-0.5837</v>
      </c>
      <c r="BD79" s="230">
        <v>14100</v>
      </c>
      <c r="BE79" s="230">
        <v>9000</v>
      </c>
      <c r="BF79" s="230">
        <v>5100</v>
      </c>
      <c r="BG79" s="229">
        <v>0.56669999999999998</v>
      </c>
      <c r="BH79" s="230">
        <v>1575900</v>
      </c>
      <c r="BI79" s="230">
        <v>5794800</v>
      </c>
      <c r="BJ79" s="230">
        <v>-4218900</v>
      </c>
      <c r="BK79" s="229">
        <v>-0.72799999999999998</v>
      </c>
      <c r="BL79" s="230">
        <v>861900</v>
      </c>
      <c r="BM79" s="230">
        <v>938700</v>
      </c>
      <c r="BN79" s="230">
        <v>-76800</v>
      </c>
      <c r="BO79" s="229">
        <v>-8.1799999999999998E-2</v>
      </c>
      <c r="BP79" s="230">
        <v>3793500</v>
      </c>
      <c r="BQ79" s="230">
        <v>10470600</v>
      </c>
      <c r="BR79" s="230">
        <v>-6677100</v>
      </c>
      <c r="BS79" s="229">
        <v>-0.63770000000000004</v>
      </c>
      <c r="BT79" s="230">
        <v>744434</v>
      </c>
      <c r="BU79" s="230">
        <v>801017</v>
      </c>
      <c r="BV79" s="230">
        <v>-56583</v>
      </c>
      <c r="BW79" s="229">
        <v>-7.0599999999999996E-2</v>
      </c>
      <c r="BX79" s="230">
        <v>6684600</v>
      </c>
      <c r="BY79" s="230">
        <v>7458600</v>
      </c>
      <c r="BZ79" s="230">
        <v>-774000</v>
      </c>
      <c r="CA79" s="229">
        <v>-0.1038</v>
      </c>
      <c r="CB79" s="230">
        <v>678900</v>
      </c>
      <c r="CC79" s="230">
        <v>885000</v>
      </c>
      <c r="CD79" s="230">
        <v>-206100</v>
      </c>
      <c r="CE79" s="229">
        <v>-0.2329</v>
      </c>
      <c r="CF79" s="230">
        <v>6666600</v>
      </c>
      <c r="CG79" s="230">
        <v>6560100</v>
      </c>
      <c r="CH79" s="230">
        <v>106500</v>
      </c>
      <c r="CI79" s="229">
        <v>1.6199999999999999E-2</v>
      </c>
      <c r="CJ79" s="230">
        <v>18000</v>
      </c>
      <c r="CK79" s="230">
        <v>13500</v>
      </c>
      <c r="CL79" s="230">
        <v>4500</v>
      </c>
      <c r="CM79" s="229">
        <v>0.33329999999999999</v>
      </c>
      <c r="CN79" s="230">
        <v>491100</v>
      </c>
      <c r="CO79" s="230">
        <v>1484100</v>
      </c>
      <c r="CP79" s="230">
        <v>-993000</v>
      </c>
      <c r="CQ79" s="229">
        <v>-0.66910000000000003</v>
      </c>
      <c r="CR79" s="230">
        <v>318900</v>
      </c>
      <c r="CS79" s="230">
        <v>996000</v>
      </c>
      <c r="CT79" s="230">
        <v>-677100</v>
      </c>
      <c r="CU79" s="229">
        <v>-0.67979999999999996</v>
      </c>
      <c r="CV79" s="230">
        <v>7494600</v>
      </c>
      <c r="CW79" s="230">
        <v>9938700</v>
      </c>
      <c r="CX79" s="230">
        <v>-2444100</v>
      </c>
      <c r="CY79" s="229">
        <v>-0.24590000000000001</v>
      </c>
      <c r="CZ79" s="228">
        <v>28.81</v>
      </c>
      <c r="DA79" s="228">
        <v>29.21</v>
      </c>
      <c r="DB79" s="228">
        <v>-0.4</v>
      </c>
      <c r="DC79" s="228">
        <v>-0.4</v>
      </c>
      <c r="DD79" s="228">
        <v>38.630000000000003</v>
      </c>
      <c r="DE79" s="228">
        <v>38.71</v>
      </c>
      <c r="DF79" s="228">
        <v>-9.82</v>
      </c>
      <c r="DG79" s="228">
        <v>-0.08</v>
      </c>
      <c r="DH79" s="228">
        <v>28.76</v>
      </c>
      <c r="DI79" s="228">
        <v>29.08</v>
      </c>
      <c r="DJ79" s="228">
        <v>-0.32</v>
      </c>
      <c r="DK79" s="228">
        <v>-0.32</v>
      </c>
      <c r="DL79" s="228">
        <v>28.86</v>
      </c>
      <c r="DM79" s="228">
        <v>29.47</v>
      </c>
      <c r="DN79" s="228">
        <v>-0.61</v>
      </c>
      <c r="DO79" s="228">
        <v>-0.61</v>
      </c>
      <c r="DP79" s="228">
        <v>0.65</v>
      </c>
      <c r="DQ79" s="228">
        <v>0.67</v>
      </c>
      <c r="DR79" s="228">
        <v>-0.02</v>
      </c>
      <c r="DS79" s="229">
        <v>-2.9899999999999999E-2</v>
      </c>
      <c r="DT79" s="231">
        <v>2800</v>
      </c>
      <c r="DU79" s="231">
        <v>2640</v>
      </c>
      <c r="DV79" s="228">
        <v>0.55000000000000004</v>
      </c>
      <c r="DW79" s="228">
        <v>0.16</v>
      </c>
      <c r="DX79" s="228">
        <v>0.39</v>
      </c>
      <c r="DY79" s="229">
        <v>2.4375</v>
      </c>
      <c r="DZ79" s="229">
        <v>0.90780000000000005</v>
      </c>
      <c r="EA79" s="230">
        <v>6573600</v>
      </c>
      <c r="EB79" s="229">
        <v>5.7000000000000002E-3</v>
      </c>
      <c r="EC79" s="229">
        <v>0.90780000000000005</v>
      </c>
      <c r="ED79" s="228">
        <v>14.27</v>
      </c>
      <c r="EE79" s="229">
        <v>5.1999999999999998E-3</v>
      </c>
      <c r="EF79" s="230">
        <v>438932</v>
      </c>
      <c r="EG79" s="230">
        <v>452397</v>
      </c>
      <c r="EH79" s="229">
        <v>-2.98E-2</v>
      </c>
      <c r="EI79" s="229">
        <v>0.58960000000000001</v>
      </c>
      <c r="EJ79" s="231">
        <v>44468.68</v>
      </c>
      <c r="EK79" s="231">
        <v>23400.15</v>
      </c>
      <c r="EL79" s="231">
        <v>37297.129999999997</v>
      </c>
      <c r="EM79" s="231">
        <v>10686</v>
      </c>
      <c r="EN79" s="231">
        <v>105165.96</v>
      </c>
      <c r="EO79" s="231">
        <v>296010.84999999998</v>
      </c>
      <c r="EP79" s="231">
        <v>-190844.89</v>
      </c>
      <c r="EQ79" s="229">
        <v>-0.64470000000000005</v>
      </c>
      <c r="ER79" s="231">
        <v>14131</v>
      </c>
      <c r="ES79" s="231">
        <v>8461</v>
      </c>
      <c r="ET79" s="231">
        <v>184170</v>
      </c>
      <c r="EU79" s="231">
        <v>30592324</v>
      </c>
      <c r="EV79" s="231">
        <v>206763</v>
      </c>
      <c r="EW79" s="231">
        <v>276187</v>
      </c>
      <c r="EX79" s="231">
        <v>-69424</v>
      </c>
      <c r="EY79" s="229">
        <v>-0.25140000000000001</v>
      </c>
      <c r="EZ79" s="229">
        <v>0.245</v>
      </c>
      <c r="FA79" s="227" t="s">
        <v>567</v>
      </c>
      <c r="FB79" s="161">
        <f t="shared" si="1"/>
        <v>6005700</v>
      </c>
    </row>
    <row r="80" spans="1:158" ht="17.25" thickBot="1" x14ac:dyDescent="0.3">
      <c r="A80" s="226">
        <v>46168</v>
      </c>
      <c r="B80" s="227" t="s">
        <v>172</v>
      </c>
      <c r="C80" s="227" t="s">
        <v>224</v>
      </c>
      <c r="D80" s="228">
        <v>550</v>
      </c>
      <c r="E80" s="228">
        <v>771.85</v>
      </c>
      <c r="F80" s="228">
        <v>779.45</v>
      </c>
      <c r="G80" s="228">
        <v>-7.6</v>
      </c>
      <c r="H80" s="229">
        <v>-9.7999999999999997E-3</v>
      </c>
      <c r="I80" s="228">
        <v>778.9</v>
      </c>
      <c r="J80" s="228">
        <v>786.85</v>
      </c>
      <c r="K80" s="228">
        <v>-7.95</v>
      </c>
      <c r="L80" s="229">
        <v>-1.01E-2</v>
      </c>
      <c r="M80" s="228">
        <v>780</v>
      </c>
      <c r="N80" s="228">
        <v>787.55</v>
      </c>
      <c r="O80" s="228">
        <v>-7.55</v>
      </c>
      <c r="P80" s="229">
        <v>-9.5999999999999992E-3</v>
      </c>
      <c r="Q80" s="228">
        <v>771.85</v>
      </c>
      <c r="R80" s="228">
        <v>779.45</v>
      </c>
      <c r="S80" s="228">
        <v>-7.6</v>
      </c>
      <c r="T80" s="229">
        <v>-9.7999999999999997E-3</v>
      </c>
      <c r="U80" s="228">
        <v>776.5</v>
      </c>
      <c r="V80" s="228">
        <v>784.45</v>
      </c>
      <c r="W80" s="228">
        <v>-7.95</v>
      </c>
      <c r="X80" s="229">
        <v>-1.01E-2</v>
      </c>
      <c r="Y80" s="228">
        <v>-7.05</v>
      </c>
      <c r="Z80" s="228">
        <v>0.7</v>
      </c>
      <c r="AA80" s="228">
        <v>-7.75</v>
      </c>
      <c r="AB80" s="229">
        <v>-9.1000000000000004E-3</v>
      </c>
      <c r="AC80" s="228">
        <v>1.1000000000000001</v>
      </c>
      <c r="AD80" s="228">
        <v>0.7</v>
      </c>
      <c r="AE80" s="228">
        <v>0.4</v>
      </c>
      <c r="AF80" s="229">
        <v>1.4E-3</v>
      </c>
      <c r="AG80" s="228">
        <v>-7.05</v>
      </c>
      <c r="AH80" s="228">
        <v>-7.4</v>
      </c>
      <c r="AI80" s="228">
        <v>0.35</v>
      </c>
      <c r="AJ80" s="229">
        <v>-9.1000000000000004E-3</v>
      </c>
      <c r="AK80" s="228">
        <v>-2.4</v>
      </c>
      <c r="AL80" s="228">
        <v>-2.4</v>
      </c>
      <c r="AM80" s="228">
        <v>0</v>
      </c>
      <c r="AN80" s="229">
        <v>-3.0999999999999999E-3</v>
      </c>
      <c r="AO80" s="228">
        <v>784.91</v>
      </c>
      <c r="AP80" s="228">
        <v>776.77</v>
      </c>
      <c r="AQ80" s="228">
        <v>0</v>
      </c>
      <c r="AR80" s="230">
        <v>54212400</v>
      </c>
      <c r="AS80" s="230">
        <v>113625050</v>
      </c>
      <c r="AT80" s="230">
        <v>-59412650</v>
      </c>
      <c r="AU80" s="229">
        <v>-0.52290000000000003</v>
      </c>
      <c r="AV80" s="230">
        <v>20267500</v>
      </c>
      <c r="AW80" s="230">
        <v>53990200</v>
      </c>
      <c r="AX80" s="230">
        <v>-33722700</v>
      </c>
      <c r="AY80" s="229">
        <v>-0.62460000000000004</v>
      </c>
      <c r="AZ80" s="230">
        <v>32780550</v>
      </c>
      <c r="BA80" s="230">
        <v>58192200</v>
      </c>
      <c r="BB80" s="230">
        <v>-25411650</v>
      </c>
      <c r="BC80" s="229">
        <v>-0.43669999999999998</v>
      </c>
      <c r="BD80" s="230">
        <v>1164350</v>
      </c>
      <c r="BE80" s="230">
        <v>1442650</v>
      </c>
      <c r="BF80" s="230">
        <v>-278300</v>
      </c>
      <c r="BG80" s="229">
        <v>-0.19289999999999999</v>
      </c>
      <c r="BH80" s="230">
        <v>84516300</v>
      </c>
      <c r="BI80" s="230">
        <v>140857200</v>
      </c>
      <c r="BJ80" s="230">
        <v>-56340900</v>
      </c>
      <c r="BK80" s="229">
        <v>-0.4</v>
      </c>
      <c r="BL80" s="230">
        <v>46625700</v>
      </c>
      <c r="BM80" s="230">
        <v>78608750</v>
      </c>
      <c r="BN80" s="230">
        <v>-31983050</v>
      </c>
      <c r="BO80" s="229">
        <v>-0.40689999999999998</v>
      </c>
      <c r="BP80" s="230">
        <v>185354400</v>
      </c>
      <c r="BQ80" s="230">
        <v>333091000</v>
      </c>
      <c r="BR80" s="230">
        <v>-147736600</v>
      </c>
      <c r="BS80" s="229">
        <v>-0.44350000000000001</v>
      </c>
      <c r="BT80" s="230">
        <v>32460126</v>
      </c>
      <c r="BU80" s="230">
        <v>27008144</v>
      </c>
      <c r="BV80" s="230">
        <v>5451982</v>
      </c>
      <c r="BW80" s="229">
        <v>0.2019</v>
      </c>
      <c r="BX80" s="230">
        <v>353434050</v>
      </c>
      <c r="BY80" s="230">
        <v>364960350</v>
      </c>
      <c r="BZ80" s="230">
        <v>-11526300</v>
      </c>
      <c r="CA80" s="229">
        <v>-3.1600000000000003E-2</v>
      </c>
      <c r="CB80" s="230">
        <v>6763350</v>
      </c>
      <c r="CC80" s="230">
        <v>22565400</v>
      </c>
      <c r="CD80" s="230">
        <v>-15802050</v>
      </c>
      <c r="CE80" s="229">
        <v>-0.70030000000000003</v>
      </c>
      <c r="CF80" s="230">
        <v>320835900</v>
      </c>
      <c r="CG80" s="230">
        <v>310565750</v>
      </c>
      <c r="CH80" s="230">
        <v>10270150</v>
      </c>
      <c r="CI80" s="229">
        <v>3.3099999999999997E-2</v>
      </c>
      <c r="CJ80" s="230">
        <v>32598150</v>
      </c>
      <c r="CK80" s="230">
        <v>31829200</v>
      </c>
      <c r="CL80" s="230">
        <v>768950</v>
      </c>
      <c r="CM80" s="229">
        <v>2.4199999999999999E-2</v>
      </c>
      <c r="CN80" s="230">
        <v>45862000</v>
      </c>
      <c r="CO80" s="230">
        <v>75101800</v>
      </c>
      <c r="CP80" s="230">
        <v>-29239800</v>
      </c>
      <c r="CQ80" s="229">
        <v>-0.38929999999999998</v>
      </c>
      <c r="CR80" s="230">
        <v>28584650</v>
      </c>
      <c r="CS80" s="230">
        <v>50057850</v>
      </c>
      <c r="CT80" s="230">
        <v>-21473200</v>
      </c>
      <c r="CU80" s="229">
        <v>-0.42899999999999999</v>
      </c>
      <c r="CV80" s="230">
        <v>427880700</v>
      </c>
      <c r="CW80" s="230">
        <v>490120000</v>
      </c>
      <c r="CX80" s="230">
        <v>-62239300</v>
      </c>
      <c r="CY80" s="229">
        <v>-0.127</v>
      </c>
      <c r="CZ80" s="228">
        <v>22.03</v>
      </c>
      <c r="DA80" s="228">
        <v>23.59</v>
      </c>
      <c r="DB80" s="228">
        <v>-1.56</v>
      </c>
      <c r="DC80" s="228">
        <v>-1.56</v>
      </c>
      <c r="DD80" s="228">
        <v>25.58</v>
      </c>
      <c r="DE80" s="228">
        <v>25.6</v>
      </c>
      <c r="DF80" s="228">
        <v>-3.55</v>
      </c>
      <c r="DG80" s="228">
        <v>-0.02</v>
      </c>
      <c r="DH80" s="228">
        <v>22.08</v>
      </c>
      <c r="DI80" s="228">
        <v>23.88</v>
      </c>
      <c r="DJ80" s="228">
        <v>-1.8</v>
      </c>
      <c r="DK80" s="228">
        <v>-1.8</v>
      </c>
      <c r="DL80" s="228">
        <v>21.94</v>
      </c>
      <c r="DM80" s="228">
        <v>23.1</v>
      </c>
      <c r="DN80" s="228">
        <v>-1.1599999999999999</v>
      </c>
      <c r="DO80" s="228">
        <v>-1.1599999999999999</v>
      </c>
      <c r="DP80" s="228">
        <v>0.62</v>
      </c>
      <c r="DQ80" s="228">
        <v>0.67</v>
      </c>
      <c r="DR80" s="228">
        <v>-0.05</v>
      </c>
      <c r="DS80" s="229">
        <v>-7.46E-2</v>
      </c>
      <c r="DT80" s="228">
        <v>800</v>
      </c>
      <c r="DU80" s="228">
        <v>760</v>
      </c>
      <c r="DV80" s="228">
        <v>0.55000000000000004</v>
      </c>
      <c r="DW80" s="228">
        <v>0.56000000000000005</v>
      </c>
      <c r="DX80" s="228">
        <v>-0.01</v>
      </c>
      <c r="DY80" s="229">
        <v>-1.7899999999999999E-2</v>
      </c>
      <c r="DZ80" s="229">
        <v>0.98119999999999996</v>
      </c>
      <c r="EA80" s="230">
        <v>342394950</v>
      </c>
      <c r="EB80" s="229">
        <v>-1.04E-2</v>
      </c>
      <c r="EC80" s="229">
        <v>0.98119999999999996</v>
      </c>
      <c r="ED80" s="228">
        <v>-8.14</v>
      </c>
      <c r="EE80" s="229">
        <v>-1.04E-2</v>
      </c>
      <c r="EF80" s="230">
        <v>13439280</v>
      </c>
      <c r="EG80" s="230">
        <v>17754293</v>
      </c>
      <c r="EH80" s="229">
        <v>-0.24299999999999999</v>
      </c>
      <c r="EI80" s="229">
        <v>0.41399999999999998</v>
      </c>
      <c r="EJ80" s="231">
        <v>687024.32</v>
      </c>
      <c r="EK80" s="231">
        <v>366658.11</v>
      </c>
      <c r="EL80" s="231">
        <v>424461.26</v>
      </c>
      <c r="EM80" s="231">
        <v>196582</v>
      </c>
      <c r="EN80" s="231">
        <v>1478143.69</v>
      </c>
      <c r="EO80" s="231">
        <v>2632649.23</v>
      </c>
      <c r="EP80" s="231">
        <v>-1154505.54</v>
      </c>
      <c r="EQ80" s="229">
        <v>-0.4385</v>
      </c>
      <c r="ER80" s="231">
        <v>368950</v>
      </c>
      <c r="ES80" s="231">
        <v>220726</v>
      </c>
      <c r="ET80" s="231">
        <v>2729497</v>
      </c>
      <c r="EU80" s="231">
        <v>1496665645</v>
      </c>
      <c r="EV80" s="231">
        <v>3319173</v>
      </c>
      <c r="EW80" s="231">
        <v>3842044</v>
      </c>
      <c r="EX80" s="231">
        <v>-522871</v>
      </c>
      <c r="EY80" s="229">
        <v>-0.1361</v>
      </c>
      <c r="EZ80" s="229">
        <v>0.28589999999999999</v>
      </c>
      <c r="FA80" s="227" t="s">
        <v>567</v>
      </c>
      <c r="FB80" s="161">
        <f t="shared" si="1"/>
        <v>346670700</v>
      </c>
    </row>
    <row r="81" spans="1:158" ht="17.25" thickBot="1" x14ac:dyDescent="0.3">
      <c r="A81" s="226">
        <v>46168</v>
      </c>
      <c r="B81" s="227" t="s">
        <v>175</v>
      </c>
      <c r="C81" s="227" t="s">
        <v>225</v>
      </c>
      <c r="D81" s="228">
        <v>1100</v>
      </c>
      <c r="E81" s="228">
        <v>620.25</v>
      </c>
      <c r="F81" s="228">
        <v>621.54999999999995</v>
      </c>
      <c r="G81" s="228">
        <v>-1.3</v>
      </c>
      <c r="H81" s="229">
        <v>-2.0999999999999999E-3</v>
      </c>
      <c r="I81" s="228">
        <v>618.85</v>
      </c>
      <c r="J81" s="228">
        <v>620</v>
      </c>
      <c r="K81" s="228">
        <v>-1.1499999999999999</v>
      </c>
      <c r="L81" s="229">
        <v>-1.9E-3</v>
      </c>
      <c r="M81" s="228">
        <v>616.9</v>
      </c>
      <c r="N81" s="228">
        <v>619.25</v>
      </c>
      <c r="O81" s="228">
        <v>-2.35</v>
      </c>
      <c r="P81" s="229">
        <v>-3.8E-3</v>
      </c>
      <c r="Q81" s="228">
        <v>620.25</v>
      </c>
      <c r="R81" s="228">
        <v>621.54999999999995</v>
      </c>
      <c r="S81" s="228">
        <v>-1.3</v>
      </c>
      <c r="T81" s="229">
        <v>-2.0999999999999999E-3</v>
      </c>
      <c r="U81" s="228">
        <v>624.4</v>
      </c>
      <c r="V81" s="228">
        <v>625.15</v>
      </c>
      <c r="W81" s="228">
        <v>-0.75</v>
      </c>
      <c r="X81" s="229">
        <v>-1.1999999999999999E-3</v>
      </c>
      <c r="Y81" s="228">
        <v>1.4</v>
      </c>
      <c r="Z81" s="228">
        <v>-0.75</v>
      </c>
      <c r="AA81" s="228">
        <v>2.15</v>
      </c>
      <c r="AB81" s="229">
        <v>2.3E-3</v>
      </c>
      <c r="AC81" s="228">
        <v>-1.95</v>
      </c>
      <c r="AD81" s="228">
        <v>-0.75</v>
      </c>
      <c r="AE81" s="228">
        <v>-1.2</v>
      </c>
      <c r="AF81" s="229">
        <v>-3.2000000000000002E-3</v>
      </c>
      <c r="AG81" s="228">
        <v>1.4</v>
      </c>
      <c r="AH81" s="228">
        <v>1.55</v>
      </c>
      <c r="AI81" s="228">
        <v>-0.15</v>
      </c>
      <c r="AJ81" s="229">
        <v>2.3E-3</v>
      </c>
      <c r="AK81" s="228">
        <v>5.55</v>
      </c>
      <c r="AL81" s="228">
        <v>5.15</v>
      </c>
      <c r="AM81" s="228">
        <v>0.4</v>
      </c>
      <c r="AN81" s="229">
        <v>8.9999999999999993E-3</v>
      </c>
      <c r="AO81" s="228">
        <v>619.41999999999996</v>
      </c>
      <c r="AP81" s="228">
        <v>621.91999999999996</v>
      </c>
      <c r="AQ81" s="228">
        <v>0</v>
      </c>
      <c r="AR81" s="230">
        <v>11675400</v>
      </c>
      <c r="AS81" s="230">
        <v>21888900</v>
      </c>
      <c r="AT81" s="230">
        <v>-10213500</v>
      </c>
      <c r="AU81" s="229">
        <v>-0.46660000000000001</v>
      </c>
      <c r="AV81" s="230">
        <v>5490100</v>
      </c>
      <c r="AW81" s="230">
        <v>10846000</v>
      </c>
      <c r="AX81" s="230">
        <v>-5355900</v>
      </c>
      <c r="AY81" s="229">
        <v>-0.49380000000000002</v>
      </c>
      <c r="AZ81" s="230">
        <v>6111600</v>
      </c>
      <c r="BA81" s="230">
        <v>10709600</v>
      </c>
      <c r="BB81" s="230">
        <v>-4598000</v>
      </c>
      <c r="BC81" s="229">
        <v>-0.42930000000000001</v>
      </c>
      <c r="BD81" s="230">
        <v>73700</v>
      </c>
      <c r="BE81" s="230">
        <v>333300</v>
      </c>
      <c r="BF81" s="230">
        <v>-259600</v>
      </c>
      <c r="BG81" s="229">
        <v>-0.77890000000000004</v>
      </c>
      <c r="BH81" s="230">
        <v>11985600</v>
      </c>
      <c r="BI81" s="230">
        <v>15486900</v>
      </c>
      <c r="BJ81" s="230">
        <v>-3501300</v>
      </c>
      <c r="BK81" s="229">
        <v>-0.2261</v>
      </c>
      <c r="BL81" s="230">
        <v>6164400</v>
      </c>
      <c r="BM81" s="230">
        <v>9187200</v>
      </c>
      <c r="BN81" s="230">
        <v>-3022800</v>
      </c>
      <c r="BO81" s="229">
        <v>-0.32900000000000001</v>
      </c>
      <c r="BP81" s="230">
        <v>29825400</v>
      </c>
      <c r="BQ81" s="230">
        <v>46563000</v>
      </c>
      <c r="BR81" s="230">
        <v>-16737600</v>
      </c>
      <c r="BS81" s="229">
        <v>-0.35949999999999999</v>
      </c>
      <c r="BT81" s="230">
        <v>2279987</v>
      </c>
      <c r="BU81" s="230">
        <v>1764233</v>
      </c>
      <c r="BV81" s="230">
        <v>515754</v>
      </c>
      <c r="BW81" s="229">
        <v>0.2923</v>
      </c>
      <c r="BX81" s="230">
        <v>52350100</v>
      </c>
      <c r="BY81" s="230">
        <v>57472800</v>
      </c>
      <c r="BZ81" s="230">
        <v>-5122700</v>
      </c>
      <c r="CA81" s="229">
        <v>-8.9099999999999999E-2</v>
      </c>
      <c r="CB81" s="230">
        <v>4588100</v>
      </c>
      <c r="CC81" s="230">
        <v>7852900</v>
      </c>
      <c r="CD81" s="230">
        <v>-3264800</v>
      </c>
      <c r="CE81" s="229">
        <v>-0.41570000000000001</v>
      </c>
      <c r="CF81" s="230">
        <v>49286600</v>
      </c>
      <c r="CG81" s="230">
        <v>46575100</v>
      </c>
      <c r="CH81" s="230">
        <v>2711500</v>
      </c>
      <c r="CI81" s="229">
        <v>5.8200000000000002E-2</v>
      </c>
      <c r="CJ81" s="230">
        <v>3063500</v>
      </c>
      <c r="CK81" s="230">
        <v>3044800</v>
      </c>
      <c r="CL81" s="230">
        <v>18700</v>
      </c>
      <c r="CM81" s="229">
        <v>6.1000000000000004E-3</v>
      </c>
      <c r="CN81" s="230">
        <v>6441600</v>
      </c>
      <c r="CO81" s="230">
        <v>20981400</v>
      </c>
      <c r="CP81" s="230">
        <v>-14539800</v>
      </c>
      <c r="CQ81" s="229">
        <v>-0.69299999999999995</v>
      </c>
      <c r="CR81" s="230">
        <v>4813600</v>
      </c>
      <c r="CS81" s="230">
        <v>14788400</v>
      </c>
      <c r="CT81" s="230">
        <v>-9974800</v>
      </c>
      <c r="CU81" s="229">
        <v>-0.67449999999999999</v>
      </c>
      <c r="CV81" s="230">
        <v>63605300</v>
      </c>
      <c r="CW81" s="230">
        <v>93242600</v>
      </c>
      <c r="CX81" s="230">
        <v>-29637300</v>
      </c>
      <c r="CY81" s="229">
        <v>-0.31790000000000002</v>
      </c>
      <c r="CZ81" s="228">
        <v>22.19</v>
      </c>
      <c r="DA81" s="228">
        <v>22.49</v>
      </c>
      <c r="DB81" s="228">
        <v>-0.3</v>
      </c>
      <c r="DC81" s="228">
        <v>-0.3</v>
      </c>
      <c r="DD81" s="228">
        <v>27.59</v>
      </c>
      <c r="DE81" s="228">
        <v>27.66</v>
      </c>
      <c r="DF81" s="228">
        <v>-5.4</v>
      </c>
      <c r="DG81" s="228">
        <v>-7.0000000000000007E-2</v>
      </c>
      <c r="DH81" s="228">
        <v>21.52</v>
      </c>
      <c r="DI81" s="228">
        <v>22.11</v>
      </c>
      <c r="DJ81" s="228">
        <v>-0.59</v>
      </c>
      <c r="DK81" s="228">
        <v>-0.59</v>
      </c>
      <c r="DL81" s="228">
        <v>23.42</v>
      </c>
      <c r="DM81" s="228">
        <v>23.2</v>
      </c>
      <c r="DN81" s="228">
        <v>0.22</v>
      </c>
      <c r="DO81" s="228">
        <v>0.22</v>
      </c>
      <c r="DP81" s="228">
        <v>0.75</v>
      </c>
      <c r="DQ81" s="228">
        <v>0.7</v>
      </c>
      <c r="DR81" s="228">
        <v>0.05</v>
      </c>
      <c r="DS81" s="229">
        <v>7.1400000000000005E-2</v>
      </c>
      <c r="DT81" s="228">
        <v>600</v>
      </c>
      <c r="DU81" s="228">
        <v>585</v>
      </c>
      <c r="DV81" s="228">
        <v>0.51</v>
      </c>
      <c r="DW81" s="228">
        <v>0.59</v>
      </c>
      <c r="DX81" s="228">
        <v>-0.08</v>
      </c>
      <c r="DY81" s="229">
        <v>-0.1356</v>
      </c>
      <c r="DZ81" s="229">
        <v>0.9194</v>
      </c>
      <c r="EA81" s="230">
        <v>49619900</v>
      </c>
      <c r="EB81" s="229">
        <v>5.4000000000000003E-3</v>
      </c>
      <c r="EC81" s="229">
        <v>0.9194</v>
      </c>
      <c r="ED81" s="228">
        <v>2.5</v>
      </c>
      <c r="EE81" s="229">
        <v>4.0000000000000001E-3</v>
      </c>
      <c r="EF81" s="230">
        <v>1223257</v>
      </c>
      <c r="EG81" s="230">
        <v>1072030</v>
      </c>
      <c r="EH81" s="229">
        <v>0.1411</v>
      </c>
      <c r="EI81" s="229">
        <v>0.53649999999999998</v>
      </c>
      <c r="EJ81" s="231">
        <v>76385.600000000006</v>
      </c>
      <c r="EK81" s="231">
        <v>38071.71</v>
      </c>
      <c r="EL81" s="231">
        <v>72477.45</v>
      </c>
      <c r="EM81" s="231">
        <v>19385</v>
      </c>
      <c r="EN81" s="231">
        <v>186934.76</v>
      </c>
      <c r="EO81" s="231">
        <v>290538.53999999998</v>
      </c>
      <c r="EP81" s="231">
        <v>-103603.78</v>
      </c>
      <c r="EQ81" s="229">
        <v>-0.35659999999999997</v>
      </c>
      <c r="ER81" s="231">
        <v>41494</v>
      </c>
      <c r="ES81" s="231">
        <v>28931</v>
      </c>
      <c r="ET81" s="231">
        <v>324829</v>
      </c>
      <c r="EU81" s="231">
        <v>156090005</v>
      </c>
      <c r="EV81" s="231">
        <v>395254</v>
      </c>
      <c r="EW81" s="231">
        <v>576318</v>
      </c>
      <c r="EX81" s="231">
        <v>-181064</v>
      </c>
      <c r="EY81" s="229">
        <v>-0.31419999999999998</v>
      </c>
      <c r="EZ81" s="229">
        <v>0.40749999999999997</v>
      </c>
      <c r="FA81" s="227" t="s">
        <v>567</v>
      </c>
      <c r="FB81" s="161">
        <f t="shared" si="1"/>
        <v>47762000</v>
      </c>
    </row>
    <row r="82" spans="1:158" ht="17.25" thickBot="1" x14ac:dyDescent="0.3">
      <c r="A82" s="226">
        <v>46168</v>
      </c>
      <c r="B82" s="227" t="s">
        <v>162</v>
      </c>
      <c r="C82" s="227" t="s">
        <v>226</v>
      </c>
      <c r="D82" s="228">
        <v>150</v>
      </c>
      <c r="E82" s="231">
        <v>5014</v>
      </c>
      <c r="F82" s="231">
        <v>5018</v>
      </c>
      <c r="G82" s="228">
        <v>-4</v>
      </c>
      <c r="H82" s="229">
        <v>-8.0000000000000004E-4</v>
      </c>
      <c r="I82" s="231">
        <v>4983</v>
      </c>
      <c r="J82" s="231">
        <v>4979</v>
      </c>
      <c r="K82" s="228">
        <v>4</v>
      </c>
      <c r="L82" s="229">
        <v>8.0000000000000004E-4</v>
      </c>
      <c r="M82" s="231">
        <v>4975.5</v>
      </c>
      <c r="N82" s="231">
        <v>4987.5</v>
      </c>
      <c r="O82" s="228">
        <v>-12</v>
      </c>
      <c r="P82" s="229">
        <v>-2.3999999999999998E-3</v>
      </c>
      <c r="Q82" s="231">
        <v>5014</v>
      </c>
      <c r="R82" s="231">
        <v>5018</v>
      </c>
      <c r="S82" s="228">
        <v>-4</v>
      </c>
      <c r="T82" s="229">
        <v>-8.0000000000000004E-4</v>
      </c>
      <c r="U82" s="231">
        <v>4974.5</v>
      </c>
      <c r="V82" s="231">
        <v>4972.5</v>
      </c>
      <c r="W82" s="228">
        <v>2</v>
      </c>
      <c r="X82" s="229">
        <v>4.0000000000000002E-4</v>
      </c>
      <c r="Y82" s="228">
        <v>31</v>
      </c>
      <c r="Z82" s="228">
        <v>8.5</v>
      </c>
      <c r="AA82" s="228">
        <v>22.5</v>
      </c>
      <c r="AB82" s="229">
        <v>6.1999999999999998E-3</v>
      </c>
      <c r="AC82" s="228">
        <v>-7.5</v>
      </c>
      <c r="AD82" s="228">
        <v>8.5</v>
      </c>
      <c r="AE82" s="228">
        <v>-16</v>
      </c>
      <c r="AF82" s="229">
        <v>-1.5E-3</v>
      </c>
      <c r="AG82" s="228">
        <v>31</v>
      </c>
      <c r="AH82" s="228">
        <v>39</v>
      </c>
      <c r="AI82" s="228">
        <v>-8</v>
      </c>
      <c r="AJ82" s="229">
        <v>6.1999999999999998E-3</v>
      </c>
      <c r="AK82" s="228">
        <v>-8.5</v>
      </c>
      <c r="AL82" s="228">
        <v>-6.5</v>
      </c>
      <c r="AM82" s="228">
        <v>-2</v>
      </c>
      <c r="AN82" s="229">
        <v>-1.6999999999999999E-3</v>
      </c>
      <c r="AO82" s="231">
        <v>4986.63</v>
      </c>
      <c r="AP82" s="231">
        <v>5020.78</v>
      </c>
      <c r="AQ82" s="228">
        <v>0</v>
      </c>
      <c r="AR82" s="230">
        <v>1610400</v>
      </c>
      <c r="AS82" s="230">
        <v>2546400</v>
      </c>
      <c r="AT82" s="230">
        <v>-936000</v>
      </c>
      <c r="AU82" s="229">
        <v>-0.36759999999999998</v>
      </c>
      <c r="AV82" s="230">
        <v>714300</v>
      </c>
      <c r="AW82" s="230">
        <v>1044450</v>
      </c>
      <c r="AX82" s="230">
        <v>-330150</v>
      </c>
      <c r="AY82" s="229">
        <v>-0.31609999999999999</v>
      </c>
      <c r="AZ82" s="230">
        <v>853200</v>
      </c>
      <c r="BA82" s="230">
        <v>1433100</v>
      </c>
      <c r="BB82" s="230">
        <v>-579900</v>
      </c>
      <c r="BC82" s="229">
        <v>-0.40460000000000002</v>
      </c>
      <c r="BD82" s="230">
        <v>42900</v>
      </c>
      <c r="BE82" s="230">
        <v>68850</v>
      </c>
      <c r="BF82" s="230">
        <v>-25950</v>
      </c>
      <c r="BG82" s="229">
        <v>-0.37690000000000001</v>
      </c>
      <c r="BH82" s="230">
        <v>3736650</v>
      </c>
      <c r="BI82" s="230">
        <v>5128200</v>
      </c>
      <c r="BJ82" s="230">
        <v>-1391550</v>
      </c>
      <c r="BK82" s="229">
        <v>-0.27139999999999997</v>
      </c>
      <c r="BL82" s="230">
        <v>1206150</v>
      </c>
      <c r="BM82" s="230">
        <v>1707750</v>
      </c>
      <c r="BN82" s="230">
        <v>-501600</v>
      </c>
      <c r="BO82" s="229">
        <v>-0.29370000000000002</v>
      </c>
      <c r="BP82" s="230">
        <v>6553200</v>
      </c>
      <c r="BQ82" s="230">
        <v>9382350</v>
      </c>
      <c r="BR82" s="230">
        <v>-2829150</v>
      </c>
      <c r="BS82" s="229">
        <v>-0.30149999999999999</v>
      </c>
      <c r="BT82" s="230">
        <v>432793</v>
      </c>
      <c r="BU82" s="230">
        <v>474701</v>
      </c>
      <c r="BV82" s="230">
        <v>-41908</v>
      </c>
      <c r="BW82" s="229">
        <v>-8.8300000000000003E-2</v>
      </c>
      <c r="BX82" s="230">
        <v>4016250</v>
      </c>
      <c r="BY82" s="230">
        <v>4414200</v>
      </c>
      <c r="BZ82" s="230">
        <v>-397950</v>
      </c>
      <c r="CA82" s="229">
        <v>-9.0200000000000002E-2</v>
      </c>
      <c r="CB82" s="230">
        <v>450750</v>
      </c>
      <c r="CC82" s="230">
        <v>910200</v>
      </c>
      <c r="CD82" s="230">
        <v>-459450</v>
      </c>
      <c r="CE82" s="229">
        <v>-0.50480000000000003</v>
      </c>
      <c r="CF82" s="230">
        <v>3823650</v>
      </c>
      <c r="CG82" s="230">
        <v>3335400</v>
      </c>
      <c r="CH82" s="230">
        <v>488250</v>
      </c>
      <c r="CI82" s="229">
        <v>0.1464</v>
      </c>
      <c r="CJ82" s="230">
        <v>192600</v>
      </c>
      <c r="CK82" s="230">
        <v>168600</v>
      </c>
      <c r="CL82" s="230">
        <v>24000</v>
      </c>
      <c r="CM82" s="229">
        <v>0.14230000000000001</v>
      </c>
      <c r="CN82" s="230">
        <v>1161450</v>
      </c>
      <c r="CO82" s="230">
        <v>2969100</v>
      </c>
      <c r="CP82" s="230">
        <v>-1807650</v>
      </c>
      <c r="CQ82" s="229">
        <v>-0.60880000000000001</v>
      </c>
      <c r="CR82" s="230">
        <v>630150</v>
      </c>
      <c r="CS82" s="230">
        <v>1753350</v>
      </c>
      <c r="CT82" s="230">
        <v>-1123200</v>
      </c>
      <c r="CU82" s="229">
        <v>-0.64059999999999995</v>
      </c>
      <c r="CV82" s="230">
        <v>5807850</v>
      </c>
      <c r="CW82" s="230">
        <v>9136650</v>
      </c>
      <c r="CX82" s="230">
        <v>-3328800</v>
      </c>
      <c r="CY82" s="229">
        <v>-0.36430000000000001</v>
      </c>
      <c r="CZ82" s="228">
        <v>27.93</v>
      </c>
      <c r="DA82" s="228">
        <v>28.55</v>
      </c>
      <c r="DB82" s="228">
        <v>-0.62</v>
      </c>
      <c r="DC82" s="228">
        <v>-0.62</v>
      </c>
      <c r="DD82" s="228">
        <v>32.94</v>
      </c>
      <c r="DE82" s="228">
        <v>33.03</v>
      </c>
      <c r="DF82" s="228">
        <v>-5.01</v>
      </c>
      <c r="DG82" s="228">
        <v>-0.09</v>
      </c>
      <c r="DH82" s="228">
        <v>28.14</v>
      </c>
      <c r="DI82" s="228">
        <v>28.73</v>
      </c>
      <c r="DJ82" s="228">
        <v>-0.59</v>
      </c>
      <c r="DK82" s="228">
        <v>-0.59</v>
      </c>
      <c r="DL82" s="228">
        <v>27.29</v>
      </c>
      <c r="DM82" s="228">
        <v>28.05</v>
      </c>
      <c r="DN82" s="228">
        <v>-0.76</v>
      </c>
      <c r="DO82" s="228">
        <v>-0.76</v>
      </c>
      <c r="DP82" s="228">
        <v>0.54</v>
      </c>
      <c r="DQ82" s="228">
        <v>0.59</v>
      </c>
      <c r="DR82" s="228">
        <v>-0.05</v>
      </c>
      <c r="DS82" s="229">
        <v>-8.4699999999999998E-2</v>
      </c>
      <c r="DT82" s="231">
        <v>5000</v>
      </c>
      <c r="DU82" s="231">
        <v>5000</v>
      </c>
      <c r="DV82" s="228">
        <v>0.32</v>
      </c>
      <c r="DW82" s="228">
        <v>0.33</v>
      </c>
      <c r="DX82" s="228">
        <v>-0.01</v>
      </c>
      <c r="DY82" s="229">
        <v>-3.0300000000000001E-2</v>
      </c>
      <c r="DZ82" s="229">
        <v>0.89910000000000001</v>
      </c>
      <c r="EA82" s="230">
        <v>3504000</v>
      </c>
      <c r="EB82" s="229">
        <v>7.7000000000000002E-3</v>
      </c>
      <c r="EC82" s="229">
        <v>0.89910000000000001</v>
      </c>
      <c r="ED82" s="228">
        <v>34.15</v>
      </c>
      <c r="EE82" s="229">
        <v>6.7999999999999996E-3</v>
      </c>
      <c r="EF82" s="230">
        <v>223685</v>
      </c>
      <c r="EG82" s="230">
        <v>227314</v>
      </c>
      <c r="EH82" s="229">
        <v>-1.6E-2</v>
      </c>
      <c r="EI82" s="229">
        <v>0.51680000000000004</v>
      </c>
      <c r="EJ82" s="231">
        <v>196584.54</v>
      </c>
      <c r="EK82" s="231">
        <v>61262.36</v>
      </c>
      <c r="EL82" s="231">
        <v>80595.600000000006</v>
      </c>
      <c r="EM82" s="231">
        <v>12639</v>
      </c>
      <c r="EN82" s="231">
        <v>338442.5</v>
      </c>
      <c r="EO82" s="231">
        <v>481027.19</v>
      </c>
      <c r="EP82" s="231">
        <v>-142584.69</v>
      </c>
      <c r="EQ82" s="229">
        <v>-0.2964</v>
      </c>
      <c r="ER82" s="231">
        <v>61451</v>
      </c>
      <c r="ES82" s="231">
        <v>31163</v>
      </c>
      <c r="ET82" s="231">
        <v>201299</v>
      </c>
      <c r="EU82" s="231">
        <v>19589014</v>
      </c>
      <c r="EV82" s="231">
        <v>293913</v>
      </c>
      <c r="EW82" s="231">
        <v>466186</v>
      </c>
      <c r="EX82" s="231">
        <v>-172273</v>
      </c>
      <c r="EY82" s="229">
        <v>-0.3695</v>
      </c>
      <c r="EZ82" s="229">
        <v>0.29649999999999999</v>
      </c>
      <c r="FA82" s="227" t="s">
        <v>567</v>
      </c>
      <c r="FB82" s="161">
        <f t="shared" si="1"/>
        <v>3565500</v>
      </c>
    </row>
    <row r="83" spans="1:158" ht="17.25" thickBot="1" x14ac:dyDescent="0.3">
      <c r="A83" s="226">
        <v>46168</v>
      </c>
      <c r="B83" s="227" t="s">
        <v>227</v>
      </c>
      <c r="C83" s="227" t="s">
        <v>228</v>
      </c>
      <c r="D83" s="228">
        <v>700</v>
      </c>
      <c r="E83" s="231">
        <v>1114</v>
      </c>
      <c r="F83" s="231">
        <v>1105.4000000000001</v>
      </c>
      <c r="G83" s="228">
        <v>8.6</v>
      </c>
      <c r="H83" s="229">
        <v>7.7999999999999996E-3</v>
      </c>
      <c r="I83" s="231">
        <v>1103.8</v>
      </c>
      <c r="J83" s="231">
        <v>1099.5999999999999</v>
      </c>
      <c r="K83" s="228">
        <v>4.2</v>
      </c>
      <c r="L83" s="229">
        <v>3.8E-3</v>
      </c>
      <c r="M83" s="231">
        <v>1106.4000000000001</v>
      </c>
      <c r="N83" s="231">
        <v>1099.5999999999999</v>
      </c>
      <c r="O83" s="228">
        <v>6.8</v>
      </c>
      <c r="P83" s="229">
        <v>6.1999999999999998E-3</v>
      </c>
      <c r="Q83" s="231">
        <v>1114</v>
      </c>
      <c r="R83" s="231">
        <v>1105.4000000000001</v>
      </c>
      <c r="S83" s="228">
        <v>8.6</v>
      </c>
      <c r="T83" s="229">
        <v>7.7999999999999996E-3</v>
      </c>
      <c r="U83" s="231">
        <v>1114.3</v>
      </c>
      <c r="V83" s="231">
        <v>1106.0999999999999</v>
      </c>
      <c r="W83" s="228">
        <v>8.1999999999999993</v>
      </c>
      <c r="X83" s="229">
        <v>7.4000000000000003E-3</v>
      </c>
      <c r="Y83" s="228">
        <v>10.199999999999999</v>
      </c>
      <c r="Z83" s="228">
        <v>0</v>
      </c>
      <c r="AA83" s="228">
        <v>10.199999999999999</v>
      </c>
      <c r="AB83" s="229">
        <v>9.1999999999999998E-3</v>
      </c>
      <c r="AC83" s="228">
        <v>2.6</v>
      </c>
      <c r="AD83" s="228">
        <v>0</v>
      </c>
      <c r="AE83" s="228">
        <v>2.6</v>
      </c>
      <c r="AF83" s="229">
        <v>2.3999999999999998E-3</v>
      </c>
      <c r="AG83" s="228">
        <v>10.199999999999999</v>
      </c>
      <c r="AH83" s="228">
        <v>5.8</v>
      </c>
      <c r="AI83" s="228">
        <v>4.4000000000000004</v>
      </c>
      <c r="AJ83" s="229">
        <v>9.1999999999999998E-3</v>
      </c>
      <c r="AK83" s="228">
        <v>10.5</v>
      </c>
      <c r="AL83" s="228">
        <v>6.5</v>
      </c>
      <c r="AM83" s="228">
        <v>4</v>
      </c>
      <c r="AN83" s="229">
        <v>9.4999999999999998E-3</v>
      </c>
      <c r="AO83" s="231">
        <v>1109.72</v>
      </c>
      <c r="AP83" s="231">
        <v>1116.21</v>
      </c>
      <c r="AQ83" s="228">
        <v>0</v>
      </c>
      <c r="AR83" s="230">
        <v>9412200</v>
      </c>
      <c r="AS83" s="230">
        <v>24486700</v>
      </c>
      <c r="AT83" s="230">
        <v>-15074500</v>
      </c>
      <c r="AU83" s="229">
        <v>-0.61560000000000004</v>
      </c>
      <c r="AV83" s="230">
        <v>3178000</v>
      </c>
      <c r="AW83" s="230">
        <v>10638600</v>
      </c>
      <c r="AX83" s="230">
        <v>-7460600</v>
      </c>
      <c r="AY83" s="229">
        <v>-0.70130000000000003</v>
      </c>
      <c r="AZ83" s="230">
        <v>6062700</v>
      </c>
      <c r="BA83" s="230">
        <v>13333600</v>
      </c>
      <c r="BB83" s="230">
        <v>-7270900</v>
      </c>
      <c r="BC83" s="229">
        <v>-0.54530000000000001</v>
      </c>
      <c r="BD83" s="230">
        <v>171500</v>
      </c>
      <c r="BE83" s="230">
        <v>514500</v>
      </c>
      <c r="BF83" s="230">
        <v>-343000</v>
      </c>
      <c r="BG83" s="229">
        <v>-0.66669999999999996</v>
      </c>
      <c r="BH83" s="230">
        <v>21334600</v>
      </c>
      <c r="BI83" s="230">
        <v>62670300</v>
      </c>
      <c r="BJ83" s="230">
        <v>-41335700</v>
      </c>
      <c r="BK83" s="229">
        <v>-0.65959999999999996</v>
      </c>
      <c r="BL83" s="230">
        <v>12225500</v>
      </c>
      <c r="BM83" s="230">
        <v>36140300</v>
      </c>
      <c r="BN83" s="230">
        <v>-23914800</v>
      </c>
      <c r="BO83" s="229">
        <v>-0.66169999999999995</v>
      </c>
      <c r="BP83" s="230">
        <v>42972300</v>
      </c>
      <c r="BQ83" s="230">
        <v>123297300</v>
      </c>
      <c r="BR83" s="230">
        <v>-80325000</v>
      </c>
      <c r="BS83" s="229">
        <v>-0.65149999999999997</v>
      </c>
      <c r="BT83" s="230">
        <v>6002464</v>
      </c>
      <c r="BU83" s="230">
        <v>8261424</v>
      </c>
      <c r="BV83" s="230">
        <v>-2258960</v>
      </c>
      <c r="BW83" s="229">
        <v>-0.27339999999999998</v>
      </c>
      <c r="BX83" s="230">
        <v>33159000</v>
      </c>
      <c r="BY83" s="230">
        <v>34743100</v>
      </c>
      <c r="BZ83" s="230">
        <v>-1584100</v>
      </c>
      <c r="CA83" s="229">
        <v>-4.5600000000000002E-2</v>
      </c>
      <c r="CB83" s="230">
        <v>2204300</v>
      </c>
      <c r="CC83" s="230">
        <v>3644200</v>
      </c>
      <c r="CD83" s="230">
        <v>-1439900</v>
      </c>
      <c r="CE83" s="229">
        <v>-0.39510000000000001</v>
      </c>
      <c r="CF83" s="230">
        <v>31025400</v>
      </c>
      <c r="CG83" s="230">
        <v>29002400</v>
      </c>
      <c r="CH83" s="230">
        <v>2023000</v>
      </c>
      <c r="CI83" s="229">
        <v>6.9800000000000001E-2</v>
      </c>
      <c r="CJ83" s="230">
        <v>2133600</v>
      </c>
      <c r="CK83" s="230">
        <v>2096500</v>
      </c>
      <c r="CL83" s="230">
        <v>37100</v>
      </c>
      <c r="CM83" s="229">
        <v>1.77E-2</v>
      </c>
      <c r="CN83" s="230">
        <v>5843600</v>
      </c>
      <c r="CO83" s="230">
        <v>11851700</v>
      </c>
      <c r="CP83" s="230">
        <v>-6008100</v>
      </c>
      <c r="CQ83" s="229">
        <v>-0.50690000000000002</v>
      </c>
      <c r="CR83" s="230">
        <v>3735900</v>
      </c>
      <c r="CS83" s="230">
        <v>10140900</v>
      </c>
      <c r="CT83" s="230">
        <v>-6405000</v>
      </c>
      <c r="CU83" s="229">
        <v>-0.63160000000000005</v>
      </c>
      <c r="CV83" s="230">
        <v>42738500</v>
      </c>
      <c r="CW83" s="230">
        <v>56735700</v>
      </c>
      <c r="CX83" s="230">
        <v>-13997200</v>
      </c>
      <c r="CY83" s="229">
        <v>-0.2467</v>
      </c>
      <c r="CZ83" s="228">
        <v>27.37</v>
      </c>
      <c r="DA83" s="228">
        <v>29.51</v>
      </c>
      <c r="DB83" s="228">
        <v>-2.14</v>
      </c>
      <c r="DC83" s="228">
        <v>-2.14</v>
      </c>
      <c r="DD83" s="228">
        <v>36.159999999999997</v>
      </c>
      <c r="DE83" s="228">
        <v>36.25</v>
      </c>
      <c r="DF83" s="228">
        <v>-8.7899999999999991</v>
      </c>
      <c r="DG83" s="228">
        <v>-0.09</v>
      </c>
      <c r="DH83" s="228">
        <v>27.12</v>
      </c>
      <c r="DI83" s="228">
        <v>29.29</v>
      </c>
      <c r="DJ83" s="228">
        <v>-2.17</v>
      </c>
      <c r="DK83" s="228">
        <v>-2.17</v>
      </c>
      <c r="DL83" s="228">
        <v>27.84</v>
      </c>
      <c r="DM83" s="228">
        <v>29.83</v>
      </c>
      <c r="DN83" s="228">
        <v>-1.99</v>
      </c>
      <c r="DO83" s="228">
        <v>-1.99</v>
      </c>
      <c r="DP83" s="228">
        <v>0.64</v>
      </c>
      <c r="DQ83" s="228">
        <v>0.86</v>
      </c>
      <c r="DR83" s="228">
        <v>-0.22</v>
      </c>
      <c r="DS83" s="229">
        <v>-0.25580000000000003</v>
      </c>
      <c r="DT83" s="231">
        <v>1110</v>
      </c>
      <c r="DU83" s="231">
        <v>1050</v>
      </c>
      <c r="DV83" s="228">
        <v>0.56999999999999995</v>
      </c>
      <c r="DW83" s="228">
        <v>0.57999999999999996</v>
      </c>
      <c r="DX83" s="228">
        <v>-0.01</v>
      </c>
      <c r="DY83" s="229">
        <v>-1.72E-2</v>
      </c>
      <c r="DZ83" s="229">
        <v>0.93769999999999998</v>
      </c>
      <c r="EA83" s="230">
        <v>31098900</v>
      </c>
      <c r="EB83" s="229">
        <v>6.8999999999999999E-3</v>
      </c>
      <c r="EC83" s="229">
        <v>0.93769999999999998</v>
      </c>
      <c r="ED83" s="228">
        <v>6.49</v>
      </c>
      <c r="EE83" s="229">
        <v>5.7999999999999996E-3</v>
      </c>
      <c r="EF83" s="230">
        <v>3191422</v>
      </c>
      <c r="EG83" s="230">
        <v>3646263</v>
      </c>
      <c r="EH83" s="229">
        <v>-0.12470000000000001</v>
      </c>
      <c r="EI83" s="229">
        <v>0.53169999999999995</v>
      </c>
      <c r="EJ83" s="231">
        <v>245141.37</v>
      </c>
      <c r="EK83" s="231">
        <v>133236.03</v>
      </c>
      <c r="EL83" s="231">
        <v>104855.07</v>
      </c>
      <c r="EM83" s="231">
        <v>24791</v>
      </c>
      <c r="EN83" s="231">
        <v>483232.47</v>
      </c>
      <c r="EO83" s="231">
        <v>1365428.41</v>
      </c>
      <c r="EP83" s="231">
        <v>-882195.94</v>
      </c>
      <c r="EQ83" s="229">
        <v>-0.64610000000000001</v>
      </c>
      <c r="ER83" s="231">
        <v>65561</v>
      </c>
      <c r="ES83" s="231">
        <v>39409</v>
      </c>
      <c r="ET83" s="231">
        <v>369398</v>
      </c>
      <c r="EU83" s="231">
        <v>218611634</v>
      </c>
      <c r="EV83" s="231">
        <v>474368</v>
      </c>
      <c r="EW83" s="231">
        <v>621157</v>
      </c>
      <c r="EX83" s="231">
        <v>-146789</v>
      </c>
      <c r="EY83" s="229">
        <v>-0.23630000000000001</v>
      </c>
      <c r="EZ83" s="229">
        <v>0.19550000000000001</v>
      </c>
      <c r="FA83" s="227" t="s">
        <v>691</v>
      </c>
      <c r="FB83" s="161">
        <f t="shared" si="1"/>
        <v>30954700</v>
      </c>
    </row>
    <row r="84" spans="1:158" ht="17.25" thickBot="1" x14ac:dyDescent="0.3">
      <c r="A84" s="226">
        <v>46168</v>
      </c>
      <c r="B84" s="227" t="s">
        <v>193</v>
      </c>
      <c r="C84" s="227" t="s">
        <v>229</v>
      </c>
      <c r="D84" s="228">
        <v>2025</v>
      </c>
      <c r="E84" s="228">
        <v>400.55</v>
      </c>
      <c r="F84" s="228">
        <v>406.4</v>
      </c>
      <c r="G84" s="228">
        <v>-5.85</v>
      </c>
      <c r="H84" s="229">
        <v>-1.44E-2</v>
      </c>
      <c r="I84" s="228">
        <v>398</v>
      </c>
      <c r="J84" s="228">
        <v>403.35</v>
      </c>
      <c r="K84" s="228">
        <v>-5.35</v>
      </c>
      <c r="L84" s="229">
        <v>-1.3299999999999999E-2</v>
      </c>
      <c r="M84" s="228">
        <v>397.65</v>
      </c>
      <c r="N84" s="228">
        <v>405.1</v>
      </c>
      <c r="O84" s="228">
        <v>-7.45</v>
      </c>
      <c r="P84" s="229">
        <v>-1.84E-2</v>
      </c>
      <c r="Q84" s="228">
        <v>400.55</v>
      </c>
      <c r="R84" s="228">
        <v>406.4</v>
      </c>
      <c r="S84" s="228">
        <v>-5.85</v>
      </c>
      <c r="T84" s="229">
        <v>-1.44E-2</v>
      </c>
      <c r="U84" s="228">
        <v>402.65</v>
      </c>
      <c r="V84" s="228">
        <v>409.15</v>
      </c>
      <c r="W84" s="228">
        <v>-6.5</v>
      </c>
      <c r="X84" s="229">
        <v>-1.5900000000000001E-2</v>
      </c>
      <c r="Y84" s="228">
        <v>2.5499999999999998</v>
      </c>
      <c r="Z84" s="228">
        <v>1.75</v>
      </c>
      <c r="AA84" s="228">
        <v>0.8</v>
      </c>
      <c r="AB84" s="229">
        <v>6.4000000000000003E-3</v>
      </c>
      <c r="AC84" s="228">
        <v>-0.35</v>
      </c>
      <c r="AD84" s="228">
        <v>1.75</v>
      </c>
      <c r="AE84" s="228">
        <v>-2.1</v>
      </c>
      <c r="AF84" s="229">
        <v>-8.9999999999999998E-4</v>
      </c>
      <c r="AG84" s="228">
        <v>2.5499999999999998</v>
      </c>
      <c r="AH84" s="228">
        <v>3.05</v>
      </c>
      <c r="AI84" s="228">
        <v>-0.5</v>
      </c>
      <c r="AJ84" s="229">
        <v>6.4000000000000003E-3</v>
      </c>
      <c r="AK84" s="228">
        <v>4.6500000000000004</v>
      </c>
      <c r="AL84" s="228">
        <v>5.8</v>
      </c>
      <c r="AM84" s="228">
        <v>-1.1499999999999999</v>
      </c>
      <c r="AN84" s="229">
        <v>1.17E-2</v>
      </c>
      <c r="AO84" s="228">
        <v>399.82</v>
      </c>
      <c r="AP84" s="228">
        <v>402.39</v>
      </c>
      <c r="AQ84" s="228">
        <v>0</v>
      </c>
      <c r="AR84" s="230">
        <v>11392650</v>
      </c>
      <c r="AS84" s="230">
        <v>31138425</v>
      </c>
      <c r="AT84" s="230">
        <v>-19745775</v>
      </c>
      <c r="AU84" s="229">
        <v>-0.6341</v>
      </c>
      <c r="AV84" s="230">
        <v>4074300</v>
      </c>
      <c r="AW84" s="230">
        <v>14604300</v>
      </c>
      <c r="AX84" s="230">
        <v>-10530000</v>
      </c>
      <c r="AY84" s="229">
        <v>-0.72099999999999997</v>
      </c>
      <c r="AZ84" s="230">
        <v>7154325</v>
      </c>
      <c r="BA84" s="230">
        <v>16197975</v>
      </c>
      <c r="BB84" s="230">
        <v>-9043650</v>
      </c>
      <c r="BC84" s="229">
        <v>-0.55830000000000002</v>
      </c>
      <c r="BD84" s="230">
        <v>164025</v>
      </c>
      <c r="BE84" s="230">
        <v>336150</v>
      </c>
      <c r="BF84" s="230">
        <v>-172125</v>
      </c>
      <c r="BG84" s="229">
        <v>-0.51200000000000001</v>
      </c>
      <c r="BH84" s="230">
        <v>13326525</v>
      </c>
      <c r="BI84" s="230">
        <v>59715225</v>
      </c>
      <c r="BJ84" s="230">
        <v>-46388700</v>
      </c>
      <c r="BK84" s="229">
        <v>-0.77680000000000005</v>
      </c>
      <c r="BL84" s="230">
        <v>9837450</v>
      </c>
      <c r="BM84" s="230">
        <v>24666525</v>
      </c>
      <c r="BN84" s="230">
        <v>-14829075</v>
      </c>
      <c r="BO84" s="229">
        <v>-0.60119999999999996</v>
      </c>
      <c r="BP84" s="230">
        <v>34556625</v>
      </c>
      <c r="BQ84" s="230">
        <v>115520175</v>
      </c>
      <c r="BR84" s="230">
        <v>-80963550</v>
      </c>
      <c r="BS84" s="229">
        <v>-0.70089999999999997</v>
      </c>
      <c r="BT84" s="230">
        <v>4513885</v>
      </c>
      <c r="BU84" s="230">
        <v>10875116</v>
      </c>
      <c r="BV84" s="230">
        <v>-6361231</v>
      </c>
      <c r="BW84" s="229">
        <v>-0.58489999999999998</v>
      </c>
      <c r="BX84" s="230">
        <v>31810725</v>
      </c>
      <c r="BY84" s="230">
        <v>36245475</v>
      </c>
      <c r="BZ84" s="230">
        <v>-4434750</v>
      </c>
      <c r="CA84" s="229">
        <v>-0.12239999999999999</v>
      </c>
      <c r="CB84" s="230">
        <v>4128975</v>
      </c>
      <c r="CC84" s="230">
        <v>6077025</v>
      </c>
      <c r="CD84" s="230">
        <v>-1948050</v>
      </c>
      <c r="CE84" s="229">
        <v>-0.3206</v>
      </c>
      <c r="CF84" s="230">
        <v>29291625</v>
      </c>
      <c r="CG84" s="230">
        <v>27746550</v>
      </c>
      <c r="CH84" s="230">
        <v>1545075</v>
      </c>
      <c r="CI84" s="229">
        <v>5.57E-2</v>
      </c>
      <c r="CJ84" s="230">
        <v>2519100</v>
      </c>
      <c r="CK84" s="230">
        <v>2421900</v>
      </c>
      <c r="CL84" s="230">
        <v>97200</v>
      </c>
      <c r="CM84" s="229">
        <v>4.0099999999999997E-2</v>
      </c>
      <c r="CN84" s="230">
        <v>8646750</v>
      </c>
      <c r="CO84" s="230">
        <v>17789625</v>
      </c>
      <c r="CP84" s="230">
        <v>-9142875</v>
      </c>
      <c r="CQ84" s="229">
        <v>-0.51390000000000002</v>
      </c>
      <c r="CR84" s="230">
        <v>6463800</v>
      </c>
      <c r="CS84" s="230">
        <v>15335325</v>
      </c>
      <c r="CT84" s="230">
        <v>-8871525</v>
      </c>
      <c r="CU84" s="229">
        <v>-0.57850000000000001</v>
      </c>
      <c r="CV84" s="230">
        <v>46921275</v>
      </c>
      <c r="CW84" s="230">
        <v>69370425</v>
      </c>
      <c r="CX84" s="230">
        <v>-22449150</v>
      </c>
      <c r="CY84" s="229">
        <v>-0.3236</v>
      </c>
      <c r="CZ84" s="228">
        <v>33.11</v>
      </c>
      <c r="DA84" s="228">
        <v>37.369999999999997</v>
      </c>
      <c r="DB84" s="228">
        <v>-4.26</v>
      </c>
      <c r="DC84" s="228">
        <v>-4.26</v>
      </c>
      <c r="DD84" s="228">
        <v>44.82</v>
      </c>
      <c r="DE84" s="228">
        <v>44.89</v>
      </c>
      <c r="DF84" s="228">
        <v>-11.71</v>
      </c>
      <c r="DG84" s="228">
        <v>-7.0000000000000007E-2</v>
      </c>
      <c r="DH84" s="228">
        <v>33.03</v>
      </c>
      <c r="DI84" s="228">
        <v>37.72</v>
      </c>
      <c r="DJ84" s="228">
        <v>-4.6900000000000004</v>
      </c>
      <c r="DK84" s="228">
        <v>-4.6900000000000004</v>
      </c>
      <c r="DL84" s="228">
        <v>33.229999999999997</v>
      </c>
      <c r="DM84" s="228">
        <v>36.74</v>
      </c>
      <c r="DN84" s="228">
        <v>-3.51</v>
      </c>
      <c r="DO84" s="228">
        <v>-3.51</v>
      </c>
      <c r="DP84" s="228">
        <v>0.75</v>
      </c>
      <c r="DQ84" s="228">
        <v>0.86</v>
      </c>
      <c r="DR84" s="228">
        <v>-0.11</v>
      </c>
      <c r="DS84" s="229">
        <v>-0.12790000000000001</v>
      </c>
      <c r="DT84" s="228">
        <v>400</v>
      </c>
      <c r="DU84" s="228">
        <v>400</v>
      </c>
      <c r="DV84" s="228">
        <v>0.74</v>
      </c>
      <c r="DW84" s="228">
        <v>0.41</v>
      </c>
      <c r="DX84" s="228">
        <v>0.33</v>
      </c>
      <c r="DY84" s="229">
        <v>0.80489999999999995</v>
      </c>
      <c r="DZ84" s="229">
        <v>0.8851</v>
      </c>
      <c r="EA84" s="230">
        <v>30168450</v>
      </c>
      <c r="EB84" s="229">
        <v>7.3000000000000001E-3</v>
      </c>
      <c r="EC84" s="229">
        <v>0.8851</v>
      </c>
      <c r="ED84" s="228">
        <v>2.57</v>
      </c>
      <c r="EE84" s="229">
        <v>6.4000000000000003E-3</v>
      </c>
      <c r="EF84" s="230">
        <v>2034333</v>
      </c>
      <c r="EG84" s="230">
        <v>3414349</v>
      </c>
      <c r="EH84" s="229">
        <v>-0.4042</v>
      </c>
      <c r="EI84" s="229">
        <v>0.45069999999999999</v>
      </c>
      <c r="EJ84" s="231">
        <v>56195.47</v>
      </c>
      <c r="EK84" s="231">
        <v>38808.57</v>
      </c>
      <c r="EL84" s="231">
        <v>45740.31</v>
      </c>
      <c r="EM84" s="231">
        <v>10201</v>
      </c>
      <c r="EN84" s="231">
        <v>140744.35</v>
      </c>
      <c r="EO84" s="231">
        <v>474277.73</v>
      </c>
      <c r="EP84" s="231">
        <v>-333533.38</v>
      </c>
      <c r="EQ84" s="229">
        <v>-0.70320000000000005</v>
      </c>
      <c r="ER84" s="231">
        <v>36226</v>
      </c>
      <c r="ES84" s="231">
        <v>25094</v>
      </c>
      <c r="ET84" s="231">
        <v>127471</v>
      </c>
      <c r="EU84" s="231">
        <v>143933168</v>
      </c>
      <c r="EV84" s="231">
        <v>188791</v>
      </c>
      <c r="EW84" s="231">
        <v>276565</v>
      </c>
      <c r="EX84" s="231">
        <v>-87774</v>
      </c>
      <c r="EY84" s="229">
        <v>-0.31740000000000002</v>
      </c>
      <c r="EZ84" s="229">
        <v>0.32600000000000001</v>
      </c>
      <c r="FA84" s="227" t="s">
        <v>567</v>
      </c>
      <c r="FB84" s="161">
        <f t="shared" si="1"/>
        <v>27681750</v>
      </c>
    </row>
    <row r="85" spans="1:158" ht="17.25" thickBot="1" x14ac:dyDescent="0.3">
      <c r="A85" s="226">
        <v>46168</v>
      </c>
      <c r="B85" s="227" t="s">
        <v>168</v>
      </c>
      <c r="C85" s="227" t="s">
        <v>230</v>
      </c>
      <c r="D85" s="228">
        <v>300</v>
      </c>
      <c r="E85" s="231">
        <v>2195.1</v>
      </c>
      <c r="F85" s="231">
        <v>2193</v>
      </c>
      <c r="G85" s="228">
        <v>2.1</v>
      </c>
      <c r="H85" s="229">
        <v>1E-3</v>
      </c>
      <c r="I85" s="231">
        <v>2209.4</v>
      </c>
      <c r="J85" s="231">
        <v>2196.5</v>
      </c>
      <c r="K85" s="228">
        <v>12.9</v>
      </c>
      <c r="L85" s="229">
        <v>5.8999999999999999E-3</v>
      </c>
      <c r="M85" s="231">
        <v>2202.8000000000002</v>
      </c>
      <c r="N85" s="231">
        <v>2202.4</v>
      </c>
      <c r="O85" s="228">
        <v>0.4</v>
      </c>
      <c r="P85" s="229">
        <v>2.0000000000000001E-4</v>
      </c>
      <c r="Q85" s="231">
        <v>2195.1</v>
      </c>
      <c r="R85" s="231">
        <v>2193</v>
      </c>
      <c r="S85" s="228">
        <v>2.1</v>
      </c>
      <c r="T85" s="229">
        <v>1E-3</v>
      </c>
      <c r="U85" s="231">
        <v>2209.1</v>
      </c>
      <c r="V85" s="231">
        <v>2205.8000000000002</v>
      </c>
      <c r="W85" s="228">
        <v>3.3</v>
      </c>
      <c r="X85" s="229">
        <v>1.5E-3</v>
      </c>
      <c r="Y85" s="228">
        <v>-14.3</v>
      </c>
      <c r="Z85" s="228">
        <v>5.9</v>
      </c>
      <c r="AA85" s="228">
        <v>-20.2</v>
      </c>
      <c r="AB85" s="229">
        <v>-6.4999999999999997E-3</v>
      </c>
      <c r="AC85" s="228">
        <v>-6.6</v>
      </c>
      <c r="AD85" s="228">
        <v>5.9</v>
      </c>
      <c r="AE85" s="228">
        <v>-12.5</v>
      </c>
      <c r="AF85" s="229">
        <v>-3.0000000000000001E-3</v>
      </c>
      <c r="AG85" s="228">
        <v>-14.3</v>
      </c>
      <c r="AH85" s="228">
        <v>-3.5</v>
      </c>
      <c r="AI85" s="228">
        <v>-10.8</v>
      </c>
      <c r="AJ85" s="229">
        <v>-6.4999999999999997E-3</v>
      </c>
      <c r="AK85" s="228">
        <v>-0.3</v>
      </c>
      <c r="AL85" s="228">
        <v>9.3000000000000007</v>
      </c>
      <c r="AM85" s="228">
        <v>-9.6</v>
      </c>
      <c r="AN85" s="229">
        <v>-1E-4</v>
      </c>
      <c r="AO85" s="231">
        <v>2204.65</v>
      </c>
      <c r="AP85" s="231">
        <v>2197.25</v>
      </c>
      <c r="AQ85" s="228">
        <v>0</v>
      </c>
      <c r="AR85" s="230">
        <v>4232100</v>
      </c>
      <c r="AS85" s="230">
        <v>6984000</v>
      </c>
      <c r="AT85" s="230">
        <v>-2751900</v>
      </c>
      <c r="AU85" s="229">
        <v>-0.39400000000000002</v>
      </c>
      <c r="AV85" s="230">
        <v>1594200</v>
      </c>
      <c r="AW85" s="230">
        <v>3068400</v>
      </c>
      <c r="AX85" s="230">
        <v>-1474200</v>
      </c>
      <c r="AY85" s="229">
        <v>-0.48039999999999999</v>
      </c>
      <c r="AZ85" s="230">
        <v>2589000</v>
      </c>
      <c r="BA85" s="230">
        <v>3855300</v>
      </c>
      <c r="BB85" s="230">
        <v>-1266300</v>
      </c>
      <c r="BC85" s="229">
        <v>-0.32850000000000001</v>
      </c>
      <c r="BD85" s="230">
        <v>48900</v>
      </c>
      <c r="BE85" s="230">
        <v>60300</v>
      </c>
      <c r="BF85" s="230">
        <v>-11400</v>
      </c>
      <c r="BG85" s="229">
        <v>-0.18909999999999999</v>
      </c>
      <c r="BH85" s="230">
        <v>6445800</v>
      </c>
      <c r="BI85" s="230">
        <v>8659500</v>
      </c>
      <c r="BJ85" s="230">
        <v>-2213700</v>
      </c>
      <c r="BK85" s="229">
        <v>-0.25559999999999999</v>
      </c>
      <c r="BL85" s="230">
        <v>3865500</v>
      </c>
      <c r="BM85" s="230">
        <v>4579200</v>
      </c>
      <c r="BN85" s="230">
        <v>-713700</v>
      </c>
      <c r="BO85" s="229">
        <v>-0.15590000000000001</v>
      </c>
      <c r="BP85" s="230">
        <v>14543400</v>
      </c>
      <c r="BQ85" s="230">
        <v>20222700</v>
      </c>
      <c r="BR85" s="230">
        <v>-5679300</v>
      </c>
      <c r="BS85" s="229">
        <v>-0.28079999999999999</v>
      </c>
      <c r="BT85" s="230">
        <v>2367055</v>
      </c>
      <c r="BU85" s="230">
        <v>802498</v>
      </c>
      <c r="BV85" s="230">
        <v>1564557</v>
      </c>
      <c r="BW85" s="229">
        <v>1.9496</v>
      </c>
      <c r="BX85" s="230">
        <v>15632400</v>
      </c>
      <c r="BY85" s="230">
        <v>17071800</v>
      </c>
      <c r="BZ85" s="230">
        <v>-1439400</v>
      </c>
      <c r="CA85" s="229">
        <v>-8.43E-2</v>
      </c>
      <c r="CB85" s="230">
        <v>1516200</v>
      </c>
      <c r="CC85" s="230">
        <v>2393400</v>
      </c>
      <c r="CD85" s="230">
        <v>-877200</v>
      </c>
      <c r="CE85" s="229">
        <v>-0.36649999999999999</v>
      </c>
      <c r="CF85" s="230">
        <v>15362100</v>
      </c>
      <c r="CG85" s="230">
        <v>14435700</v>
      </c>
      <c r="CH85" s="230">
        <v>926400</v>
      </c>
      <c r="CI85" s="229">
        <v>6.4199999999999993E-2</v>
      </c>
      <c r="CJ85" s="230">
        <v>270300</v>
      </c>
      <c r="CK85" s="230">
        <v>242700</v>
      </c>
      <c r="CL85" s="230">
        <v>27600</v>
      </c>
      <c r="CM85" s="229">
        <v>0.1137</v>
      </c>
      <c r="CN85" s="230">
        <v>3802200</v>
      </c>
      <c r="CO85" s="230">
        <v>11082600</v>
      </c>
      <c r="CP85" s="230">
        <v>-7280400</v>
      </c>
      <c r="CQ85" s="229">
        <v>-0.65690000000000004</v>
      </c>
      <c r="CR85" s="230">
        <v>2075700</v>
      </c>
      <c r="CS85" s="230">
        <v>5369400</v>
      </c>
      <c r="CT85" s="230">
        <v>-3293700</v>
      </c>
      <c r="CU85" s="229">
        <v>-0.61339999999999995</v>
      </c>
      <c r="CV85" s="230">
        <v>21510300</v>
      </c>
      <c r="CW85" s="230">
        <v>33523800</v>
      </c>
      <c r="CX85" s="230">
        <v>-12013500</v>
      </c>
      <c r="CY85" s="229">
        <v>-0.3584</v>
      </c>
      <c r="CZ85" s="228">
        <v>20.53</v>
      </c>
      <c r="DA85" s="228">
        <v>21.06</v>
      </c>
      <c r="DB85" s="228">
        <v>-0.53</v>
      </c>
      <c r="DC85" s="228">
        <v>-0.53</v>
      </c>
      <c r="DD85" s="228">
        <v>24.47</v>
      </c>
      <c r="DE85" s="228">
        <v>24.52</v>
      </c>
      <c r="DF85" s="228">
        <v>-3.94</v>
      </c>
      <c r="DG85" s="228">
        <v>-0.05</v>
      </c>
      <c r="DH85" s="228">
        <v>20.88</v>
      </c>
      <c r="DI85" s="228">
        <v>21.38</v>
      </c>
      <c r="DJ85" s="228">
        <v>-0.5</v>
      </c>
      <c r="DK85" s="228">
        <v>-0.5</v>
      </c>
      <c r="DL85" s="228">
        <v>19.77</v>
      </c>
      <c r="DM85" s="228">
        <v>20.37</v>
      </c>
      <c r="DN85" s="228">
        <v>-0.6</v>
      </c>
      <c r="DO85" s="228">
        <v>-0.6</v>
      </c>
      <c r="DP85" s="228">
        <v>0.55000000000000004</v>
      </c>
      <c r="DQ85" s="228">
        <v>0.48</v>
      </c>
      <c r="DR85" s="228">
        <v>7.0000000000000007E-2</v>
      </c>
      <c r="DS85" s="229">
        <v>0.14580000000000001</v>
      </c>
      <c r="DT85" s="231">
        <v>2400</v>
      </c>
      <c r="DU85" s="231">
        <v>2300</v>
      </c>
      <c r="DV85" s="228">
        <v>0.6</v>
      </c>
      <c r="DW85" s="228">
        <v>0.53</v>
      </c>
      <c r="DX85" s="228">
        <v>7.0000000000000007E-2</v>
      </c>
      <c r="DY85" s="229">
        <v>0.1321</v>
      </c>
      <c r="DZ85" s="229">
        <v>0.91159999999999997</v>
      </c>
      <c r="EA85" s="230">
        <v>14678400</v>
      </c>
      <c r="EB85" s="229">
        <v>-3.5000000000000001E-3</v>
      </c>
      <c r="EC85" s="229">
        <v>0.91159999999999997</v>
      </c>
      <c r="ED85" s="228">
        <v>-7.4</v>
      </c>
      <c r="EE85" s="229">
        <v>-3.3999999999999998E-3</v>
      </c>
      <c r="EF85" s="230">
        <v>1533784</v>
      </c>
      <c r="EG85" s="230">
        <v>464400</v>
      </c>
      <c r="EH85" s="229">
        <v>2.3027000000000002</v>
      </c>
      <c r="EI85" s="229">
        <v>0.64800000000000002</v>
      </c>
      <c r="EJ85" s="231">
        <v>147977.89000000001</v>
      </c>
      <c r="EK85" s="231">
        <v>85399.679999999993</v>
      </c>
      <c r="EL85" s="231">
        <v>93112.99</v>
      </c>
      <c r="EM85" s="231">
        <v>24446</v>
      </c>
      <c r="EN85" s="231">
        <v>326490.56</v>
      </c>
      <c r="EO85" s="231">
        <v>455299.84000000003</v>
      </c>
      <c r="EP85" s="231">
        <v>-128809.28</v>
      </c>
      <c r="EQ85" s="229">
        <v>-0.28289999999999998</v>
      </c>
      <c r="ER85" s="231">
        <v>87923</v>
      </c>
      <c r="ES85" s="231">
        <v>45326</v>
      </c>
      <c r="ET85" s="231">
        <v>343185</v>
      </c>
      <c r="EU85" s="231">
        <v>89517840</v>
      </c>
      <c r="EV85" s="231">
        <v>476433</v>
      </c>
      <c r="EW85" s="231">
        <v>754301</v>
      </c>
      <c r="EX85" s="231">
        <v>-277868</v>
      </c>
      <c r="EY85" s="229">
        <v>-0.36840000000000001</v>
      </c>
      <c r="EZ85" s="229">
        <v>0.24030000000000001</v>
      </c>
      <c r="FA85" s="227" t="s">
        <v>691</v>
      </c>
      <c r="FB85" s="161">
        <f t="shared" si="1"/>
        <v>14116200</v>
      </c>
    </row>
    <row r="86" spans="1:158" ht="17.25" thickBot="1" x14ac:dyDescent="0.3">
      <c r="A86" s="226">
        <v>46168</v>
      </c>
      <c r="B86" s="227" t="s">
        <v>227</v>
      </c>
      <c r="C86" s="227" t="s">
        <v>665</v>
      </c>
      <c r="D86" s="228">
        <v>1225</v>
      </c>
      <c r="E86" s="228">
        <v>650.70000000000005</v>
      </c>
      <c r="F86" s="228">
        <v>639.79999999999995</v>
      </c>
      <c r="G86" s="228">
        <v>10.9</v>
      </c>
      <c r="H86" s="229">
        <v>1.7000000000000001E-2</v>
      </c>
      <c r="I86" s="228">
        <v>647.4</v>
      </c>
      <c r="J86" s="228">
        <v>634.5</v>
      </c>
      <c r="K86" s="228">
        <v>12.9</v>
      </c>
      <c r="L86" s="229">
        <v>2.0299999999999999E-2</v>
      </c>
      <c r="M86" s="228">
        <v>646.54999999999995</v>
      </c>
      <c r="N86" s="228">
        <v>636</v>
      </c>
      <c r="O86" s="228">
        <v>10.55</v>
      </c>
      <c r="P86" s="229">
        <v>1.66E-2</v>
      </c>
      <c r="Q86" s="228">
        <v>650.70000000000005</v>
      </c>
      <c r="R86" s="228">
        <v>639.79999999999995</v>
      </c>
      <c r="S86" s="228">
        <v>10.9</v>
      </c>
      <c r="T86" s="229">
        <v>1.7000000000000001E-2</v>
      </c>
      <c r="U86" s="228">
        <v>654.95000000000005</v>
      </c>
      <c r="V86" s="228">
        <v>644.15</v>
      </c>
      <c r="W86" s="228">
        <v>10.8</v>
      </c>
      <c r="X86" s="229">
        <v>1.6799999999999999E-2</v>
      </c>
      <c r="Y86" s="228">
        <v>3.3</v>
      </c>
      <c r="Z86" s="228">
        <v>1.5</v>
      </c>
      <c r="AA86" s="228">
        <v>1.8</v>
      </c>
      <c r="AB86" s="229">
        <v>5.1000000000000004E-3</v>
      </c>
      <c r="AC86" s="228">
        <v>-0.85</v>
      </c>
      <c r="AD86" s="228">
        <v>1.5</v>
      </c>
      <c r="AE86" s="228">
        <v>-2.35</v>
      </c>
      <c r="AF86" s="229">
        <v>-1.2999999999999999E-3</v>
      </c>
      <c r="AG86" s="228">
        <v>3.3</v>
      </c>
      <c r="AH86" s="228">
        <v>5.3</v>
      </c>
      <c r="AI86" s="228">
        <v>-2</v>
      </c>
      <c r="AJ86" s="229">
        <v>5.1000000000000004E-3</v>
      </c>
      <c r="AK86" s="228">
        <v>7.55</v>
      </c>
      <c r="AL86" s="228">
        <v>9.65</v>
      </c>
      <c r="AM86" s="228">
        <v>-2.1</v>
      </c>
      <c r="AN86" s="229">
        <v>1.17E-2</v>
      </c>
      <c r="AO86" s="228">
        <v>643.45000000000005</v>
      </c>
      <c r="AP86" s="228">
        <v>647.67999999999995</v>
      </c>
      <c r="AQ86" s="228">
        <v>0</v>
      </c>
      <c r="AR86" s="230">
        <v>23349725</v>
      </c>
      <c r="AS86" s="230">
        <v>20010375</v>
      </c>
      <c r="AT86" s="230">
        <v>3339350</v>
      </c>
      <c r="AU86" s="229">
        <v>0.16689999999999999</v>
      </c>
      <c r="AV86" s="230">
        <v>10946600</v>
      </c>
      <c r="AW86" s="230">
        <v>9365125</v>
      </c>
      <c r="AX86" s="230">
        <v>1581475</v>
      </c>
      <c r="AY86" s="229">
        <v>0.16889999999999999</v>
      </c>
      <c r="AZ86" s="230">
        <v>12242650</v>
      </c>
      <c r="BA86" s="230">
        <v>10550925</v>
      </c>
      <c r="BB86" s="230">
        <v>1691725</v>
      </c>
      <c r="BC86" s="229">
        <v>0.1603</v>
      </c>
      <c r="BD86" s="230">
        <v>160475</v>
      </c>
      <c r="BE86" s="230">
        <v>94325</v>
      </c>
      <c r="BF86" s="230">
        <v>66150</v>
      </c>
      <c r="BG86" s="229">
        <v>0.70130000000000003</v>
      </c>
      <c r="BH86" s="230">
        <v>25968775</v>
      </c>
      <c r="BI86" s="230">
        <v>40741050</v>
      </c>
      <c r="BJ86" s="230">
        <v>-14772275</v>
      </c>
      <c r="BK86" s="229">
        <v>-0.36259999999999998</v>
      </c>
      <c r="BL86" s="230">
        <v>12819625</v>
      </c>
      <c r="BM86" s="230">
        <v>14004200</v>
      </c>
      <c r="BN86" s="230">
        <v>-1184575</v>
      </c>
      <c r="BO86" s="229">
        <v>-8.4599999999999995E-2</v>
      </c>
      <c r="BP86" s="230">
        <v>62138125</v>
      </c>
      <c r="BQ86" s="230">
        <v>74755625</v>
      </c>
      <c r="BR86" s="230">
        <v>-12617500</v>
      </c>
      <c r="BS86" s="229">
        <v>-0.16880000000000001</v>
      </c>
      <c r="BT86" s="230">
        <v>8296824</v>
      </c>
      <c r="BU86" s="230">
        <v>3320524</v>
      </c>
      <c r="BV86" s="230">
        <v>4976300</v>
      </c>
      <c r="BW86" s="229">
        <v>1.4985999999999999</v>
      </c>
      <c r="BX86" s="230">
        <v>32970875</v>
      </c>
      <c r="BY86" s="230">
        <v>37160375</v>
      </c>
      <c r="BZ86" s="230">
        <v>-4189500</v>
      </c>
      <c r="CA86" s="229">
        <v>-0.11269999999999999</v>
      </c>
      <c r="CB86" s="230">
        <v>3020850</v>
      </c>
      <c r="CC86" s="230">
        <v>11669350</v>
      </c>
      <c r="CD86" s="230">
        <v>-8648500</v>
      </c>
      <c r="CE86" s="229">
        <v>-0.74109999999999998</v>
      </c>
      <c r="CF86" s="230">
        <v>32493125</v>
      </c>
      <c r="CG86" s="230">
        <v>25079425</v>
      </c>
      <c r="CH86" s="230">
        <v>7413700</v>
      </c>
      <c r="CI86" s="229">
        <v>0.29559999999999997</v>
      </c>
      <c r="CJ86" s="230">
        <v>477750</v>
      </c>
      <c r="CK86" s="230">
        <v>411600</v>
      </c>
      <c r="CL86" s="230">
        <v>66150</v>
      </c>
      <c r="CM86" s="229">
        <v>0.16070000000000001</v>
      </c>
      <c r="CN86" s="230">
        <v>10576650</v>
      </c>
      <c r="CO86" s="230">
        <v>21916475</v>
      </c>
      <c r="CP86" s="230">
        <v>-11339825</v>
      </c>
      <c r="CQ86" s="229">
        <v>-0.51739999999999997</v>
      </c>
      <c r="CR86" s="230">
        <v>7380625</v>
      </c>
      <c r="CS86" s="230">
        <v>15965425</v>
      </c>
      <c r="CT86" s="230">
        <v>-8584800</v>
      </c>
      <c r="CU86" s="229">
        <v>-0.53769999999999996</v>
      </c>
      <c r="CV86" s="230">
        <v>50928150</v>
      </c>
      <c r="CW86" s="230">
        <v>75042275</v>
      </c>
      <c r="CX86" s="230">
        <v>-24114125</v>
      </c>
      <c r="CY86" s="229">
        <v>-0.32129999999999997</v>
      </c>
      <c r="CZ86" s="228">
        <v>29.21</v>
      </c>
      <c r="DA86" s="228">
        <v>29.72</v>
      </c>
      <c r="DB86" s="228">
        <v>-0.51</v>
      </c>
      <c r="DC86" s="228">
        <v>-0.51</v>
      </c>
      <c r="DD86" s="228">
        <v>49.58</v>
      </c>
      <c r="DE86" s="228">
        <v>49.65</v>
      </c>
      <c r="DF86" s="228">
        <v>-20.37</v>
      </c>
      <c r="DG86" s="228">
        <v>-7.0000000000000007E-2</v>
      </c>
      <c r="DH86" s="228">
        <v>28.86</v>
      </c>
      <c r="DI86" s="228">
        <v>29.91</v>
      </c>
      <c r="DJ86" s="228">
        <v>-1.05</v>
      </c>
      <c r="DK86" s="228">
        <v>-1.05</v>
      </c>
      <c r="DL86" s="228">
        <v>29.93</v>
      </c>
      <c r="DM86" s="228">
        <v>29.4</v>
      </c>
      <c r="DN86" s="228">
        <v>0.53</v>
      </c>
      <c r="DO86" s="228">
        <v>0.53</v>
      </c>
      <c r="DP86" s="228">
        <v>0.7</v>
      </c>
      <c r="DQ86" s="228">
        <v>0.73</v>
      </c>
      <c r="DR86" s="228">
        <v>-0.03</v>
      </c>
      <c r="DS86" s="229">
        <v>-4.1099999999999998E-2</v>
      </c>
      <c r="DT86" s="228">
        <v>700</v>
      </c>
      <c r="DU86" s="228">
        <v>600</v>
      </c>
      <c r="DV86" s="228">
        <v>0.49</v>
      </c>
      <c r="DW86" s="228">
        <v>0.34</v>
      </c>
      <c r="DX86" s="228">
        <v>0.15</v>
      </c>
      <c r="DY86" s="229">
        <v>0.44119999999999998</v>
      </c>
      <c r="DZ86" s="229">
        <v>0.91610000000000003</v>
      </c>
      <c r="EA86" s="230">
        <v>25491025</v>
      </c>
      <c r="EB86" s="229">
        <v>6.4000000000000003E-3</v>
      </c>
      <c r="EC86" s="229">
        <v>0.91610000000000003</v>
      </c>
      <c r="ED86" s="228">
        <v>4.2300000000000004</v>
      </c>
      <c r="EE86" s="229">
        <v>6.6E-3</v>
      </c>
      <c r="EF86" s="230">
        <v>4544003</v>
      </c>
      <c r="EG86" s="230">
        <v>1674305</v>
      </c>
      <c r="EH86" s="229">
        <v>1.714</v>
      </c>
      <c r="EI86" s="229">
        <v>0.54769999999999996</v>
      </c>
      <c r="EJ86" s="231">
        <v>174304.37</v>
      </c>
      <c r="EK86" s="231">
        <v>80718.36</v>
      </c>
      <c r="EL86" s="231">
        <v>150774.68</v>
      </c>
      <c r="EM86" s="231">
        <v>10310</v>
      </c>
      <c r="EN86" s="231">
        <v>405797.41</v>
      </c>
      <c r="EO86" s="231">
        <v>484330.21</v>
      </c>
      <c r="EP86" s="231">
        <v>-78532.800000000003</v>
      </c>
      <c r="EQ86" s="229">
        <v>-0.16209999999999999</v>
      </c>
      <c r="ER86" s="231">
        <v>71479</v>
      </c>
      <c r="ES86" s="231">
        <v>45672</v>
      </c>
      <c r="ET86" s="231">
        <v>214562</v>
      </c>
      <c r="EU86" s="231">
        <v>241870587</v>
      </c>
      <c r="EV86" s="231">
        <v>331712</v>
      </c>
      <c r="EW86" s="231">
        <v>480703</v>
      </c>
      <c r="EX86" s="231">
        <v>-148991</v>
      </c>
      <c r="EY86" s="229">
        <v>-0.30990000000000001</v>
      </c>
      <c r="EZ86" s="229">
        <v>0.21060000000000001</v>
      </c>
      <c r="FA86" s="227" t="s">
        <v>691</v>
      </c>
      <c r="FB86" s="161">
        <f t="shared" si="1"/>
        <v>29950025</v>
      </c>
    </row>
    <row r="87" spans="1:158" ht="17.25" thickBot="1" x14ac:dyDescent="0.3">
      <c r="A87" s="226">
        <v>46168</v>
      </c>
      <c r="B87" s="227" t="s">
        <v>162</v>
      </c>
      <c r="C87" s="227" t="s">
        <v>692</v>
      </c>
      <c r="D87" s="228">
        <v>275</v>
      </c>
      <c r="E87" s="231">
        <v>1897.4</v>
      </c>
      <c r="F87" s="231">
        <v>1891.2</v>
      </c>
      <c r="G87" s="228">
        <v>6.2</v>
      </c>
      <c r="H87" s="229">
        <v>3.3E-3</v>
      </c>
      <c r="I87" s="231">
        <v>1884</v>
      </c>
      <c r="J87" s="231">
        <v>1880.9</v>
      </c>
      <c r="K87" s="228">
        <v>3.1</v>
      </c>
      <c r="L87" s="229">
        <v>1.6000000000000001E-3</v>
      </c>
      <c r="M87" s="231">
        <v>1883.1</v>
      </c>
      <c r="N87" s="231">
        <v>1882.5</v>
      </c>
      <c r="O87" s="228">
        <v>0.6</v>
      </c>
      <c r="P87" s="229">
        <v>2.9999999999999997E-4</v>
      </c>
      <c r="Q87" s="231">
        <v>1897.4</v>
      </c>
      <c r="R87" s="231">
        <v>1891.2</v>
      </c>
      <c r="S87" s="228">
        <v>6.2</v>
      </c>
      <c r="T87" s="229">
        <v>3.3E-3</v>
      </c>
      <c r="U87" s="231">
        <v>1892.8</v>
      </c>
      <c r="V87" s="231">
        <v>1885</v>
      </c>
      <c r="W87" s="228">
        <v>7.8</v>
      </c>
      <c r="X87" s="229">
        <v>4.1000000000000003E-3</v>
      </c>
      <c r="Y87" s="228">
        <v>13.4</v>
      </c>
      <c r="Z87" s="228">
        <v>1.6</v>
      </c>
      <c r="AA87" s="228">
        <v>11.8</v>
      </c>
      <c r="AB87" s="229">
        <v>7.1000000000000004E-3</v>
      </c>
      <c r="AC87" s="228">
        <v>-0.9</v>
      </c>
      <c r="AD87" s="228">
        <v>1.6</v>
      </c>
      <c r="AE87" s="228">
        <v>-2.5</v>
      </c>
      <c r="AF87" s="229">
        <v>-5.0000000000000001E-4</v>
      </c>
      <c r="AG87" s="228">
        <v>13.4</v>
      </c>
      <c r="AH87" s="228">
        <v>10.3</v>
      </c>
      <c r="AI87" s="228">
        <v>3.1</v>
      </c>
      <c r="AJ87" s="229">
        <v>7.1000000000000004E-3</v>
      </c>
      <c r="AK87" s="228">
        <v>8.8000000000000007</v>
      </c>
      <c r="AL87" s="228">
        <v>4.0999999999999996</v>
      </c>
      <c r="AM87" s="228">
        <v>4.7</v>
      </c>
      <c r="AN87" s="229">
        <v>4.7000000000000002E-3</v>
      </c>
      <c r="AO87" s="231">
        <v>1876.39</v>
      </c>
      <c r="AP87" s="231">
        <v>1889.35</v>
      </c>
      <c r="AQ87" s="228">
        <v>0</v>
      </c>
      <c r="AR87" s="230">
        <v>3466925</v>
      </c>
      <c r="AS87" s="230">
        <v>8355600</v>
      </c>
      <c r="AT87" s="230">
        <v>-4888675</v>
      </c>
      <c r="AU87" s="229">
        <v>-0.58509999999999995</v>
      </c>
      <c r="AV87" s="230">
        <v>1340075</v>
      </c>
      <c r="AW87" s="230">
        <v>3941300</v>
      </c>
      <c r="AX87" s="230">
        <v>-2601225</v>
      </c>
      <c r="AY87" s="229">
        <v>-0.66</v>
      </c>
      <c r="AZ87" s="230">
        <v>2109250</v>
      </c>
      <c r="BA87" s="230">
        <v>4370025</v>
      </c>
      <c r="BB87" s="230">
        <v>-2260775</v>
      </c>
      <c r="BC87" s="229">
        <v>-0.51729999999999998</v>
      </c>
      <c r="BD87" s="230">
        <v>17600</v>
      </c>
      <c r="BE87" s="230">
        <v>44275</v>
      </c>
      <c r="BF87" s="230">
        <v>-26675</v>
      </c>
      <c r="BG87" s="229">
        <v>-0.60250000000000004</v>
      </c>
      <c r="BH87" s="230">
        <v>965525</v>
      </c>
      <c r="BI87" s="230">
        <v>3872825</v>
      </c>
      <c r="BJ87" s="230">
        <v>-2907300</v>
      </c>
      <c r="BK87" s="229">
        <v>-0.75070000000000003</v>
      </c>
      <c r="BL87" s="230">
        <v>346500</v>
      </c>
      <c r="BM87" s="230">
        <v>1184700</v>
      </c>
      <c r="BN87" s="230">
        <v>-838200</v>
      </c>
      <c r="BO87" s="229">
        <v>-0.70750000000000002</v>
      </c>
      <c r="BP87" s="230">
        <v>4778950</v>
      </c>
      <c r="BQ87" s="230">
        <v>13413125</v>
      </c>
      <c r="BR87" s="230">
        <v>-8634175</v>
      </c>
      <c r="BS87" s="229">
        <v>-0.64370000000000005</v>
      </c>
      <c r="BT87" s="230">
        <v>1178217</v>
      </c>
      <c r="BU87" s="230">
        <v>1407989</v>
      </c>
      <c r="BV87" s="230">
        <v>-229772</v>
      </c>
      <c r="BW87" s="229">
        <v>-0.16320000000000001</v>
      </c>
      <c r="BX87" s="230">
        <v>10848475</v>
      </c>
      <c r="BY87" s="230">
        <v>12022725</v>
      </c>
      <c r="BZ87" s="230">
        <v>-1174250</v>
      </c>
      <c r="CA87" s="229">
        <v>-9.7699999999999995E-2</v>
      </c>
      <c r="CB87" s="230">
        <v>463925</v>
      </c>
      <c r="CC87" s="230">
        <v>1534500</v>
      </c>
      <c r="CD87" s="230">
        <v>-1070575</v>
      </c>
      <c r="CE87" s="229">
        <v>-0.69769999999999999</v>
      </c>
      <c r="CF87" s="230">
        <v>10760200</v>
      </c>
      <c r="CG87" s="230">
        <v>10409300</v>
      </c>
      <c r="CH87" s="230">
        <v>350900</v>
      </c>
      <c r="CI87" s="229">
        <v>3.3700000000000001E-2</v>
      </c>
      <c r="CJ87" s="230">
        <v>88275</v>
      </c>
      <c r="CK87" s="230">
        <v>78925</v>
      </c>
      <c r="CL87" s="230">
        <v>9350</v>
      </c>
      <c r="CM87" s="229">
        <v>0.11849999999999999</v>
      </c>
      <c r="CN87" s="230">
        <v>311575</v>
      </c>
      <c r="CO87" s="230">
        <v>1226775</v>
      </c>
      <c r="CP87" s="230">
        <v>-915200</v>
      </c>
      <c r="CQ87" s="229">
        <v>-0.746</v>
      </c>
      <c r="CR87" s="230">
        <v>227975</v>
      </c>
      <c r="CS87" s="230">
        <v>933625</v>
      </c>
      <c r="CT87" s="230">
        <v>-705650</v>
      </c>
      <c r="CU87" s="229">
        <v>-0.75580000000000003</v>
      </c>
      <c r="CV87" s="230">
        <v>11388025</v>
      </c>
      <c r="CW87" s="230">
        <v>14183125</v>
      </c>
      <c r="CX87" s="230">
        <v>-2795100</v>
      </c>
      <c r="CY87" s="229">
        <v>-0.1971</v>
      </c>
      <c r="CZ87" s="228">
        <v>32.869999999999997</v>
      </c>
      <c r="DA87" s="228">
        <v>33.46</v>
      </c>
      <c r="DB87" s="228">
        <v>-0.59</v>
      </c>
      <c r="DC87" s="228">
        <v>-0.59</v>
      </c>
      <c r="DD87" s="228">
        <v>34.19</v>
      </c>
      <c r="DE87" s="228">
        <v>34.28</v>
      </c>
      <c r="DF87" s="228">
        <v>-1.32</v>
      </c>
      <c r="DG87" s="228">
        <v>-0.09</v>
      </c>
      <c r="DH87" s="228">
        <v>32.47</v>
      </c>
      <c r="DI87" s="228">
        <v>33.29</v>
      </c>
      <c r="DJ87" s="228">
        <v>-0.82</v>
      </c>
      <c r="DK87" s="228">
        <v>-0.82</v>
      </c>
      <c r="DL87" s="228">
        <v>33.78</v>
      </c>
      <c r="DM87" s="228">
        <v>33.770000000000003</v>
      </c>
      <c r="DN87" s="228">
        <v>0.01</v>
      </c>
      <c r="DO87" s="228">
        <v>0.01</v>
      </c>
      <c r="DP87" s="228">
        <v>0.73</v>
      </c>
      <c r="DQ87" s="228">
        <v>0.76</v>
      </c>
      <c r="DR87" s="228">
        <v>-0.03</v>
      </c>
      <c r="DS87" s="229">
        <v>-3.95E-2</v>
      </c>
      <c r="DT87" s="231">
        <v>1940</v>
      </c>
      <c r="DU87" s="231">
        <v>1700</v>
      </c>
      <c r="DV87" s="228">
        <v>0.36</v>
      </c>
      <c r="DW87" s="228">
        <v>0.31</v>
      </c>
      <c r="DX87" s="228">
        <v>0.05</v>
      </c>
      <c r="DY87" s="229">
        <v>0.1613</v>
      </c>
      <c r="DZ87" s="229">
        <v>0.95899999999999996</v>
      </c>
      <c r="EA87" s="230">
        <v>10488225</v>
      </c>
      <c r="EB87" s="229">
        <v>7.6E-3</v>
      </c>
      <c r="EC87" s="229">
        <v>0.95899999999999996</v>
      </c>
      <c r="ED87" s="228">
        <v>12.96</v>
      </c>
      <c r="EE87" s="229">
        <v>6.8999999999999999E-3</v>
      </c>
      <c r="EF87" s="230">
        <v>643413</v>
      </c>
      <c r="EG87" s="230">
        <v>774377</v>
      </c>
      <c r="EH87" s="229">
        <v>-0.1691</v>
      </c>
      <c r="EI87" s="229">
        <v>0.54610000000000003</v>
      </c>
      <c r="EJ87" s="231">
        <v>18679.36</v>
      </c>
      <c r="EK87" s="231">
        <v>6401.22</v>
      </c>
      <c r="EL87" s="231">
        <v>65327.8</v>
      </c>
      <c r="EM87" s="231">
        <v>24253</v>
      </c>
      <c r="EN87" s="231">
        <v>90408.38</v>
      </c>
      <c r="EO87" s="231">
        <v>254727.4</v>
      </c>
      <c r="EP87" s="231">
        <v>-164319.01999999999</v>
      </c>
      <c r="EQ87" s="229">
        <v>-0.64510000000000001</v>
      </c>
      <c r="ER87" s="231">
        <v>5980</v>
      </c>
      <c r="ES87" s="231">
        <v>3945</v>
      </c>
      <c r="ET87" s="231">
        <v>205835</v>
      </c>
      <c r="EU87" s="231">
        <v>21329205</v>
      </c>
      <c r="EV87" s="231">
        <v>215760</v>
      </c>
      <c r="EW87" s="231">
        <v>267253</v>
      </c>
      <c r="EX87" s="231">
        <v>-51493</v>
      </c>
      <c r="EY87" s="229">
        <v>-0.19270000000000001</v>
      </c>
      <c r="EZ87" s="229">
        <v>0.53390000000000004</v>
      </c>
      <c r="FA87" s="227" t="s">
        <v>691</v>
      </c>
      <c r="FB87" s="161">
        <f t="shared" si="1"/>
        <v>10384550</v>
      </c>
    </row>
    <row r="88" spans="1:158" ht="17.25" thickBot="1" x14ac:dyDescent="0.3">
      <c r="A88" s="226">
        <v>46168</v>
      </c>
      <c r="B88" s="227" t="s">
        <v>172</v>
      </c>
      <c r="C88" s="227" t="s">
        <v>232</v>
      </c>
      <c r="D88" s="228">
        <v>700</v>
      </c>
      <c r="E88" s="231">
        <v>1290.2</v>
      </c>
      <c r="F88" s="231">
        <v>1300.3</v>
      </c>
      <c r="G88" s="228">
        <v>-10.1</v>
      </c>
      <c r="H88" s="229">
        <v>-7.7999999999999996E-3</v>
      </c>
      <c r="I88" s="231">
        <v>1279.0999999999999</v>
      </c>
      <c r="J88" s="231">
        <v>1291.8</v>
      </c>
      <c r="K88" s="228">
        <v>-12.7</v>
      </c>
      <c r="L88" s="229">
        <v>-9.7999999999999997E-3</v>
      </c>
      <c r="M88" s="231">
        <v>1279.4000000000001</v>
      </c>
      <c r="N88" s="231">
        <v>1290.9000000000001</v>
      </c>
      <c r="O88" s="228">
        <v>-11.5</v>
      </c>
      <c r="P88" s="229">
        <v>-8.8999999999999999E-3</v>
      </c>
      <c r="Q88" s="231">
        <v>1290.2</v>
      </c>
      <c r="R88" s="231">
        <v>1300.3</v>
      </c>
      <c r="S88" s="228">
        <v>-10.1</v>
      </c>
      <c r="T88" s="229">
        <v>-7.7999999999999996E-3</v>
      </c>
      <c r="U88" s="231">
        <v>1295.9000000000001</v>
      </c>
      <c r="V88" s="231">
        <v>1308.5999999999999</v>
      </c>
      <c r="W88" s="228">
        <v>-12.7</v>
      </c>
      <c r="X88" s="229">
        <v>-9.7000000000000003E-3</v>
      </c>
      <c r="Y88" s="228">
        <v>11.1</v>
      </c>
      <c r="Z88" s="228">
        <v>-0.9</v>
      </c>
      <c r="AA88" s="228">
        <v>12</v>
      </c>
      <c r="AB88" s="229">
        <v>8.6999999999999994E-3</v>
      </c>
      <c r="AC88" s="228">
        <v>0.3</v>
      </c>
      <c r="AD88" s="228">
        <v>-0.9</v>
      </c>
      <c r="AE88" s="228">
        <v>1.2</v>
      </c>
      <c r="AF88" s="229">
        <v>2.0000000000000001E-4</v>
      </c>
      <c r="AG88" s="228">
        <v>11.1</v>
      </c>
      <c r="AH88" s="228">
        <v>8.5</v>
      </c>
      <c r="AI88" s="228">
        <v>2.6</v>
      </c>
      <c r="AJ88" s="229">
        <v>8.6999999999999994E-3</v>
      </c>
      <c r="AK88" s="228">
        <v>16.8</v>
      </c>
      <c r="AL88" s="228">
        <v>16.8</v>
      </c>
      <c r="AM88" s="228">
        <v>0</v>
      </c>
      <c r="AN88" s="229">
        <v>1.3100000000000001E-2</v>
      </c>
      <c r="AO88" s="231">
        <v>1289.1500000000001</v>
      </c>
      <c r="AP88" s="231">
        <v>1299.4100000000001</v>
      </c>
      <c r="AQ88" s="228">
        <v>0</v>
      </c>
      <c r="AR88" s="230">
        <v>46399500</v>
      </c>
      <c r="AS88" s="230">
        <v>62596800</v>
      </c>
      <c r="AT88" s="230">
        <v>-16197300</v>
      </c>
      <c r="AU88" s="229">
        <v>-0.25879999999999997</v>
      </c>
      <c r="AV88" s="230">
        <v>20669600</v>
      </c>
      <c r="AW88" s="230">
        <v>30868600</v>
      </c>
      <c r="AX88" s="230">
        <v>-10199000</v>
      </c>
      <c r="AY88" s="229">
        <v>-0.33040000000000003</v>
      </c>
      <c r="AZ88" s="230">
        <v>25273500</v>
      </c>
      <c r="BA88" s="230">
        <v>31418100</v>
      </c>
      <c r="BB88" s="230">
        <v>-6144600</v>
      </c>
      <c r="BC88" s="229">
        <v>-0.1956</v>
      </c>
      <c r="BD88" s="230">
        <v>456400</v>
      </c>
      <c r="BE88" s="230">
        <v>310100</v>
      </c>
      <c r="BF88" s="230">
        <v>146300</v>
      </c>
      <c r="BG88" s="229">
        <v>0.4718</v>
      </c>
      <c r="BH88" s="230">
        <v>42226800</v>
      </c>
      <c r="BI88" s="230">
        <v>80275300</v>
      </c>
      <c r="BJ88" s="230">
        <v>-38048500</v>
      </c>
      <c r="BK88" s="229">
        <v>-0.47399999999999998</v>
      </c>
      <c r="BL88" s="230">
        <v>28897400</v>
      </c>
      <c r="BM88" s="230">
        <v>47154100</v>
      </c>
      <c r="BN88" s="230">
        <v>-18256700</v>
      </c>
      <c r="BO88" s="229">
        <v>-0.38719999999999999</v>
      </c>
      <c r="BP88" s="230">
        <v>117523700</v>
      </c>
      <c r="BQ88" s="230">
        <v>190026200</v>
      </c>
      <c r="BR88" s="230">
        <v>-72502500</v>
      </c>
      <c r="BS88" s="229">
        <v>-0.38150000000000001</v>
      </c>
      <c r="BT88" s="230">
        <v>18565338</v>
      </c>
      <c r="BU88" s="230">
        <v>14277779</v>
      </c>
      <c r="BV88" s="230">
        <v>4287559</v>
      </c>
      <c r="BW88" s="229">
        <v>0.30030000000000001</v>
      </c>
      <c r="BX88" s="230">
        <v>157894800</v>
      </c>
      <c r="BY88" s="230">
        <v>165757900</v>
      </c>
      <c r="BZ88" s="230">
        <v>-7863100</v>
      </c>
      <c r="CA88" s="229">
        <v>-4.7399999999999998E-2</v>
      </c>
      <c r="CB88" s="230">
        <v>15957200</v>
      </c>
      <c r="CC88" s="230">
        <v>22606500</v>
      </c>
      <c r="CD88" s="230">
        <v>-6649300</v>
      </c>
      <c r="CE88" s="229">
        <v>-0.29409999999999997</v>
      </c>
      <c r="CF88" s="230">
        <v>152499200</v>
      </c>
      <c r="CG88" s="230">
        <v>137953200</v>
      </c>
      <c r="CH88" s="230">
        <v>14546000</v>
      </c>
      <c r="CI88" s="229">
        <v>0.10539999999999999</v>
      </c>
      <c r="CJ88" s="230">
        <v>5395600</v>
      </c>
      <c r="CK88" s="230">
        <v>5198200</v>
      </c>
      <c r="CL88" s="230">
        <v>197400</v>
      </c>
      <c r="CM88" s="229">
        <v>3.7999999999999999E-2</v>
      </c>
      <c r="CN88" s="230">
        <v>12620300</v>
      </c>
      <c r="CO88" s="230">
        <v>33882100</v>
      </c>
      <c r="CP88" s="230">
        <v>-21261800</v>
      </c>
      <c r="CQ88" s="229">
        <v>-0.62749999999999995</v>
      </c>
      <c r="CR88" s="230">
        <v>13486200</v>
      </c>
      <c r="CS88" s="230">
        <v>25811100</v>
      </c>
      <c r="CT88" s="230">
        <v>-12324900</v>
      </c>
      <c r="CU88" s="229">
        <v>-0.47749999999999998</v>
      </c>
      <c r="CV88" s="230">
        <v>184001300</v>
      </c>
      <c r="CW88" s="230">
        <v>225451100</v>
      </c>
      <c r="CX88" s="230">
        <v>-41449800</v>
      </c>
      <c r="CY88" s="229">
        <v>-0.18390000000000001</v>
      </c>
      <c r="CZ88" s="228">
        <v>17.82</v>
      </c>
      <c r="DA88" s="228">
        <v>18.77</v>
      </c>
      <c r="DB88" s="228">
        <v>-0.95</v>
      </c>
      <c r="DC88" s="228">
        <v>-0.95</v>
      </c>
      <c r="DD88" s="228">
        <v>23.97</v>
      </c>
      <c r="DE88" s="228">
        <v>23.99</v>
      </c>
      <c r="DF88" s="228">
        <v>-6.15</v>
      </c>
      <c r="DG88" s="228">
        <v>-0.02</v>
      </c>
      <c r="DH88" s="228">
        <v>17.93</v>
      </c>
      <c r="DI88" s="228">
        <v>18.62</v>
      </c>
      <c r="DJ88" s="228">
        <v>-0.69</v>
      </c>
      <c r="DK88" s="228">
        <v>-0.69</v>
      </c>
      <c r="DL88" s="228">
        <v>17.670000000000002</v>
      </c>
      <c r="DM88" s="228">
        <v>19.010000000000002</v>
      </c>
      <c r="DN88" s="228">
        <v>-1.34</v>
      </c>
      <c r="DO88" s="228">
        <v>-1.34</v>
      </c>
      <c r="DP88" s="228">
        <v>1.07</v>
      </c>
      <c r="DQ88" s="228">
        <v>0.76</v>
      </c>
      <c r="DR88" s="228">
        <v>0.31</v>
      </c>
      <c r="DS88" s="229">
        <v>0.40789999999999998</v>
      </c>
      <c r="DT88" s="231">
        <v>1300</v>
      </c>
      <c r="DU88" s="231">
        <v>1300</v>
      </c>
      <c r="DV88" s="228">
        <v>0.68</v>
      </c>
      <c r="DW88" s="228">
        <v>0.59</v>
      </c>
      <c r="DX88" s="228">
        <v>0.09</v>
      </c>
      <c r="DY88" s="229">
        <v>0.1525</v>
      </c>
      <c r="DZ88" s="229">
        <v>0.90820000000000001</v>
      </c>
      <c r="EA88" s="230">
        <v>143151400</v>
      </c>
      <c r="EB88" s="229">
        <v>8.3999999999999995E-3</v>
      </c>
      <c r="EC88" s="229">
        <v>0.90820000000000001</v>
      </c>
      <c r="ED88" s="228">
        <v>10.26</v>
      </c>
      <c r="EE88" s="229">
        <v>8.0000000000000002E-3</v>
      </c>
      <c r="EF88" s="230">
        <v>8095905</v>
      </c>
      <c r="EG88" s="230">
        <v>9952022</v>
      </c>
      <c r="EH88" s="229">
        <v>-0.1865</v>
      </c>
      <c r="EI88" s="229">
        <v>0.43609999999999999</v>
      </c>
      <c r="EJ88" s="231">
        <v>564306.25</v>
      </c>
      <c r="EK88" s="231">
        <v>376347.64</v>
      </c>
      <c r="EL88" s="231">
        <v>600826.03</v>
      </c>
      <c r="EM88" s="231">
        <v>81605</v>
      </c>
      <c r="EN88" s="231">
        <v>1541479.92</v>
      </c>
      <c r="EO88" s="231">
        <v>2455153.9</v>
      </c>
      <c r="EP88" s="231">
        <v>-913673.98</v>
      </c>
      <c r="EQ88" s="229">
        <v>-0.37209999999999999</v>
      </c>
      <c r="ER88" s="231">
        <v>166562</v>
      </c>
      <c r="ES88" s="231">
        <v>172914</v>
      </c>
      <c r="ET88" s="231">
        <v>2037466</v>
      </c>
      <c r="EU88" s="231">
        <v>668616020</v>
      </c>
      <c r="EV88" s="231">
        <v>2376942</v>
      </c>
      <c r="EW88" s="231">
        <v>2929853</v>
      </c>
      <c r="EX88" s="231">
        <v>-552911</v>
      </c>
      <c r="EY88" s="229">
        <v>-0.18870000000000001</v>
      </c>
      <c r="EZ88" s="229">
        <v>0.2752</v>
      </c>
      <c r="FA88" s="227" t="s">
        <v>567</v>
      </c>
      <c r="FB88" s="161">
        <f t="shared" si="1"/>
        <v>141937600</v>
      </c>
    </row>
    <row r="89" spans="1:158" ht="17.25" thickBot="1" x14ac:dyDescent="0.3">
      <c r="A89" s="226">
        <v>46168</v>
      </c>
      <c r="B89" s="227" t="s">
        <v>175</v>
      </c>
      <c r="C89" s="227" t="s">
        <v>472</v>
      </c>
      <c r="D89" s="228">
        <v>325</v>
      </c>
      <c r="E89" s="231">
        <v>1866.6</v>
      </c>
      <c r="F89" s="231">
        <v>1862.9</v>
      </c>
      <c r="G89" s="228">
        <v>3.7</v>
      </c>
      <c r="H89" s="229">
        <v>2E-3</v>
      </c>
      <c r="I89" s="231">
        <v>1860.3</v>
      </c>
      <c r="J89" s="231">
        <v>1854.3</v>
      </c>
      <c r="K89" s="228">
        <v>6</v>
      </c>
      <c r="L89" s="229">
        <v>3.2000000000000002E-3</v>
      </c>
      <c r="M89" s="231">
        <v>1864.9</v>
      </c>
      <c r="N89" s="231">
        <v>1858.1</v>
      </c>
      <c r="O89" s="228">
        <v>6.8</v>
      </c>
      <c r="P89" s="229">
        <v>3.7000000000000002E-3</v>
      </c>
      <c r="Q89" s="231">
        <v>1866.6</v>
      </c>
      <c r="R89" s="231">
        <v>1862.9</v>
      </c>
      <c r="S89" s="228">
        <v>3.7</v>
      </c>
      <c r="T89" s="229">
        <v>2E-3</v>
      </c>
      <c r="U89" s="231">
        <v>1874</v>
      </c>
      <c r="V89" s="231">
        <v>1875</v>
      </c>
      <c r="W89" s="228">
        <v>-1</v>
      </c>
      <c r="X89" s="229">
        <v>-5.0000000000000001E-4</v>
      </c>
      <c r="Y89" s="228">
        <v>6.3</v>
      </c>
      <c r="Z89" s="228">
        <v>3.8</v>
      </c>
      <c r="AA89" s="228">
        <v>2.5</v>
      </c>
      <c r="AB89" s="229">
        <v>3.3999999999999998E-3</v>
      </c>
      <c r="AC89" s="228">
        <v>4.5999999999999996</v>
      </c>
      <c r="AD89" s="228">
        <v>3.8</v>
      </c>
      <c r="AE89" s="228">
        <v>0.8</v>
      </c>
      <c r="AF89" s="229">
        <v>2.5000000000000001E-3</v>
      </c>
      <c r="AG89" s="228">
        <v>6.3</v>
      </c>
      <c r="AH89" s="228">
        <v>8.6</v>
      </c>
      <c r="AI89" s="228">
        <v>-2.2999999999999998</v>
      </c>
      <c r="AJ89" s="229">
        <v>3.3999999999999998E-3</v>
      </c>
      <c r="AK89" s="228">
        <v>13.7</v>
      </c>
      <c r="AL89" s="228">
        <v>20.7</v>
      </c>
      <c r="AM89" s="228">
        <v>-7</v>
      </c>
      <c r="AN89" s="229">
        <v>7.4000000000000003E-3</v>
      </c>
      <c r="AO89" s="231">
        <v>1869.87</v>
      </c>
      <c r="AP89" s="231">
        <v>1871.66</v>
      </c>
      <c r="AQ89" s="228">
        <v>0</v>
      </c>
      <c r="AR89" s="230">
        <v>1165125</v>
      </c>
      <c r="AS89" s="230">
        <v>2363400</v>
      </c>
      <c r="AT89" s="230">
        <v>-1198275</v>
      </c>
      <c r="AU89" s="229">
        <v>-0.50700000000000001</v>
      </c>
      <c r="AV89" s="230">
        <v>577200</v>
      </c>
      <c r="AW89" s="230">
        <v>1157325</v>
      </c>
      <c r="AX89" s="230">
        <v>-580125</v>
      </c>
      <c r="AY89" s="229">
        <v>-0.50129999999999997</v>
      </c>
      <c r="AZ89" s="230">
        <v>578825</v>
      </c>
      <c r="BA89" s="230">
        <v>1185275</v>
      </c>
      <c r="BB89" s="230">
        <v>-606450</v>
      </c>
      <c r="BC89" s="229">
        <v>-0.51170000000000004</v>
      </c>
      <c r="BD89" s="230">
        <v>9100</v>
      </c>
      <c r="BE89" s="230">
        <v>20800</v>
      </c>
      <c r="BF89" s="230">
        <v>-11700</v>
      </c>
      <c r="BG89" s="229">
        <v>-0.5625</v>
      </c>
      <c r="BH89" s="230">
        <v>2306200</v>
      </c>
      <c r="BI89" s="230">
        <v>1242150</v>
      </c>
      <c r="BJ89" s="230">
        <v>1064050</v>
      </c>
      <c r="BK89" s="229">
        <v>0.85660000000000003</v>
      </c>
      <c r="BL89" s="230">
        <v>920075</v>
      </c>
      <c r="BM89" s="230">
        <v>252850</v>
      </c>
      <c r="BN89" s="230">
        <v>667225</v>
      </c>
      <c r="BO89" s="229">
        <v>2.6387999999999998</v>
      </c>
      <c r="BP89" s="230">
        <v>4391400</v>
      </c>
      <c r="BQ89" s="230">
        <v>3858400</v>
      </c>
      <c r="BR89" s="230">
        <v>533000</v>
      </c>
      <c r="BS89" s="229">
        <v>0.1381</v>
      </c>
      <c r="BT89" s="230">
        <v>285063</v>
      </c>
      <c r="BU89" s="230">
        <v>395816</v>
      </c>
      <c r="BV89" s="230">
        <v>-110753</v>
      </c>
      <c r="BW89" s="229">
        <v>-0.27979999999999999</v>
      </c>
      <c r="BX89" s="230">
        <v>4654000</v>
      </c>
      <c r="BY89" s="230">
        <v>4780425</v>
      </c>
      <c r="BZ89" s="230">
        <v>-126425</v>
      </c>
      <c r="CA89" s="229">
        <v>-2.64E-2</v>
      </c>
      <c r="CB89" s="230">
        <v>136175</v>
      </c>
      <c r="CC89" s="230">
        <v>344175</v>
      </c>
      <c r="CD89" s="230">
        <v>-208000</v>
      </c>
      <c r="CE89" s="229">
        <v>-0.60429999999999995</v>
      </c>
      <c r="CF89" s="230">
        <v>4385225</v>
      </c>
      <c r="CG89" s="230">
        <v>4175600</v>
      </c>
      <c r="CH89" s="230">
        <v>209625</v>
      </c>
      <c r="CI89" s="229">
        <v>5.0200000000000002E-2</v>
      </c>
      <c r="CJ89" s="230">
        <v>268775</v>
      </c>
      <c r="CK89" s="230">
        <v>260650</v>
      </c>
      <c r="CL89" s="230">
        <v>8125</v>
      </c>
      <c r="CM89" s="229">
        <v>3.1199999999999999E-2</v>
      </c>
      <c r="CN89" s="230">
        <v>266500</v>
      </c>
      <c r="CO89" s="230">
        <v>1206400</v>
      </c>
      <c r="CP89" s="230">
        <v>-939900</v>
      </c>
      <c r="CQ89" s="229">
        <v>-0.77910000000000001</v>
      </c>
      <c r="CR89" s="230">
        <v>171600</v>
      </c>
      <c r="CS89" s="230">
        <v>519025</v>
      </c>
      <c r="CT89" s="230">
        <v>-347425</v>
      </c>
      <c r="CU89" s="229">
        <v>-0.6694</v>
      </c>
      <c r="CV89" s="230">
        <v>5092100</v>
      </c>
      <c r="CW89" s="230">
        <v>6505850</v>
      </c>
      <c r="CX89" s="230">
        <v>-1413750</v>
      </c>
      <c r="CY89" s="229">
        <v>-0.21729999999999999</v>
      </c>
      <c r="CZ89" s="228">
        <v>22.01</v>
      </c>
      <c r="DA89" s="228">
        <v>22.28</v>
      </c>
      <c r="DB89" s="228">
        <v>-0.27</v>
      </c>
      <c r="DC89" s="228">
        <v>-0.27</v>
      </c>
      <c r="DD89" s="228">
        <v>27.02</v>
      </c>
      <c r="DE89" s="228">
        <v>27.08</v>
      </c>
      <c r="DF89" s="228">
        <v>-5.01</v>
      </c>
      <c r="DG89" s="228">
        <v>-0.06</v>
      </c>
      <c r="DH89" s="228">
        <v>22.03</v>
      </c>
      <c r="DI89" s="228">
        <v>22.05</v>
      </c>
      <c r="DJ89" s="228">
        <v>-0.02</v>
      </c>
      <c r="DK89" s="228">
        <v>-0.02</v>
      </c>
      <c r="DL89" s="228">
        <v>21.96</v>
      </c>
      <c r="DM89" s="228">
        <v>24.17</v>
      </c>
      <c r="DN89" s="228">
        <v>-2.21</v>
      </c>
      <c r="DO89" s="228">
        <v>-2.21</v>
      </c>
      <c r="DP89" s="228">
        <v>0.64</v>
      </c>
      <c r="DQ89" s="228">
        <v>0.43</v>
      </c>
      <c r="DR89" s="228">
        <v>0.21</v>
      </c>
      <c r="DS89" s="229">
        <v>0.4884</v>
      </c>
      <c r="DT89" s="231">
        <v>1900</v>
      </c>
      <c r="DU89" s="231">
        <v>1740</v>
      </c>
      <c r="DV89" s="228">
        <v>0.4</v>
      </c>
      <c r="DW89" s="228">
        <v>0.2</v>
      </c>
      <c r="DX89" s="228">
        <v>0.2</v>
      </c>
      <c r="DY89" s="229">
        <v>1</v>
      </c>
      <c r="DZ89" s="229">
        <v>0.97160000000000002</v>
      </c>
      <c r="EA89" s="230">
        <v>4436250</v>
      </c>
      <c r="EB89" s="229">
        <v>8.9999999999999998E-4</v>
      </c>
      <c r="EC89" s="229">
        <v>0.97160000000000002</v>
      </c>
      <c r="ED89" s="228">
        <v>1.79</v>
      </c>
      <c r="EE89" s="229">
        <v>1E-3</v>
      </c>
      <c r="EF89" s="230">
        <v>113593</v>
      </c>
      <c r="EG89" s="230">
        <v>279892</v>
      </c>
      <c r="EH89" s="229">
        <v>-0.59419999999999995</v>
      </c>
      <c r="EI89" s="229">
        <v>0.39850000000000002</v>
      </c>
      <c r="EJ89" s="231">
        <v>43939.08</v>
      </c>
      <c r="EK89" s="231">
        <v>16708.97</v>
      </c>
      <c r="EL89" s="231">
        <v>21797.65</v>
      </c>
      <c r="EM89" s="231">
        <v>6492</v>
      </c>
      <c r="EN89" s="231">
        <v>82445.7</v>
      </c>
      <c r="EO89" s="231">
        <v>72133.45</v>
      </c>
      <c r="EP89" s="231">
        <v>10312.25</v>
      </c>
      <c r="EQ89" s="229">
        <v>0.14299999999999999</v>
      </c>
      <c r="ER89" s="231">
        <v>5098</v>
      </c>
      <c r="ES89" s="231">
        <v>3074</v>
      </c>
      <c r="ET89" s="231">
        <v>86891</v>
      </c>
      <c r="EU89" s="231">
        <v>27086521</v>
      </c>
      <c r="EV89" s="231">
        <v>95064</v>
      </c>
      <c r="EW89" s="231">
        <v>121017</v>
      </c>
      <c r="EX89" s="231">
        <v>-25953</v>
      </c>
      <c r="EY89" s="229">
        <v>-0.2145</v>
      </c>
      <c r="EZ89" s="229">
        <v>0.188</v>
      </c>
      <c r="FA89" s="227" t="s">
        <v>691</v>
      </c>
      <c r="FB89" s="161">
        <f t="shared" si="1"/>
        <v>4517825</v>
      </c>
    </row>
    <row r="90" spans="1:158" ht="17.25" thickBot="1" x14ac:dyDescent="0.3">
      <c r="A90" s="226">
        <v>46168</v>
      </c>
      <c r="B90" s="227" t="s">
        <v>175</v>
      </c>
      <c r="C90" s="227" t="s">
        <v>233</v>
      </c>
      <c r="D90" s="228">
        <v>925</v>
      </c>
      <c r="E90" s="228">
        <v>524.1</v>
      </c>
      <c r="F90" s="228">
        <v>528.54999999999995</v>
      </c>
      <c r="G90" s="228">
        <v>-4.45</v>
      </c>
      <c r="H90" s="229">
        <v>-8.3999999999999995E-3</v>
      </c>
      <c r="I90" s="228">
        <v>522.70000000000005</v>
      </c>
      <c r="J90" s="228">
        <v>526.70000000000005</v>
      </c>
      <c r="K90" s="228">
        <v>-4</v>
      </c>
      <c r="L90" s="229">
        <v>-7.6E-3</v>
      </c>
      <c r="M90" s="228">
        <v>522.4</v>
      </c>
      <c r="N90" s="228">
        <v>527</v>
      </c>
      <c r="O90" s="228">
        <v>-4.5999999999999996</v>
      </c>
      <c r="P90" s="229">
        <v>-8.6999999999999994E-3</v>
      </c>
      <c r="Q90" s="228">
        <v>524.1</v>
      </c>
      <c r="R90" s="228">
        <v>528.54999999999995</v>
      </c>
      <c r="S90" s="228">
        <v>-4.45</v>
      </c>
      <c r="T90" s="229">
        <v>-8.3999999999999995E-3</v>
      </c>
      <c r="U90" s="228">
        <v>527.29999999999995</v>
      </c>
      <c r="V90" s="228">
        <v>531.9</v>
      </c>
      <c r="W90" s="228">
        <v>-4.5999999999999996</v>
      </c>
      <c r="X90" s="229">
        <v>-8.6E-3</v>
      </c>
      <c r="Y90" s="228">
        <v>1.4</v>
      </c>
      <c r="Z90" s="228">
        <v>0.3</v>
      </c>
      <c r="AA90" s="228">
        <v>1.1000000000000001</v>
      </c>
      <c r="AB90" s="229">
        <v>2.7000000000000001E-3</v>
      </c>
      <c r="AC90" s="228">
        <v>-0.3</v>
      </c>
      <c r="AD90" s="228">
        <v>0.3</v>
      </c>
      <c r="AE90" s="228">
        <v>-0.6</v>
      </c>
      <c r="AF90" s="229">
        <v>-5.9999999999999995E-4</v>
      </c>
      <c r="AG90" s="228">
        <v>1.4</v>
      </c>
      <c r="AH90" s="228">
        <v>1.85</v>
      </c>
      <c r="AI90" s="228">
        <v>-0.45</v>
      </c>
      <c r="AJ90" s="229">
        <v>2.7000000000000001E-3</v>
      </c>
      <c r="AK90" s="228">
        <v>4.5999999999999996</v>
      </c>
      <c r="AL90" s="228">
        <v>5.2</v>
      </c>
      <c r="AM90" s="228">
        <v>-0.6</v>
      </c>
      <c r="AN90" s="229">
        <v>8.8000000000000005E-3</v>
      </c>
      <c r="AO90" s="228">
        <v>521.96</v>
      </c>
      <c r="AP90" s="228">
        <v>523.38</v>
      </c>
      <c r="AQ90" s="228">
        <v>0</v>
      </c>
      <c r="AR90" s="230">
        <v>5654525</v>
      </c>
      <c r="AS90" s="230">
        <v>9898425</v>
      </c>
      <c r="AT90" s="230">
        <v>-4243900</v>
      </c>
      <c r="AU90" s="229">
        <v>-0.42870000000000003</v>
      </c>
      <c r="AV90" s="230">
        <v>2180225</v>
      </c>
      <c r="AW90" s="230">
        <v>4537125</v>
      </c>
      <c r="AX90" s="230">
        <v>-2356900</v>
      </c>
      <c r="AY90" s="229">
        <v>-0.51949999999999996</v>
      </c>
      <c r="AZ90" s="230">
        <v>3450250</v>
      </c>
      <c r="BA90" s="230">
        <v>5307650</v>
      </c>
      <c r="BB90" s="230">
        <v>-1857400</v>
      </c>
      <c r="BC90" s="229">
        <v>-0.34989999999999999</v>
      </c>
      <c r="BD90" s="230">
        <v>24050</v>
      </c>
      <c r="BE90" s="230">
        <v>53650</v>
      </c>
      <c r="BF90" s="230">
        <v>-29600</v>
      </c>
      <c r="BG90" s="229">
        <v>-0.55169999999999997</v>
      </c>
      <c r="BH90" s="230">
        <v>1193250</v>
      </c>
      <c r="BI90" s="230">
        <v>4111625</v>
      </c>
      <c r="BJ90" s="230">
        <v>-2918375</v>
      </c>
      <c r="BK90" s="229">
        <v>-0.70979999999999999</v>
      </c>
      <c r="BL90" s="230">
        <v>1016575</v>
      </c>
      <c r="BM90" s="230">
        <v>2037775</v>
      </c>
      <c r="BN90" s="230">
        <v>-1021200</v>
      </c>
      <c r="BO90" s="229">
        <v>-0.50109999999999999</v>
      </c>
      <c r="BP90" s="230">
        <v>7864350</v>
      </c>
      <c r="BQ90" s="230">
        <v>16047825</v>
      </c>
      <c r="BR90" s="230">
        <v>-8183475</v>
      </c>
      <c r="BS90" s="229">
        <v>-0.50990000000000002</v>
      </c>
      <c r="BT90" s="230">
        <v>742536</v>
      </c>
      <c r="BU90" s="230">
        <v>1062523</v>
      </c>
      <c r="BV90" s="230">
        <v>-319987</v>
      </c>
      <c r="BW90" s="229">
        <v>-0.30120000000000002</v>
      </c>
      <c r="BX90" s="230">
        <v>16062625</v>
      </c>
      <c r="BY90" s="230">
        <v>17974600</v>
      </c>
      <c r="BZ90" s="230">
        <v>-1911975</v>
      </c>
      <c r="CA90" s="229">
        <v>-0.10639999999999999</v>
      </c>
      <c r="CB90" s="230">
        <v>2408700</v>
      </c>
      <c r="CC90" s="230">
        <v>3305950</v>
      </c>
      <c r="CD90" s="230">
        <v>-897250</v>
      </c>
      <c r="CE90" s="229">
        <v>-0.27139999999999997</v>
      </c>
      <c r="CF90" s="230">
        <v>15659325</v>
      </c>
      <c r="CG90" s="230">
        <v>14275525</v>
      </c>
      <c r="CH90" s="230">
        <v>1383800</v>
      </c>
      <c r="CI90" s="229">
        <v>9.69E-2</v>
      </c>
      <c r="CJ90" s="230">
        <v>403300</v>
      </c>
      <c r="CK90" s="230">
        <v>393125</v>
      </c>
      <c r="CL90" s="230">
        <v>10175</v>
      </c>
      <c r="CM90" s="229">
        <v>2.5899999999999999E-2</v>
      </c>
      <c r="CN90" s="230">
        <v>1138675</v>
      </c>
      <c r="CO90" s="230">
        <v>7003175</v>
      </c>
      <c r="CP90" s="230">
        <v>-5864500</v>
      </c>
      <c r="CQ90" s="229">
        <v>-0.83740000000000003</v>
      </c>
      <c r="CR90" s="230">
        <v>1162725</v>
      </c>
      <c r="CS90" s="230">
        <v>6261325</v>
      </c>
      <c r="CT90" s="230">
        <v>-5098600</v>
      </c>
      <c r="CU90" s="229">
        <v>-0.81430000000000002</v>
      </c>
      <c r="CV90" s="230">
        <v>18364025</v>
      </c>
      <c r="CW90" s="230">
        <v>31239100</v>
      </c>
      <c r="CX90" s="230">
        <v>-12875075</v>
      </c>
      <c r="CY90" s="229">
        <v>-0.41210000000000002</v>
      </c>
      <c r="CZ90" s="228">
        <v>26.28</v>
      </c>
      <c r="DA90" s="228">
        <v>26.3</v>
      </c>
      <c r="DB90" s="228">
        <v>-0.02</v>
      </c>
      <c r="DC90" s="228">
        <v>-0.02</v>
      </c>
      <c r="DD90" s="228">
        <v>30.26</v>
      </c>
      <c r="DE90" s="228">
        <v>30.32</v>
      </c>
      <c r="DF90" s="228">
        <v>-3.98</v>
      </c>
      <c r="DG90" s="228">
        <v>-0.06</v>
      </c>
      <c r="DH90" s="228">
        <v>26.29</v>
      </c>
      <c r="DI90" s="228">
        <v>26.21</v>
      </c>
      <c r="DJ90" s="228">
        <v>0.08</v>
      </c>
      <c r="DK90" s="228">
        <v>0.08</v>
      </c>
      <c r="DL90" s="228">
        <v>26.26</v>
      </c>
      <c r="DM90" s="228">
        <v>26.41</v>
      </c>
      <c r="DN90" s="228">
        <v>-0.15</v>
      </c>
      <c r="DO90" s="228">
        <v>-0.15</v>
      </c>
      <c r="DP90" s="228">
        <v>1.02</v>
      </c>
      <c r="DQ90" s="228">
        <v>0.89</v>
      </c>
      <c r="DR90" s="228">
        <v>0.13</v>
      </c>
      <c r="DS90" s="229">
        <v>0.14610000000000001</v>
      </c>
      <c r="DT90" s="228">
        <v>510</v>
      </c>
      <c r="DU90" s="228">
        <v>560</v>
      </c>
      <c r="DV90" s="228">
        <v>0.85</v>
      </c>
      <c r="DW90" s="228">
        <v>0.5</v>
      </c>
      <c r="DX90" s="228">
        <v>0.35</v>
      </c>
      <c r="DY90" s="229">
        <v>0.7</v>
      </c>
      <c r="DZ90" s="229">
        <v>0.86960000000000004</v>
      </c>
      <c r="EA90" s="230">
        <v>14668650</v>
      </c>
      <c r="EB90" s="229">
        <v>3.3E-3</v>
      </c>
      <c r="EC90" s="229">
        <v>0.86960000000000004</v>
      </c>
      <c r="ED90" s="228">
        <v>1.42</v>
      </c>
      <c r="EE90" s="229">
        <v>2.7000000000000001E-3</v>
      </c>
      <c r="EF90" s="230">
        <v>334487</v>
      </c>
      <c r="EG90" s="230">
        <v>620529</v>
      </c>
      <c r="EH90" s="229">
        <v>-0.46100000000000002</v>
      </c>
      <c r="EI90" s="229">
        <v>0.45050000000000001</v>
      </c>
      <c r="EJ90" s="231">
        <v>6507.99</v>
      </c>
      <c r="EK90" s="231">
        <v>5362.14</v>
      </c>
      <c r="EL90" s="231">
        <v>29564.720000000001</v>
      </c>
      <c r="EM90" s="231">
        <v>8695</v>
      </c>
      <c r="EN90" s="231">
        <v>41434.85</v>
      </c>
      <c r="EO90" s="231">
        <v>85148.22</v>
      </c>
      <c r="EP90" s="231">
        <v>-43713.37</v>
      </c>
      <c r="EQ90" s="229">
        <v>-0.51339999999999997</v>
      </c>
      <c r="ER90" s="231">
        <v>6136</v>
      </c>
      <c r="ES90" s="231">
        <v>5882</v>
      </c>
      <c r="ET90" s="231">
        <v>84197</v>
      </c>
      <c r="EU90" s="231">
        <v>58892926</v>
      </c>
      <c r="EV90" s="231">
        <v>96214</v>
      </c>
      <c r="EW90" s="231">
        <v>165721</v>
      </c>
      <c r="EX90" s="231">
        <v>-69507</v>
      </c>
      <c r="EY90" s="229">
        <v>-0.4194</v>
      </c>
      <c r="EZ90" s="229">
        <v>0.31180000000000002</v>
      </c>
      <c r="FA90" s="227" t="s">
        <v>567</v>
      </c>
      <c r="FB90" s="161">
        <f t="shared" si="1"/>
        <v>13653925</v>
      </c>
    </row>
    <row r="91" spans="1:158" ht="17.25" thickBot="1" x14ac:dyDescent="0.3">
      <c r="A91" s="226">
        <v>46168</v>
      </c>
      <c r="B91" s="227" t="s">
        <v>188</v>
      </c>
      <c r="C91" s="227" t="s">
        <v>234</v>
      </c>
      <c r="D91" s="228">
        <v>71475</v>
      </c>
      <c r="E91" s="228">
        <v>14.22</v>
      </c>
      <c r="F91" s="228">
        <v>14.17</v>
      </c>
      <c r="G91" s="228">
        <v>0.05</v>
      </c>
      <c r="H91" s="229">
        <v>3.5000000000000001E-3</v>
      </c>
      <c r="I91" s="228">
        <v>14.14</v>
      </c>
      <c r="J91" s="228">
        <v>14.04</v>
      </c>
      <c r="K91" s="228">
        <v>0.1</v>
      </c>
      <c r="L91" s="229">
        <v>7.1000000000000004E-3</v>
      </c>
      <c r="M91" s="228">
        <v>14.11</v>
      </c>
      <c r="N91" s="228">
        <v>14.07</v>
      </c>
      <c r="O91" s="228">
        <v>0.04</v>
      </c>
      <c r="P91" s="229">
        <v>2.8E-3</v>
      </c>
      <c r="Q91" s="228">
        <v>14.22</v>
      </c>
      <c r="R91" s="228">
        <v>14.17</v>
      </c>
      <c r="S91" s="228">
        <v>0.05</v>
      </c>
      <c r="T91" s="229">
        <v>3.5000000000000001E-3</v>
      </c>
      <c r="U91" s="228">
        <v>14.29</v>
      </c>
      <c r="V91" s="228">
        <v>14.25</v>
      </c>
      <c r="W91" s="228">
        <v>0.04</v>
      </c>
      <c r="X91" s="229">
        <v>2.8E-3</v>
      </c>
      <c r="Y91" s="228">
        <v>0.08</v>
      </c>
      <c r="Z91" s="228">
        <v>0.03</v>
      </c>
      <c r="AA91" s="228">
        <v>0.05</v>
      </c>
      <c r="AB91" s="229">
        <v>5.7000000000000002E-3</v>
      </c>
      <c r="AC91" s="228">
        <v>-0.03</v>
      </c>
      <c r="AD91" s="228">
        <v>0.03</v>
      </c>
      <c r="AE91" s="228">
        <v>-0.06</v>
      </c>
      <c r="AF91" s="229">
        <v>-2.0999999999999999E-3</v>
      </c>
      <c r="AG91" s="228">
        <v>0.08</v>
      </c>
      <c r="AH91" s="228">
        <v>0.13</v>
      </c>
      <c r="AI91" s="228">
        <v>-0.05</v>
      </c>
      <c r="AJ91" s="229">
        <v>5.7000000000000002E-3</v>
      </c>
      <c r="AK91" s="228">
        <v>0.15</v>
      </c>
      <c r="AL91" s="228">
        <v>0.21</v>
      </c>
      <c r="AM91" s="228">
        <v>-0.06</v>
      </c>
      <c r="AN91" s="229">
        <v>1.06E-2</v>
      </c>
      <c r="AO91" s="228">
        <v>14.1</v>
      </c>
      <c r="AP91" s="228">
        <v>14.2</v>
      </c>
      <c r="AQ91" s="228">
        <v>0</v>
      </c>
      <c r="AR91" s="230">
        <v>2723769300</v>
      </c>
      <c r="AS91" s="230">
        <v>2977076700</v>
      </c>
      <c r="AT91" s="230">
        <v>-253307400</v>
      </c>
      <c r="AU91" s="229">
        <v>-8.5099999999999995E-2</v>
      </c>
      <c r="AV91" s="230">
        <v>1185198450</v>
      </c>
      <c r="AW91" s="230">
        <v>1356381075</v>
      </c>
      <c r="AX91" s="230">
        <v>-171182625</v>
      </c>
      <c r="AY91" s="229">
        <v>-0.12620000000000001</v>
      </c>
      <c r="AZ91" s="230">
        <v>1504691700</v>
      </c>
      <c r="BA91" s="230">
        <v>1598752800</v>
      </c>
      <c r="BB91" s="230">
        <v>-94061100</v>
      </c>
      <c r="BC91" s="229">
        <v>-5.8799999999999998E-2</v>
      </c>
      <c r="BD91" s="230">
        <v>33879150</v>
      </c>
      <c r="BE91" s="230">
        <v>21942825</v>
      </c>
      <c r="BF91" s="230">
        <v>11936325</v>
      </c>
      <c r="BG91" s="229">
        <v>0.54400000000000004</v>
      </c>
      <c r="BH91" s="230">
        <v>1467739125</v>
      </c>
      <c r="BI91" s="230">
        <v>1817251875</v>
      </c>
      <c r="BJ91" s="230">
        <v>-349512750</v>
      </c>
      <c r="BK91" s="229">
        <v>-0.1923</v>
      </c>
      <c r="BL91" s="230">
        <v>529987125</v>
      </c>
      <c r="BM91" s="230">
        <v>660714900</v>
      </c>
      <c r="BN91" s="230">
        <v>-130727775</v>
      </c>
      <c r="BO91" s="229">
        <v>-0.19789999999999999</v>
      </c>
      <c r="BP91" s="230">
        <v>4721495550</v>
      </c>
      <c r="BQ91" s="230">
        <v>5455043475</v>
      </c>
      <c r="BR91" s="230">
        <v>-733547925</v>
      </c>
      <c r="BS91" s="229">
        <v>-0.13450000000000001</v>
      </c>
      <c r="BT91" s="230">
        <v>794452348</v>
      </c>
      <c r="BU91" s="230">
        <v>834282207</v>
      </c>
      <c r="BV91" s="230">
        <v>-39829859</v>
      </c>
      <c r="BW91" s="229">
        <v>-4.7699999999999999E-2</v>
      </c>
      <c r="BX91" s="230">
        <v>5560040250</v>
      </c>
      <c r="BY91" s="230">
        <v>5762814825</v>
      </c>
      <c r="BZ91" s="230">
        <v>-202774575</v>
      </c>
      <c r="CA91" s="229">
        <v>-3.5200000000000002E-2</v>
      </c>
      <c r="CB91" s="230">
        <v>239584200</v>
      </c>
      <c r="CC91" s="230">
        <v>1161182850</v>
      </c>
      <c r="CD91" s="230">
        <v>-921598650</v>
      </c>
      <c r="CE91" s="229">
        <v>-0.79369999999999996</v>
      </c>
      <c r="CF91" s="230">
        <v>5439819300</v>
      </c>
      <c r="CG91" s="230">
        <v>4491703425</v>
      </c>
      <c r="CH91" s="230">
        <v>948115875</v>
      </c>
      <c r="CI91" s="229">
        <v>0.21110000000000001</v>
      </c>
      <c r="CJ91" s="230">
        <v>120220950</v>
      </c>
      <c r="CK91" s="230">
        <v>109928550</v>
      </c>
      <c r="CL91" s="230">
        <v>10292400</v>
      </c>
      <c r="CM91" s="229">
        <v>9.3600000000000003E-2</v>
      </c>
      <c r="CN91" s="230">
        <v>1226010675</v>
      </c>
      <c r="CO91" s="230">
        <v>1910955600</v>
      </c>
      <c r="CP91" s="230">
        <v>-684944925</v>
      </c>
      <c r="CQ91" s="229">
        <v>-0.3584</v>
      </c>
      <c r="CR91" s="230">
        <v>542066400</v>
      </c>
      <c r="CS91" s="230">
        <v>1191273825</v>
      </c>
      <c r="CT91" s="230">
        <v>-649207425</v>
      </c>
      <c r="CU91" s="229">
        <v>-0.54500000000000004</v>
      </c>
      <c r="CV91" s="230">
        <v>7328117325</v>
      </c>
      <c r="CW91" s="230">
        <v>8865044250</v>
      </c>
      <c r="CX91" s="230">
        <v>-1536926925</v>
      </c>
      <c r="CY91" s="229">
        <v>-0.1734</v>
      </c>
      <c r="CZ91" s="228">
        <v>45.31</v>
      </c>
      <c r="DA91" s="228">
        <v>46.41</v>
      </c>
      <c r="DB91" s="228">
        <v>-1.1000000000000001</v>
      </c>
      <c r="DC91" s="228">
        <v>-1.1000000000000001</v>
      </c>
      <c r="DD91" s="228">
        <v>63.62</v>
      </c>
      <c r="DE91" s="228">
        <v>63.78</v>
      </c>
      <c r="DF91" s="228">
        <v>-18.309999999999999</v>
      </c>
      <c r="DG91" s="228">
        <v>-0.16</v>
      </c>
      <c r="DH91" s="228">
        <v>45.33</v>
      </c>
      <c r="DI91" s="228">
        <v>46.34</v>
      </c>
      <c r="DJ91" s="228">
        <v>-1.01</v>
      </c>
      <c r="DK91" s="228">
        <v>-1.01</v>
      </c>
      <c r="DL91" s="228">
        <v>45.27</v>
      </c>
      <c r="DM91" s="228">
        <v>46.58</v>
      </c>
      <c r="DN91" s="228">
        <v>-1.31</v>
      </c>
      <c r="DO91" s="228">
        <v>-1.31</v>
      </c>
      <c r="DP91" s="228">
        <v>0.44</v>
      </c>
      <c r="DQ91" s="228">
        <v>0.62</v>
      </c>
      <c r="DR91" s="228">
        <v>-0.18</v>
      </c>
      <c r="DS91" s="229">
        <v>-0.2903</v>
      </c>
      <c r="DT91" s="228">
        <v>14</v>
      </c>
      <c r="DU91" s="228">
        <v>12</v>
      </c>
      <c r="DV91" s="228">
        <v>0.36</v>
      </c>
      <c r="DW91" s="228">
        <v>0.36</v>
      </c>
      <c r="DX91" s="228">
        <v>0</v>
      </c>
      <c r="DY91" s="229">
        <v>0</v>
      </c>
      <c r="DZ91" s="229">
        <v>0.9587</v>
      </c>
      <c r="EA91" s="230">
        <v>4601631975</v>
      </c>
      <c r="EB91" s="229">
        <v>7.7999999999999996E-3</v>
      </c>
      <c r="EC91" s="229">
        <v>0.9587</v>
      </c>
      <c r="ED91" s="228">
        <v>0.1</v>
      </c>
      <c r="EE91" s="229">
        <v>7.1000000000000004E-3</v>
      </c>
      <c r="EF91" s="230">
        <v>210190079</v>
      </c>
      <c r="EG91" s="230">
        <v>254115518</v>
      </c>
      <c r="EH91" s="229">
        <v>-0.1729</v>
      </c>
      <c r="EI91" s="229">
        <v>0.2646</v>
      </c>
      <c r="EJ91" s="231">
        <v>223611.51999999999</v>
      </c>
      <c r="EK91" s="231">
        <v>72813.19</v>
      </c>
      <c r="EL91" s="231">
        <v>385550.11</v>
      </c>
      <c r="EM91" s="231">
        <v>34310</v>
      </c>
      <c r="EN91" s="231">
        <v>681974.82</v>
      </c>
      <c r="EO91" s="231">
        <v>777290.52</v>
      </c>
      <c r="EP91" s="231">
        <v>-95315.7</v>
      </c>
      <c r="EQ91" s="229">
        <v>-0.1226</v>
      </c>
      <c r="ER91" s="231">
        <v>176723</v>
      </c>
      <c r="ES91" s="231">
        <v>67686</v>
      </c>
      <c r="ET91" s="231">
        <v>790722</v>
      </c>
      <c r="EU91" s="231">
        <v>12096038468</v>
      </c>
      <c r="EV91" s="231">
        <v>1035131</v>
      </c>
      <c r="EW91" s="231">
        <v>1218503</v>
      </c>
      <c r="EX91" s="231">
        <v>-183372</v>
      </c>
      <c r="EY91" s="229">
        <v>-0.15049999999999999</v>
      </c>
      <c r="EZ91" s="229">
        <v>0.60580000000000001</v>
      </c>
      <c r="FA91" s="227" t="s">
        <v>691</v>
      </c>
      <c r="FB91" s="161">
        <f t="shared" si="1"/>
        <v>5320456050</v>
      </c>
    </row>
    <row r="92" spans="1:158" ht="17.25" thickBot="1" x14ac:dyDescent="0.3">
      <c r="A92" s="226">
        <v>46168</v>
      </c>
      <c r="B92" s="227" t="s">
        <v>172</v>
      </c>
      <c r="C92" s="227" t="s">
        <v>235</v>
      </c>
      <c r="D92" s="228">
        <v>9275</v>
      </c>
      <c r="E92" s="228">
        <v>70.650000000000006</v>
      </c>
      <c r="F92" s="228">
        <v>70.06</v>
      </c>
      <c r="G92" s="228">
        <v>0.59</v>
      </c>
      <c r="H92" s="229">
        <v>8.3999999999999995E-3</v>
      </c>
      <c r="I92" s="228">
        <v>70.22</v>
      </c>
      <c r="J92" s="228">
        <v>69.459999999999994</v>
      </c>
      <c r="K92" s="228">
        <v>0.76</v>
      </c>
      <c r="L92" s="229">
        <v>1.09E-2</v>
      </c>
      <c r="M92" s="228">
        <v>70.099999999999994</v>
      </c>
      <c r="N92" s="228">
        <v>69.67</v>
      </c>
      <c r="O92" s="228">
        <v>0.43</v>
      </c>
      <c r="P92" s="229">
        <v>6.1999999999999998E-3</v>
      </c>
      <c r="Q92" s="228">
        <v>70.650000000000006</v>
      </c>
      <c r="R92" s="228">
        <v>70.06</v>
      </c>
      <c r="S92" s="228">
        <v>0.59</v>
      </c>
      <c r="T92" s="229">
        <v>8.3999999999999995E-3</v>
      </c>
      <c r="U92" s="228">
        <v>71.02</v>
      </c>
      <c r="V92" s="228">
        <v>70.2</v>
      </c>
      <c r="W92" s="228">
        <v>0.82</v>
      </c>
      <c r="X92" s="229">
        <v>1.17E-2</v>
      </c>
      <c r="Y92" s="228">
        <v>0.43</v>
      </c>
      <c r="Z92" s="228">
        <v>0.21</v>
      </c>
      <c r="AA92" s="228">
        <v>0.22</v>
      </c>
      <c r="AB92" s="229">
        <v>6.1000000000000004E-3</v>
      </c>
      <c r="AC92" s="228">
        <v>-0.12</v>
      </c>
      <c r="AD92" s="228">
        <v>0.21</v>
      </c>
      <c r="AE92" s="228">
        <v>-0.33</v>
      </c>
      <c r="AF92" s="229">
        <v>-1.6999999999999999E-3</v>
      </c>
      <c r="AG92" s="228">
        <v>0.43</v>
      </c>
      <c r="AH92" s="228">
        <v>0.6</v>
      </c>
      <c r="AI92" s="228">
        <v>-0.17</v>
      </c>
      <c r="AJ92" s="229">
        <v>6.1000000000000004E-3</v>
      </c>
      <c r="AK92" s="228">
        <v>0.8</v>
      </c>
      <c r="AL92" s="228">
        <v>0.74</v>
      </c>
      <c r="AM92" s="228">
        <v>0.06</v>
      </c>
      <c r="AN92" s="229">
        <v>1.14E-2</v>
      </c>
      <c r="AO92" s="228">
        <v>69.849999999999994</v>
      </c>
      <c r="AP92" s="228">
        <v>70.349999999999994</v>
      </c>
      <c r="AQ92" s="228">
        <v>0</v>
      </c>
      <c r="AR92" s="230">
        <v>167376650</v>
      </c>
      <c r="AS92" s="230">
        <v>197223600</v>
      </c>
      <c r="AT92" s="230">
        <v>-29846950</v>
      </c>
      <c r="AU92" s="229">
        <v>-0.15129999999999999</v>
      </c>
      <c r="AV92" s="230">
        <v>75804575</v>
      </c>
      <c r="AW92" s="230">
        <v>93538375</v>
      </c>
      <c r="AX92" s="230">
        <v>-17733800</v>
      </c>
      <c r="AY92" s="229">
        <v>-0.18959999999999999</v>
      </c>
      <c r="AZ92" s="230">
        <v>85932875</v>
      </c>
      <c r="BA92" s="230">
        <v>98583975</v>
      </c>
      <c r="BB92" s="230">
        <v>-12651100</v>
      </c>
      <c r="BC92" s="229">
        <v>-0.1283</v>
      </c>
      <c r="BD92" s="230">
        <v>5639200</v>
      </c>
      <c r="BE92" s="230">
        <v>5101250</v>
      </c>
      <c r="BF92" s="230">
        <v>537950</v>
      </c>
      <c r="BG92" s="229">
        <v>0.1055</v>
      </c>
      <c r="BH92" s="230">
        <v>78401575</v>
      </c>
      <c r="BI92" s="230">
        <v>92434650</v>
      </c>
      <c r="BJ92" s="230">
        <v>-14033075</v>
      </c>
      <c r="BK92" s="229">
        <v>-0.15179999999999999</v>
      </c>
      <c r="BL92" s="230">
        <v>50075725</v>
      </c>
      <c r="BM92" s="230">
        <v>79087925</v>
      </c>
      <c r="BN92" s="230">
        <v>-29012200</v>
      </c>
      <c r="BO92" s="229">
        <v>-0.36680000000000001</v>
      </c>
      <c r="BP92" s="230">
        <v>295853950</v>
      </c>
      <c r="BQ92" s="230">
        <v>368746175</v>
      </c>
      <c r="BR92" s="230">
        <v>-72892225</v>
      </c>
      <c r="BS92" s="229">
        <v>-0.19769999999999999</v>
      </c>
      <c r="BT92" s="230">
        <v>20228413</v>
      </c>
      <c r="BU92" s="230">
        <v>28623065</v>
      </c>
      <c r="BV92" s="230">
        <v>-8394652</v>
      </c>
      <c r="BW92" s="229">
        <v>-0.29330000000000001</v>
      </c>
      <c r="BX92" s="230">
        <v>413321825</v>
      </c>
      <c r="BY92" s="230">
        <v>430322900</v>
      </c>
      <c r="BZ92" s="230">
        <v>-17001075</v>
      </c>
      <c r="CA92" s="229">
        <v>-3.95E-2</v>
      </c>
      <c r="CB92" s="230">
        <v>17492650</v>
      </c>
      <c r="CC92" s="230">
        <v>61780775</v>
      </c>
      <c r="CD92" s="230">
        <v>-44288125</v>
      </c>
      <c r="CE92" s="229">
        <v>-0.71689999999999998</v>
      </c>
      <c r="CF92" s="230">
        <v>397099850</v>
      </c>
      <c r="CG92" s="230">
        <v>355464375</v>
      </c>
      <c r="CH92" s="230">
        <v>41635475</v>
      </c>
      <c r="CI92" s="229">
        <v>0.1171</v>
      </c>
      <c r="CJ92" s="230">
        <v>16221975</v>
      </c>
      <c r="CK92" s="230">
        <v>13077750</v>
      </c>
      <c r="CL92" s="230">
        <v>3144225</v>
      </c>
      <c r="CM92" s="229">
        <v>0.2404</v>
      </c>
      <c r="CN92" s="230">
        <v>52793300</v>
      </c>
      <c r="CO92" s="230">
        <v>111012475</v>
      </c>
      <c r="CP92" s="230">
        <v>-58219175</v>
      </c>
      <c r="CQ92" s="229">
        <v>-0.52439999999999998</v>
      </c>
      <c r="CR92" s="230">
        <v>53294150</v>
      </c>
      <c r="CS92" s="230">
        <v>98704550</v>
      </c>
      <c r="CT92" s="230">
        <v>-45410400</v>
      </c>
      <c r="CU92" s="229">
        <v>-0.46010000000000001</v>
      </c>
      <c r="CV92" s="230">
        <v>519409275</v>
      </c>
      <c r="CW92" s="230">
        <v>640039925</v>
      </c>
      <c r="CX92" s="230">
        <v>-120630650</v>
      </c>
      <c r="CY92" s="229">
        <v>-0.1885</v>
      </c>
      <c r="CZ92" s="228">
        <v>26.59</v>
      </c>
      <c r="DA92" s="228">
        <v>28.1</v>
      </c>
      <c r="DB92" s="228">
        <v>-1.51</v>
      </c>
      <c r="DC92" s="228">
        <v>-1.51</v>
      </c>
      <c r="DD92" s="228">
        <v>40.21</v>
      </c>
      <c r="DE92" s="228">
        <v>40.299999999999997</v>
      </c>
      <c r="DF92" s="228">
        <v>-13.62</v>
      </c>
      <c r="DG92" s="228">
        <v>-0.09</v>
      </c>
      <c r="DH92" s="228">
        <v>25.76</v>
      </c>
      <c r="DI92" s="228">
        <v>27.28</v>
      </c>
      <c r="DJ92" s="228">
        <v>-1.52</v>
      </c>
      <c r="DK92" s="228">
        <v>-1.52</v>
      </c>
      <c r="DL92" s="228">
        <v>27.74</v>
      </c>
      <c r="DM92" s="228">
        <v>28.88</v>
      </c>
      <c r="DN92" s="228">
        <v>-1.1399999999999999</v>
      </c>
      <c r="DO92" s="228">
        <v>-1.1399999999999999</v>
      </c>
      <c r="DP92" s="228">
        <v>1.01</v>
      </c>
      <c r="DQ92" s="228">
        <v>0.89</v>
      </c>
      <c r="DR92" s="228">
        <v>0.12</v>
      </c>
      <c r="DS92" s="229">
        <v>0.1348</v>
      </c>
      <c r="DT92" s="228">
        <v>75</v>
      </c>
      <c r="DU92" s="228">
        <v>65</v>
      </c>
      <c r="DV92" s="228">
        <v>0.64</v>
      </c>
      <c r="DW92" s="228">
        <v>0.86</v>
      </c>
      <c r="DX92" s="228">
        <v>-0.22</v>
      </c>
      <c r="DY92" s="229">
        <v>-0.25580000000000003</v>
      </c>
      <c r="DZ92" s="229">
        <v>0.95940000000000003</v>
      </c>
      <c r="EA92" s="230">
        <v>368542125</v>
      </c>
      <c r="EB92" s="229">
        <v>7.7999999999999996E-3</v>
      </c>
      <c r="EC92" s="229">
        <v>0.95940000000000003</v>
      </c>
      <c r="ED92" s="228">
        <v>0.5</v>
      </c>
      <c r="EE92" s="229">
        <v>7.1999999999999998E-3</v>
      </c>
      <c r="EF92" s="230">
        <v>9548387</v>
      </c>
      <c r="EG92" s="230">
        <v>16791850</v>
      </c>
      <c r="EH92" s="229">
        <v>-0.43140000000000001</v>
      </c>
      <c r="EI92" s="229">
        <v>0.47199999999999998</v>
      </c>
      <c r="EJ92" s="231">
        <v>57384.6</v>
      </c>
      <c r="EK92" s="231">
        <v>35843.06</v>
      </c>
      <c r="EL92" s="231">
        <v>117389.81</v>
      </c>
      <c r="EM92" s="231">
        <v>16592</v>
      </c>
      <c r="EN92" s="231">
        <v>210617.47</v>
      </c>
      <c r="EO92" s="231">
        <v>259348.8</v>
      </c>
      <c r="EP92" s="231">
        <v>-48731.33</v>
      </c>
      <c r="EQ92" s="229">
        <v>-0.18790000000000001</v>
      </c>
      <c r="ER92" s="231">
        <v>38087</v>
      </c>
      <c r="ES92" s="231">
        <v>36950</v>
      </c>
      <c r="ET92" s="231">
        <v>292072</v>
      </c>
      <c r="EU92" s="231">
        <v>1101871266</v>
      </c>
      <c r="EV92" s="231">
        <v>367108</v>
      </c>
      <c r="EW92" s="231">
        <v>448142</v>
      </c>
      <c r="EX92" s="231">
        <v>-81034</v>
      </c>
      <c r="EY92" s="229">
        <v>-0.18079999999999999</v>
      </c>
      <c r="EZ92" s="229">
        <v>0.47139999999999999</v>
      </c>
      <c r="FA92" s="227" t="s">
        <v>691</v>
      </c>
      <c r="FB92" s="161">
        <f t="shared" si="1"/>
        <v>395829175</v>
      </c>
    </row>
    <row r="93" spans="1:158" ht="17.25" thickBot="1" x14ac:dyDescent="0.3">
      <c r="A93" s="226">
        <v>46168</v>
      </c>
      <c r="B93" s="227" t="s">
        <v>161</v>
      </c>
      <c r="C93" s="227" t="s">
        <v>514</v>
      </c>
      <c r="D93" s="228">
        <v>3750</v>
      </c>
      <c r="E93" s="228">
        <v>128.47</v>
      </c>
      <c r="F93" s="228">
        <v>128.65</v>
      </c>
      <c r="G93" s="228">
        <v>-0.18</v>
      </c>
      <c r="H93" s="229">
        <v>-1.4E-3</v>
      </c>
      <c r="I93" s="228">
        <v>127.47</v>
      </c>
      <c r="J93" s="228">
        <v>127.58</v>
      </c>
      <c r="K93" s="228">
        <v>-0.11</v>
      </c>
      <c r="L93" s="229">
        <v>-8.9999999999999998E-4</v>
      </c>
      <c r="M93" s="228">
        <v>127.35</v>
      </c>
      <c r="N93" s="228">
        <v>127.83</v>
      </c>
      <c r="O93" s="228">
        <v>-0.48</v>
      </c>
      <c r="P93" s="229">
        <v>-3.8E-3</v>
      </c>
      <c r="Q93" s="228">
        <v>128.47</v>
      </c>
      <c r="R93" s="228">
        <v>128.65</v>
      </c>
      <c r="S93" s="228">
        <v>-0.18</v>
      </c>
      <c r="T93" s="229">
        <v>-1.4E-3</v>
      </c>
      <c r="U93" s="228">
        <v>129.34</v>
      </c>
      <c r="V93" s="228">
        <v>129.49</v>
      </c>
      <c r="W93" s="228">
        <v>-0.15</v>
      </c>
      <c r="X93" s="229">
        <v>-1.1999999999999999E-3</v>
      </c>
      <c r="Y93" s="228">
        <v>1</v>
      </c>
      <c r="Z93" s="228">
        <v>0.25</v>
      </c>
      <c r="AA93" s="228">
        <v>0.75</v>
      </c>
      <c r="AB93" s="229">
        <v>7.7999999999999996E-3</v>
      </c>
      <c r="AC93" s="228">
        <v>-0.12</v>
      </c>
      <c r="AD93" s="228">
        <v>0.25</v>
      </c>
      <c r="AE93" s="228">
        <v>-0.37</v>
      </c>
      <c r="AF93" s="229">
        <v>-8.9999999999999998E-4</v>
      </c>
      <c r="AG93" s="228">
        <v>1</v>
      </c>
      <c r="AH93" s="228">
        <v>1.07</v>
      </c>
      <c r="AI93" s="228">
        <v>-7.0000000000000007E-2</v>
      </c>
      <c r="AJ93" s="229">
        <v>7.7999999999999996E-3</v>
      </c>
      <c r="AK93" s="228">
        <v>1.87</v>
      </c>
      <c r="AL93" s="228">
        <v>1.91</v>
      </c>
      <c r="AM93" s="228">
        <v>-0.04</v>
      </c>
      <c r="AN93" s="229">
        <v>1.47E-2</v>
      </c>
      <c r="AO93" s="228">
        <v>127.38</v>
      </c>
      <c r="AP93" s="228">
        <v>128.30000000000001</v>
      </c>
      <c r="AQ93" s="228">
        <v>0</v>
      </c>
      <c r="AR93" s="230">
        <v>36671250</v>
      </c>
      <c r="AS93" s="230">
        <v>60457500</v>
      </c>
      <c r="AT93" s="230">
        <v>-23786250</v>
      </c>
      <c r="AU93" s="229">
        <v>-0.39340000000000003</v>
      </c>
      <c r="AV93" s="230">
        <v>17703750</v>
      </c>
      <c r="AW93" s="230">
        <v>30161250</v>
      </c>
      <c r="AX93" s="230">
        <v>-12457500</v>
      </c>
      <c r="AY93" s="229">
        <v>-0.41299999999999998</v>
      </c>
      <c r="AZ93" s="230">
        <v>18645000</v>
      </c>
      <c r="BA93" s="230">
        <v>29823750</v>
      </c>
      <c r="BB93" s="230">
        <v>-11178750</v>
      </c>
      <c r="BC93" s="229">
        <v>-0.37480000000000002</v>
      </c>
      <c r="BD93" s="230">
        <v>322500</v>
      </c>
      <c r="BE93" s="230">
        <v>472500</v>
      </c>
      <c r="BF93" s="230">
        <v>-150000</v>
      </c>
      <c r="BG93" s="229">
        <v>-0.3175</v>
      </c>
      <c r="BH93" s="230">
        <v>30997500</v>
      </c>
      <c r="BI93" s="230">
        <v>35377500</v>
      </c>
      <c r="BJ93" s="230">
        <v>-4380000</v>
      </c>
      <c r="BK93" s="229">
        <v>-0.12379999999999999</v>
      </c>
      <c r="BL93" s="230">
        <v>9375000</v>
      </c>
      <c r="BM93" s="230">
        <v>13646250</v>
      </c>
      <c r="BN93" s="230">
        <v>-4271250</v>
      </c>
      <c r="BO93" s="229">
        <v>-0.313</v>
      </c>
      <c r="BP93" s="230">
        <v>77043750</v>
      </c>
      <c r="BQ93" s="230">
        <v>109481250</v>
      </c>
      <c r="BR93" s="230">
        <v>-32437500</v>
      </c>
      <c r="BS93" s="229">
        <v>-0.29630000000000001</v>
      </c>
      <c r="BT93" s="230">
        <v>3771021</v>
      </c>
      <c r="BU93" s="230">
        <v>3159650</v>
      </c>
      <c r="BV93" s="230">
        <v>611371</v>
      </c>
      <c r="BW93" s="229">
        <v>0.19350000000000001</v>
      </c>
      <c r="BX93" s="230">
        <v>68389350</v>
      </c>
      <c r="BY93" s="230">
        <v>70572900</v>
      </c>
      <c r="BZ93" s="230">
        <v>-2183550</v>
      </c>
      <c r="CA93" s="229">
        <v>-3.09E-2</v>
      </c>
      <c r="CB93" s="230">
        <v>4181250</v>
      </c>
      <c r="CC93" s="230">
        <v>14782500</v>
      </c>
      <c r="CD93" s="230">
        <v>-10601250</v>
      </c>
      <c r="CE93" s="229">
        <v>-0.71709999999999996</v>
      </c>
      <c r="CF93" s="230">
        <v>67080000</v>
      </c>
      <c r="CG93" s="230">
        <v>54772500</v>
      </c>
      <c r="CH93" s="230">
        <v>12307500</v>
      </c>
      <c r="CI93" s="229">
        <v>0.22470000000000001</v>
      </c>
      <c r="CJ93" s="230">
        <v>1309350</v>
      </c>
      <c r="CK93" s="230">
        <v>1017900</v>
      </c>
      <c r="CL93" s="230">
        <v>291450</v>
      </c>
      <c r="CM93" s="229">
        <v>0.2863</v>
      </c>
      <c r="CN93" s="230">
        <v>16814550</v>
      </c>
      <c r="CO93" s="230">
        <v>35751600</v>
      </c>
      <c r="CP93" s="230">
        <v>-18937050</v>
      </c>
      <c r="CQ93" s="229">
        <v>-0.52969999999999995</v>
      </c>
      <c r="CR93" s="230">
        <v>12732900</v>
      </c>
      <c r="CS93" s="230">
        <v>21609150</v>
      </c>
      <c r="CT93" s="230">
        <v>-8876250</v>
      </c>
      <c r="CU93" s="229">
        <v>-0.4108</v>
      </c>
      <c r="CV93" s="230">
        <v>97936800</v>
      </c>
      <c r="CW93" s="230">
        <v>127933650</v>
      </c>
      <c r="CX93" s="230">
        <v>-29996850</v>
      </c>
      <c r="CY93" s="229">
        <v>-0.23449999999999999</v>
      </c>
      <c r="CZ93" s="228">
        <v>30.32</v>
      </c>
      <c r="DA93" s="228">
        <v>31.15</v>
      </c>
      <c r="DB93" s="228">
        <v>-0.83</v>
      </c>
      <c r="DC93" s="228">
        <v>-0.83</v>
      </c>
      <c r="DD93" s="228">
        <v>50.54</v>
      </c>
      <c r="DE93" s="228">
        <v>50.67</v>
      </c>
      <c r="DF93" s="228">
        <v>-20.22</v>
      </c>
      <c r="DG93" s="228">
        <v>-0.13</v>
      </c>
      <c r="DH93" s="228">
        <v>30.37</v>
      </c>
      <c r="DI93" s="228">
        <v>31.86</v>
      </c>
      <c r="DJ93" s="228">
        <v>-1.49</v>
      </c>
      <c r="DK93" s="228">
        <v>-1.49</v>
      </c>
      <c r="DL93" s="228">
        <v>30.16</v>
      </c>
      <c r="DM93" s="228">
        <v>29.54</v>
      </c>
      <c r="DN93" s="228">
        <v>0.62</v>
      </c>
      <c r="DO93" s="228">
        <v>0.62</v>
      </c>
      <c r="DP93" s="228">
        <v>0.76</v>
      </c>
      <c r="DQ93" s="228">
        <v>0.6</v>
      </c>
      <c r="DR93" s="228">
        <v>0.16</v>
      </c>
      <c r="DS93" s="229">
        <v>0.26669999999999999</v>
      </c>
      <c r="DT93" s="228">
        <v>130</v>
      </c>
      <c r="DU93" s="228">
        <v>140</v>
      </c>
      <c r="DV93" s="228">
        <v>0.3</v>
      </c>
      <c r="DW93" s="228">
        <v>0.39</v>
      </c>
      <c r="DX93" s="228">
        <v>-0.09</v>
      </c>
      <c r="DY93" s="229">
        <v>-0.23080000000000001</v>
      </c>
      <c r="DZ93" s="229">
        <v>0.94240000000000002</v>
      </c>
      <c r="EA93" s="230">
        <v>55790400</v>
      </c>
      <c r="EB93" s="229">
        <v>8.8000000000000005E-3</v>
      </c>
      <c r="EC93" s="229">
        <v>0.94240000000000002</v>
      </c>
      <c r="ED93" s="228">
        <v>0.92</v>
      </c>
      <c r="EE93" s="229">
        <v>7.1999999999999998E-3</v>
      </c>
      <c r="EF93" s="230">
        <v>1546657</v>
      </c>
      <c r="EG93" s="230">
        <v>1435577</v>
      </c>
      <c r="EH93" s="229">
        <v>7.7399999999999997E-2</v>
      </c>
      <c r="EI93" s="229">
        <v>0.41010000000000002</v>
      </c>
      <c r="EJ93" s="231">
        <v>42003.19</v>
      </c>
      <c r="EK93" s="231">
        <v>12358.77</v>
      </c>
      <c r="EL93" s="231">
        <v>46956.31</v>
      </c>
      <c r="EM93" s="231">
        <v>7590</v>
      </c>
      <c r="EN93" s="231">
        <v>101318.27</v>
      </c>
      <c r="EO93" s="231">
        <v>144071.67000000001</v>
      </c>
      <c r="EP93" s="231">
        <v>-42753.4</v>
      </c>
      <c r="EQ93" s="229">
        <v>-0.29680000000000001</v>
      </c>
      <c r="ER93" s="231">
        <v>22875</v>
      </c>
      <c r="ES93" s="231">
        <v>16721</v>
      </c>
      <c r="ET93" s="231">
        <v>87871</v>
      </c>
      <c r="EU93" s="231">
        <v>133395043</v>
      </c>
      <c r="EV93" s="231">
        <v>127467</v>
      </c>
      <c r="EW93" s="231">
        <v>167751</v>
      </c>
      <c r="EX93" s="231">
        <v>-40284</v>
      </c>
      <c r="EY93" s="229">
        <v>-0.24010000000000001</v>
      </c>
      <c r="EZ93" s="229">
        <v>0.73419999999999996</v>
      </c>
      <c r="FA93" s="227" t="s">
        <v>567</v>
      </c>
      <c r="FB93" s="161">
        <f t="shared" si="1"/>
        <v>64208100</v>
      </c>
    </row>
    <row r="94" spans="1:158" ht="17.25" thickBot="1" x14ac:dyDescent="0.3">
      <c r="A94" s="226">
        <v>46168</v>
      </c>
      <c r="B94" s="227" t="s">
        <v>206</v>
      </c>
      <c r="C94" s="227" t="s">
        <v>501</v>
      </c>
      <c r="D94" s="228">
        <v>1000</v>
      </c>
      <c r="E94" s="228">
        <v>659.3</v>
      </c>
      <c r="F94" s="228">
        <v>665.15</v>
      </c>
      <c r="G94" s="228">
        <v>-5.85</v>
      </c>
      <c r="H94" s="229">
        <v>-8.8000000000000005E-3</v>
      </c>
      <c r="I94" s="228">
        <v>657.15</v>
      </c>
      <c r="J94" s="228">
        <v>663.55</v>
      </c>
      <c r="K94" s="228">
        <v>-6.4</v>
      </c>
      <c r="L94" s="229">
        <v>-9.5999999999999992E-3</v>
      </c>
      <c r="M94" s="228">
        <v>657.15</v>
      </c>
      <c r="N94" s="228">
        <v>663.9</v>
      </c>
      <c r="O94" s="228">
        <v>-6.75</v>
      </c>
      <c r="P94" s="229">
        <v>-1.0200000000000001E-2</v>
      </c>
      <c r="Q94" s="228">
        <v>659.3</v>
      </c>
      <c r="R94" s="228">
        <v>665.15</v>
      </c>
      <c r="S94" s="228">
        <v>-5.85</v>
      </c>
      <c r="T94" s="229">
        <v>-8.8000000000000005E-3</v>
      </c>
      <c r="U94" s="228">
        <v>664.85</v>
      </c>
      <c r="V94" s="228">
        <v>669.7</v>
      </c>
      <c r="W94" s="228">
        <v>-4.8499999999999996</v>
      </c>
      <c r="X94" s="229">
        <v>-7.1999999999999998E-3</v>
      </c>
      <c r="Y94" s="228">
        <v>2.15</v>
      </c>
      <c r="Z94" s="228">
        <v>0.35</v>
      </c>
      <c r="AA94" s="228">
        <v>1.8</v>
      </c>
      <c r="AB94" s="229">
        <v>3.3E-3</v>
      </c>
      <c r="AC94" s="228">
        <v>0</v>
      </c>
      <c r="AD94" s="228">
        <v>0.35</v>
      </c>
      <c r="AE94" s="228">
        <v>-0.35</v>
      </c>
      <c r="AF94" s="229">
        <v>0</v>
      </c>
      <c r="AG94" s="228">
        <v>2.15</v>
      </c>
      <c r="AH94" s="228">
        <v>1.6</v>
      </c>
      <c r="AI94" s="228">
        <v>0.55000000000000004</v>
      </c>
      <c r="AJ94" s="229">
        <v>3.3E-3</v>
      </c>
      <c r="AK94" s="228">
        <v>7.7</v>
      </c>
      <c r="AL94" s="228">
        <v>6.15</v>
      </c>
      <c r="AM94" s="228">
        <v>1.55</v>
      </c>
      <c r="AN94" s="229">
        <v>1.17E-2</v>
      </c>
      <c r="AO94" s="228">
        <v>659.54</v>
      </c>
      <c r="AP94" s="228">
        <v>660.59</v>
      </c>
      <c r="AQ94" s="228">
        <v>0</v>
      </c>
      <c r="AR94" s="230">
        <v>7019000</v>
      </c>
      <c r="AS94" s="230">
        <v>13137000</v>
      </c>
      <c r="AT94" s="230">
        <v>-6118000</v>
      </c>
      <c r="AU94" s="229">
        <v>-0.4657</v>
      </c>
      <c r="AV94" s="230">
        <v>2898000</v>
      </c>
      <c r="AW94" s="230">
        <v>6444000</v>
      </c>
      <c r="AX94" s="230">
        <v>-3546000</v>
      </c>
      <c r="AY94" s="229">
        <v>-0.55030000000000001</v>
      </c>
      <c r="AZ94" s="230">
        <v>4089000</v>
      </c>
      <c r="BA94" s="230">
        <v>6651000</v>
      </c>
      <c r="BB94" s="230">
        <v>-2562000</v>
      </c>
      <c r="BC94" s="229">
        <v>-0.38519999999999999</v>
      </c>
      <c r="BD94" s="230">
        <v>32000</v>
      </c>
      <c r="BE94" s="230">
        <v>42000</v>
      </c>
      <c r="BF94" s="230">
        <v>-10000</v>
      </c>
      <c r="BG94" s="229">
        <v>-0.23810000000000001</v>
      </c>
      <c r="BH94" s="230">
        <v>4509000</v>
      </c>
      <c r="BI94" s="230">
        <v>5835000</v>
      </c>
      <c r="BJ94" s="230">
        <v>-1326000</v>
      </c>
      <c r="BK94" s="229">
        <v>-0.22720000000000001</v>
      </c>
      <c r="BL94" s="230">
        <v>2613000</v>
      </c>
      <c r="BM94" s="230">
        <v>3988000</v>
      </c>
      <c r="BN94" s="230">
        <v>-1375000</v>
      </c>
      <c r="BO94" s="229">
        <v>-0.3448</v>
      </c>
      <c r="BP94" s="230">
        <v>14141000</v>
      </c>
      <c r="BQ94" s="230">
        <v>22960000</v>
      </c>
      <c r="BR94" s="230">
        <v>-8819000</v>
      </c>
      <c r="BS94" s="229">
        <v>-0.3841</v>
      </c>
      <c r="BT94" s="230">
        <v>1933189</v>
      </c>
      <c r="BU94" s="230">
        <v>1939229</v>
      </c>
      <c r="BV94" s="230">
        <v>-6040</v>
      </c>
      <c r="BW94" s="229">
        <v>-3.0999999999999999E-3</v>
      </c>
      <c r="BX94" s="230">
        <v>24827000</v>
      </c>
      <c r="BY94" s="230">
        <v>25082000</v>
      </c>
      <c r="BZ94" s="230">
        <v>-255000</v>
      </c>
      <c r="CA94" s="229">
        <v>-1.0200000000000001E-2</v>
      </c>
      <c r="CB94" s="230">
        <v>760000</v>
      </c>
      <c r="CC94" s="230">
        <v>2800000</v>
      </c>
      <c r="CD94" s="230">
        <v>-2040000</v>
      </c>
      <c r="CE94" s="229">
        <v>-0.72860000000000003</v>
      </c>
      <c r="CF94" s="230">
        <v>21077000</v>
      </c>
      <c r="CG94" s="230">
        <v>18555000</v>
      </c>
      <c r="CH94" s="230">
        <v>2522000</v>
      </c>
      <c r="CI94" s="229">
        <v>0.13589999999999999</v>
      </c>
      <c r="CJ94" s="230">
        <v>3750000</v>
      </c>
      <c r="CK94" s="230">
        <v>3727000</v>
      </c>
      <c r="CL94" s="230">
        <v>23000</v>
      </c>
      <c r="CM94" s="229">
        <v>6.1999999999999998E-3</v>
      </c>
      <c r="CN94" s="230">
        <v>2303000</v>
      </c>
      <c r="CO94" s="230">
        <v>6009000</v>
      </c>
      <c r="CP94" s="230">
        <v>-3706000</v>
      </c>
      <c r="CQ94" s="229">
        <v>-0.61670000000000003</v>
      </c>
      <c r="CR94" s="230">
        <v>2491000</v>
      </c>
      <c r="CS94" s="230">
        <v>5103000</v>
      </c>
      <c r="CT94" s="230">
        <v>-2612000</v>
      </c>
      <c r="CU94" s="229">
        <v>-0.51190000000000002</v>
      </c>
      <c r="CV94" s="230">
        <v>29621000</v>
      </c>
      <c r="CW94" s="230">
        <v>36194000</v>
      </c>
      <c r="CX94" s="230">
        <v>-6573000</v>
      </c>
      <c r="CY94" s="229">
        <v>-0.18160000000000001</v>
      </c>
      <c r="CZ94" s="228">
        <v>24.77</v>
      </c>
      <c r="DA94" s="228">
        <v>25.62</v>
      </c>
      <c r="DB94" s="228">
        <v>-0.85</v>
      </c>
      <c r="DC94" s="228">
        <v>-0.85</v>
      </c>
      <c r="DD94" s="228">
        <v>34.590000000000003</v>
      </c>
      <c r="DE94" s="228">
        <v>34.659999999999997</v>
      </c>
      <c r="DF94" s="228">
        <v>-9.82</v>
      </c>
      <c r="DG94" s="228">
        <v>-7.0000000000000007E-2</v>
      </c>
      <c r="DH94" s="228">
        <v>24.09</v>
      </c>
      <c r="DI94" s="228">
        <v>25.31</v>
      </c>
      <c r="DJ94" s="228">
        <v>-1.22</v>
      </c>
      <c r="DK94" s="228">
        <v>-1.22</v>
      </c>
      <c r="DL94" s="228">
        <v>25.8</v>
      </c>
      <c r="DM94" s="228">
        <v>26.13</v>
      </c>
      <c r="DN94" s="228">
        <v>-0.33</v>
      </c>
      <c r="DO94" s="228">
        <v>-0.33</v>
      </c>
      <c r="DP94" s="228">
        <v>1.08</v>
      </c>
      <c r="DQ94" s="228">
        <v>0.85</v>
      </c>
      <c r="DR94" s="228">
        <v>0.23</v>
      </c>
      <c r="DS94" s="229">
        <v>0.27060000000000001</v>
      </c>
      <c r="DT94" s="228">
        <v>660</v>
      </c>
      <c r="DU94" s="228">
        <v>660</v>
      </c>
      <c r="DV94" s="228">
        <v>0.57999999999999996</v>
      </c>
      <c r="DW94" s="228">
        <v>0.68</v>
      </c>
      <c r="DX94" s="228">
        <v>-0.1</v>
      </c>
      <c r="DY94" s="229">
        <v>-0.14710000000000001</v>
      </c>
      <c r="DZ94" s="229">
        <v>0.97030000000000005</v>
      </c>
      <c r="EA94" s="230">
        <v>22282000</v>
      </c>
      <c r="EB94" s="229">
        <v>3.3E-3</v>
      </c>
      <c r="EC94" s="229">
        <v>0.97030000000000005</v>
      </c>
      <c r="ED94" s="228">
        <v>1.05</v>
      </c>
      <c r="EE94" s="229">
        <v>1.6000000000000001E-3</v>
      </c>
      <c r="EF94" s="230">
        <v>1010667</v>
      </c>
      <c r="EG94" s="230">
        <v>1078822</v>
      </c>
      <c r="EH94" s="229">
        <v>-6.3200000000000006E-2</v>
      </c>
      <c r="EI94" s="229">
        <v>0.52280000000000004</v>
      </c>
      <c r="EJ94" s="231">
        <v>30834.55</v>
      </c>
      <c r="EK94" s="231">
        <v>17651.57</v>
      </c>
      <c r="EL94" s="231">
        <v>46337.78</v>
      </c>
      <c r="EM94" s="231">
        <v>10992</v>
      </c>
      <c r="EN94" s="231">
        <v>94823.9</v>
      </c>
      <c r="EO94" s="231">
        <v>153775.45000000001</v>
      </c>
      <c r="EP94" s="231">
        <v>-58951.55</v>
      </c>
      <c r="EQ94" s="229">
        <v>-0.38340000000000002</v>
      </c>
      <c r="ER94" s="231">
        <v>15667</v>
      </c>
      <c r="ES94" s="231">
        <v>16711</v>
      </c>
      <c r="ET94" s="231">
        <v>163893</v>
      </c>
      <c r="EU94" s="231">
        <v>123332004</v>
      </c>
      <c r="EV94" s="231">
        <v>196270</v>
      </c>
      <c r="EW94" s="231">
        <v>241085</v>
      </c>
      <c r="EX94" s="231">
        <v>-44815</v>
      </c>
      <c r="EY94" s="229">
        <v>-0.18590000000000001</v>
      </c>
      <c r="EZ94" s="229">
        <v>0.2402</v>
      </c>
      <c r="FA94" s="227" t="s">
        <v>567</v>
      </c>
      <c r="FB94" s="161">
        <f t="shared" si="1"/>
        <v>24067000</v>
      </c>
    </row>
    <row r="95" spans="1:158" ht="17.25" thickBot="1" x14ac:dyDescent="0.3">
      <c r="A95" s="226">
        <v>46168</v>
      </c>
      <c r="B95" s="227" t="s">
        <v>172</v>
      </c>
      <c r="C95" s="227" t="s">
        <v>577</v>
      </c>
      <c r="D95" s="228">
        <v>1000</v>
      </c>
      <c r="E95" s="228">
        <v>838.05</v>
      </c>
      <c r="F95" s="228">
        <v>843.65</v>
      </c>
      <c r="G95" s="228">
        <v>-5.6</v>
      </c>
      <c r="H95" s="229">
        <v>-6.6E-3</v>
      </c>
      <c r="I95" s="228">
        <v>833.55</v>
      </c>
      <c r="J95" s="228">
        <v>840.15</v>
      </c>
      <c r="K95" s="228">
        <v>-6.6</v>
      </c>
      <c r="L95" s="229">
        <v>-7.9000000000000008E-3</v>
      </c>
      <c r="M95" s="228">
        <v>835.3</v>
      </c>
      <c r="N95" s="228">
        <v>840.3</v>
      </c>
      <c r="O95" s="228">
        <v>-5</v>
      </c>
      <c r="P95" s="229">
        <v>-6.0000000000000001E-3</v>
      </c>
      <c r="Q95" s="228">
        <v>838.05</v>
      </c>
      <c r="R95" s="228">
        <v>843.65</v>
      </c>
      <c r="S95" s="228">
        <v>-5.6</v>
      </c>
      <c r="T95" s="229">
        <v>-6.6E-3</v>
      </c>
      <c r="U95" s="228">
        <v>842.35</v>
      </c>
      <c r="V95" s="228">
        <v>848.55</v>
      </c>
      <c r="W95" s="228">
        <v>-6.2</v>
      </c>
      <c r="X95" s="229">
        <v>-7.3000000000000001E-3</v>
      </c>
      <c r="Y95" s="228">
        <v>4.5</v>
      </c>
      <c r="Z95" s="228">
        <v>0.15</v>
      </c>
      <c r="AA95" s="228">
        <v>4.3499999999999996</v>
      </c>
      <c r="AB95" s="229">
        <v>5.4000000000000003E-3</v>
      </c>
      <c r="AC95" s="228">
        <v>1.75</v>
      </c>
      <c r="AD95" s="228">
        <v>0.15</v>
      </c>
      <c r="AE95" s="228">
        <v>1.6</v>
      </c>
      <c r="AF95" s="229">
        <v>2.0999999999999999E-3</v>
      </c>
      <c r="AG95" s="228">
        <v>4.5</v>
      </c>
      <c r="AH95" s="228">
        <v>3.5</v>
      </c>
      <c r="AI95" s="228">
        <v>1</v>
      </c>
      <c r="AJ95" s="229">
        <v>5.4000000000000003E-3</v>
      </c>
      <c r="AK95" s="228">
        <v>8.8000000000000007</v>
      </c>
      <c r="AL95" s="228">
        <v>8.4</v>
      </c>
      <c r="AM95" s="228">
        <v>0.4</v>
      </c>
      <c r="AN95" s="229">
        <v>1.06E-2</v>
      </c>
      <c r="AO95" s="228">
        <v>837.67</v>
      </c>
      <c r="AP95" s="228">
        <v>840.99</v>
      </c>
      <c r="AQ95" s="228">
        <v>0</v>
      </c>
      <c r="AR95" s="230">
        <v>6828000</v>
      </c>
      <c r="AS95" s="230">
        <v>9627000</v>
      </c>
      <c r="AT95" s="230">
        <v>-2799000</v>
      </c>
      <c r="AU95" s="229">
        <v>-0.29070000000000001</v>
      </c>
      <c r="AV95" s="230">
        <v>2495000</v>
      </c>
      <c r="AW95" s="230">
        <v>4233000</v>
      </c>
      <c r="AX95" s="230">
        <v>-1738000</v>
      </c>
      <c r="AY95" s="229">
        <v>-0.41060000000000002</v>
      </c>
      <c r="AZ95" s="230">
        <v>4290000</v>
      </c>
      <c r="BA95" s="230">
        <v>5351000</v>
      </c>
      <c r="BB95" s="230">
        <v>-1061000</v>
      </c>
      <c r="BC95" s="229">
        <v>-0.1983</v>
      </c>
      <c r="BD95" s="230">
        <v>43000</v>
      </c>
      <c r="BE95" s="230">
        <v>43000</v>
      </c>
      <c r="BF95" s="228">
        <v>0</v>
      </c>
      <c r="BG95" s="229">
        <v>0</v>
      </c>
      <c r="BH95" s="230">
        <v>3819000</v>
      </c>
      <c r="BI95" s="230">
        <v>9524000</v>
      </c>
      <c r="BJ95" s="230">
        <v>-5705000</v>
      </c>
      <c r="BK95" s="229">
        <v>-0.59899999999999998</v>
      </c>
      <c r="BL95" s="230">
        <v>2012000</v>
      </c>
      <c r="BM95" s="230">
        <v>3818000</v>
      </c>
      <c r="BN95" s="230">
        <v>-1806000</v>
      </c>
      <c r="BO95" s="229">
        <v>-0.47299999999999998</v>
      </c>
      <c r="BP95" s="230">
        <v>12659000</v>
      </c>
      <c r="BQ95" s="230">
        <v>22969000</v>
      </c>
      <c r="BR95" s="230">
        <v>-10310000</v>
      </c>
      <c r="BS95" s="229">
        <v>-0.44890000000000002</v>
      </c>
      <c r="BT95" s="230">
        <v>2498660</v>
      </c>
      <c r="BU95" s="230">
        <v>2773345</v>
      </c>
      <c r="BV95" s="230">
        <v>-274685</v>
      </c>
      <c r="BW95" s="229">
        <v>-9.9000000000000005E-2</v>
      </c>
      <c r="BX95" s="230">
        <v>11200000</v>
      </c>
      <c r="BY95" s="230">
        <v>12439000</v>
      </c>
      <c r="BZ95" s="230">
        <v>-1239000</v>
      </c>
      <c r="CA95" s="229">
        <v>-9.9599999999999994E-2</v>
      </c>
      <c r="CB95" s="230">
        <v>1357000</v>
      </c>
      <c r="CC95" s="230">
        <v>2797000</v>
      </c>
      <c r="CD95" s="230">
        <v>-1440000</v>
      </c>
      <c r="CE95" s="229">
        <v>-0.51480000000000004</v>
      </c>
      <c r="CF95" s="230">
        <v>11108000</v>
      </c>
      <c r="CG95" s="230">
        <v>9570000</v>
      </c>
      <c r="CH95" s="230">
        <v>1538000</v>
      </c>
      <c r="CI95" s="229">
        <v>0.16070000000000001</v>
      </c>
      <c r="CJ95" s="230">
        <v>92000</v>
      </c>
      <c r="CK95" s="230">
        <v>72000</v>
      </c>
      <c r="CL95" s="230">
        <v>20000</v>
      </c>
      <c r="CM95" s="229">
        <v>0.27779999999999999</v>
      </c>
      <c r="CN95" s="230">
        <v>2129000</v>
      </c>
      <c r="CO95" s="230">
        <v>6326000</v>
      </c>
      <c r="CP95" s="230">
        <v>-4197000</v>
      </c>
      <c r="CQ95" s="229">
        <v>-0.66349999999999998</v>
      </c>
      <c r="CR95" s="230">
        <v>1808000</v>
      </c>
      <c r="CS95" s="230">
        <v>4281000</v>
      </c>
      <c r="CT95" s="230">
        <v>-2473000</v>
      </c>
      <c r="CU95" s="229">
        <v>-0.57769999999999999</v>
      </c>
      <c r="CV95" s="230">
        <v>15137000</v>
      </c>
      <c r="CW95" s="230">
        <v>23046000</v>
      </c>
      <c r="CX95" s="230">
        <v>-7909000</v>
      </c>
      <c r="CY95" s="229">
        <v>-0.34320000000000001</v>
      </c>
      <c r="CZ95" s="228">
        <v>28.49</v>
      </c>
      <c r="DA95" s="228">
        <v>28.62</v>
      </c>
      <c r="DB95" s="228">
        <v>-0.13</v>
      </c>
      <c r="DC95" s="228">
        <v>-0.13</v>
      </c>
      <c r="DD95" s="228">
        <v>40.6</v>
      </c>
      <c r="DE95" s="228">
        <v>40.68</v>
      </c>
      <c r="DF95" s="228">
        <v>-12.11</v>
      </c>
      <c r="DG95" s="228">
        <v>-0.08</v>
      </c>
      <c r="DH95" s="228">
        <v>28.92</v>
      </c>
      <c r="DI95" s="228">
        <v>28.74</v>
      </c>
      <c r="DJ95" s="228">
        <v>0.18</v>
      </c>
      <c r="DK95" s="228">
        <v>0.18</v>
      </c>
      <c r="DL95" s="228">
        <v>27.6</v>
      </c>
      <c r="DM95" s="228">
        <v>28.37</v>
      </c>
      <c r="DN95" s="228">
        <v>-0.77</v>
      </c>
      <c r="DO95" s="228">
        <v>-0.77</v>
      </c>
      <c r="DP95" s="228">
        <v>0.85</v>
      </c>
      <c r="DQ95" s="228">
        <v>0.68</v>
      </c>
      <c r="DR95" s="228">
        <v>0.17</v>
      </c>
      <c r="DS95" s="229">
        <v>0.25</v>
      </c>
      <c r="DT95" s="228">
        <v>850</v>
      </c>
      <c r="DU95" s="228">
        <v>850</v>
      </c>
      <c r="DV95" s="228">
        <v>0.53</v>
      </c>
      <c r="DW95" s="228">
        <v>0.4</v>
      </c>
      <c r="DX95" s="228">
        <v>0.13</v>
      </c>
      <c r="DY95" s="229">
        <v>0.32500000000000001</v>
      </c>
      <c r="DZ95" s="229">
        <v>0.89190000000000003</v>
      </c>
      <c r="EA95" s="230">
        <v>9642000</v>
      </c>
      <c r="EB95" s="229">
        <v>3.3E-3</v>
      </c>
      <c r="EC95" s="229">
        <v>0.89190000000000003</v>
      </c>
      <c r="ED95" s="228">
        <v>3.32</v>
      </c>
      <c r="EE95" s="229">
        <v>4.0000000000000001E-3</v>
      </c>
      <c r="EF95" s="230">
        <v>1265637</v>
      </c>
      <c r="EG95" s="230">
        <v>1340655</v>
      </c>
      <c r="EH95" s="229">
        <v>-5.6000000000000001E-2</v>
      </c>
      <c r="EI95" s="229">
        <v>0.50649999999999995</v>
      </c>
      <c r="EJ95" s="231">
        <v>33603.71</v>
      </c>
      <c r="EK95" s="231">
        <v>17296.32</v>
      </c>
      <c r="EL95" s="231">
        <v>57341.279999999999</v>
      </c>
      <c r="EM95" s="231">
        <v>6912</v>
      </c>
      <c r="EN95" s="231">
        <v>108241.31</v>
      </c>
      <c r="EO95" s="231">
        <v>196220.34</v>
      </c>
      <c r="EP95" s="231">
        <v>-87979.03</v>
      </c>
      <c r="EQ95" s="229">
        <v>-0.44840000000000002</v>
      </c>
      <c r="ER95" s="231">
        <v>18491</v>
      </c>
      <c r="ES95" s="231">
        <v>15176</v>
      </c>
      <c r="ET95" s="231">
        <v>93866</v>
      </c>
      <c r="EU95" s="231">
        <v>52862157</v>
      </c>
      <c r="EV95" s="231">
        <v>127533</v>
      </c>
      <c r="EW95" s="231">
        <v>197623</v>
      </c>
      <c r="EX95" s="231">
        <v>-70090</v>
      </c>
      <c r="EY95" s="229">
        <v>-0.35470000000000002</v>
      </c>
      <c r="EZ95" s="229">
        <v>0.2863</v>
      </c>
      <c r="FA95" s="227" t="s">
        <v>567</v>
      </c>
      <c r="FB95" s="161">
        <f t="shared" si="1"/>
        <v>9843000</v>
      </c>
    </row>
    <row r="96" spans="1:158" ht="17.25" thickBot="1" x14ac:dyDescent="0.3">
      <c r="A96" s="226">
        <v>46168</v>
      </c>
      <c r="B96" s="227" t="s">
        <v>181</v>
      </c>
      <c r="C96" s="227" t="s">
        <v>684</v>
      </c>
      <c r="D96" s="228">
        <v>1</v>
      </c>
      <c r="E96" s="228">
        <v>0</v>
      </c>
      <c r="F96" s="228">
        <v>0</v>
      </c>
      <c r="G96" s="228">
        <v>0</v>
      </c>
      <c r="H96" s="229">
        <v>0</v>
      </c>
      <c r="I96" s="228">
        <v>16.13</v>
      </c>
      <c r="J96" s="228">
        <v>16.7</v>
      </c>
      <c r="K96" s="228">
        <v>-0.56999999999999995</v>
      </c>
      <c r="L96" s="229">
        <v>-3.4000000000000002E-2</v>
      </c>
      <c r="M96" s="228">
        <v>0</v>
      </c>
      <c r="N96" s="228">
        <v>0</v>
      </c>
      <c r="O96" s="228">
        <v>0</v>
      </c>
      <c r="P96" s="229">
        <v>0</v>
      </c>
      <c r="Q96" s="228">
        <v>0</v>
      </c>
      <c r="R96" s="228">
        <v>0</v>
      </c>
      <c r="S96" s="228">
        <v>0</v>
      </c>
      <c r="T96" s="229">
        <v>0</v>
      </c>
      <c r="U96" s="228">
        <v>0</v>
      </c>
      <c r="V96" s="228">
        <v>0</v>
      </c>
      <c r="W96" s="228">
        <v>0</v>
      </c>
      <c r="X96" s="229">
        <v>0</v>
      </c>
      <c r="Y96" s="228">
        <v>0</v>
      </c>
      <c r="Z96" s="228">
        <v>0</v>
      </c>
      <c r="AA96" s="228">
        <v>0</v>
      </c>
      <c r="AB96" s="229">
        <v>0</v>
      </c>
      <c r="AC96" s="228">
        <v>0</v>
      </c>
      <c r="AD96" s="228">
        <v>0</v>
      </c>
      <c r="AE96" s="228">
        <v>0</v>
      </c>
      <c r="AF96" s="229">
        <v>0</v>
      </c>
      <c r="AG96" s="228">
        <v>0</v>
      </c>
      <c r="AH96" s="228">
        <v>0</v>
      </c>
      <c r="AI96" s="228">
        <v>0</v>
      </c>
      <c r="AJ96" s="229">
        <v>0</v>
      </c>
      <c r="AK96" s="228">
        <v>0</v>
      </c>
      <c r="AL96" s="228">
        <v>0</v>
      </c>
      <c r="AM96" s="228">
        <v>0</v>
      </c>
      <c r="AN96" s="229">
        <v>0</v>
      </c>
      <c r="AO96" s="228">
        <v>0</v>
      </c>
      <c r="AP96" s="228">
        <v>0</v>
      </c>
      <c r="AQ96" s="228">
        <v>0</v>
      </c>
      <c r="AR96" s="228">
        <v>0</v>
      </c>
      <c r="AS96" s="228">
        <v>0</v>
      </c>
      <c r="AT96" s="228">
        <v>0</v>
      </c>
      <c r="AU96" s="229">
        <v>0</v>
      </c>
      <c r="AV96" s="228">
        <v>0</v>
      </c>
      <c r="AW96" s="228">
        <v>0</v>
      </c>
      <c r="AX96" s="228">
        <v>0</v>
      </c>
      <c r="AY96" s="229">
        <v>0</v>
      </c>
      <c r="AZ96" s="228">
        <v>0</v>
      </c>
      <c r="BA96" s="228">
        <v>0</v>
      </c>
      <c r="BB96" s="228">
        <v>0</v>
      </c>
      <c r="BC96" s="229">
        <v>0</v>
      </c>
      <c r="BD96" s="228">
        <v>0</v>
      </c>
      <c r="BE96" s="228">
        <v>0</v>
      </c>
      <c r="BF96" s="228">
        <v>0</v>
      </c>
      <c r="BG96" s="229">
        <v>0</v>
      </c>
      <c r="BH96" s="228">
        <v>0</v>
      </c>
      <c r="BI96" s="228">
        <v>0</v>
      </c>
      <c r="BJ96" s="228">
        <v>0</v>
      </c>
      <c r="BK96" s="229">
        <v>0</v>
      </c>
      <c r="BL96" s="228">
        <v>0</v>
      </c>
      <c r="BM96" s="228">
        <v>0</v>
      </c>
      <c r="BN96" s="228">
        <v>0</v>
      </c>
      <c r="BO96" s="229">
        <v>0</v>
      </c>
      <c r="BP96" s="228">
        <v>0</v>
      </c>
      <c r="BQ96" s="228">
        <v>0</v>
      </c>
      <c r="BR96" s="228">
        <v>0</v>
      </c>
      <c r="BS96" s="229">
        <v>0</v>
      </c>
      <c r="BT96" s="228">
        <v>0</v>
      </c>
      <c r="BU96" s="228">
        <v>0</v>
      </c>
      <c r="BV96" s="228">
        <v>0</v>
      </c>
      <c r="BW96" s="229">
        <v>0</v>
      </c>
      <c r="BX96" s="228">
        <v>0</v>
      </c>
      <c r="BY96" s="228">
        <v>0</v>
      </c>
      <c r="BZ96" s="228">
        <v>0</v>
      </c>
      <c r="CA96" s="229">
        <v>0</v>
      </c>
      <c r="CB96" s="228">
        <v>0</v>
      </c>
      <c r="CC96" s="228">
        <v>0</v>
      </c>
      <c r="CD96" s="228">
        <v>0</v>
      </c>
      <c r="CE96" s="229">
        <v>0</v>
      </c>
      <c r="CF96" s="228">
        <v>0</v>
      </c>
      <c r="CG96" s="228">
        <v>0</v>
      </c>
      <c r="CH96" s="228">
        <v>0</v>
      </c>
      <c r="CI96" s="229">
        <v>0</v>
      </c>
      <c r="CJ96" s="228">
        <v>0</v>
      </c>
      <c r="CK96" s="228">
        <v>0</v>
      </c>
      <c r="CL96" s="228">
        <v>0</v>
      </c>
      <c r="CM96" s="229">
        <v>0</v>
      </c>
      <c r="CN96" s="228">
        <v>0</v>
      </c>
      <c r="CO96" s="228">
        <v>0</v>
      </c>
      <c r="CP96" s="228">
        <v>0</v>
      </c>
      <c r="CQ96" s="229">
        <v>0</v>
      </c>
      <c r="CR96" s="228">
        <v>0</v>
      </c>
      <c r="CS96" s="228">
        <v>0</v>
      </c>
      <c r="CT96" s="228">
        <v>0</v>
      </c>
      <c r="CU96" s="229">
        <v>0</v>
      </c>
      <c r="CV96" s="228">
        <v>0</v>
      </c>
      <c r="CW96" s="228">
        <v>0</v>
      </c>
      <c r="CX96" s="228">
        <v>0</v>
      </c>
      <c r="CY96" s="229">
        <v>0</v>
      </c>
      <c r="CZ96" s="228">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9">
        <v>0</v>
      </c>
      <c r="DT96" s="228">
        <v>0</v>
      </c>
      <c r="DU96" s="228">
        <v>0</v>
      </c>
      <c r="DV96" s="228">
        <v>0</v>
      </c>
      <c r="DW96" s="228">
        <v>0</v>
      </c>
      <c r="DX96" s="228">
        <v>0</v>
      </c>
      <c r="DY96" s="229">
        <v>0</v>
      </c>
      <c r="DZ96" s="229">
        <v>0</v>
      </c>
      <c r="EA96" s="228">
        <v>0</v>
      </c>
      <c r="EB96" s="229">
        <v>0</v>
      </c>
      <c r="EC96" s="229">
        <v>0</v>
      </c>
      <c r="ED96" s="228">
        <v>0</v>
      </c>
      <c r="EE96" s="229">
        <v>0</v>
      </c>
      <c r="EF96" s="228">
        <v>0</v>
      </c>
      <c r="EG96" s="228">
        <v>0</v>
      </c>
      <c r="EH96" s="229">
        <v>0</v>
      </c>
      <c r="EI96" s="229">
        <v>0</v>
      </c>
      <c r="EJ96" s="228">
        <v>0</v>
      </c>
      <c r="EK96" s="228">
        <v>0</v>
      </c>
      <c r="EL96" s="228">
        <v>0</v>
      </c>
      <c r="EM96" s="228">
        <v>0</v>
      </c>
      <c r="EN96" s="228">
        <v>0</v>
      </c>
      <c r="EO96" s="228">
        <v>0</v>
      </c>
      <c r="EP96" s="228">
        <v>0</v>
      </c>
      <c r="EQ96" s="229">
        <v>0</v>
      </c>
      <c r="ER96" s="228">
        <v>0</v>
      </c>
      <c r="ES96" s="228">
        <v>0</v>
      </c>
      <c r="ET96" s="228">
        <v>0</v>
      </c>
      <c r="EU96" s="228">
        <v>0</v>
      </c>
      <c r="EV96" s="228">
        <v>0</v>
      </c>
      <c r="EW96" s="228">
        <v>0</v>
      </c>
      <c r="EX96" s="228">
        <v>0</v>
      </c>
      <c r="EY96" s="229">
        <v>0</v>
      </c>
      <c r="EZ96" s="229">
        <v>0</v>
      </c>
      <c r="FA96" s="227" t="s">
        <v>237</v>
      </c>
      <c r="FB96" s="161">
        <f t="shared" si="1"/>
        <v>0</v>
      </c>
    </row>
    <row r="97" spans="1:158" ht="17.25" thickBot="1" x14ac:dyDescent="0.3">
      <c r="A97" s="226">
        <v>46168</v>
      </c>
      <c r="B97" s="227" t="s">
        <v>215</v>
      </c>
      <c r="C97" s="227" t="s">
        <v>238</v>
      </c>
      <c r="D97" s="228">
        <v>150</v>
      </c>
      <c r="E97" s="231">
        <v>4507.3</v>
      </c>
      <c r="F97" s="231">
        <v>4518</v>
      </c>
      <c r="G97" s="228">
        <v>-10.7</v>
      </c>
      <c r="H97" s="229">
        <v>-2.3999999999999998E-3</v>
      </c>
      <c r="I97" s="231">
        <v>4480.8</v>
      </c>
      <c r="J97" s="231">
        <v>4501.8999999999996</v>
      </c>
      <c r="K97" s="228">
        <v>-21.1</v>
      </c>
      <c r="L97" s="229">
        <v>-4.7000000000000002E-3</v>
      </c>
      <c r="M97" s="231">
        <v>4471.5</v>
      </c>
      <c r="N97" s="231">
        <v>4481.6000000000004</v>
      </c>
      <c r="O97" s="228">
        <v>-10.1</v>
      </c>
      <c r="P97" s="229">
        <v>-2.3E-3</v>
      </c>
      <c r="Q97" s="231">
        <v>4507.3</v>
      </c>
      <c r="R97" s="231">
        <v>4518</v>
      </c>
      <c r="S97" s="228">
        <v>-10.7</v>
      </c>
      <c r="T97" s="229">
        <v>-2.3999999999999998E-3</v>
      </c>
      <c r="U97" s="231">
        <v>4533.6000000000004</v>
      </c>
      <c r="V97" s="231">
        <v>4539</v>
      </c>
      <c r="W97" s="228">
        <v>-5.4</v>
      </c>
      <c r="X97" s="229">
        <v>-1.1999999999999999E-3</v>
      </c>
      <c r="Y97" s="228">
        <v>26.5</v>
      </c>
      <c r="Z97" s="228">
        <v>-20.3</v>
      </c>
      <c r="AA97" s="228">
        <v>46.8</v>
      </c>
      <c r="AB97" s="229">
        <v>5.8999999999999999E-3</v>
      </c>
      <c r="AC97" s="228">
        <v>-9.3000000000000007</v>
      </c>
      <c r="AD97" s="228">
        <v>-20.3</v>
      </c>
      <c r="AE97" s="228">
        <v>11</v>
      </c>
      <c r="AF97" s="229">
        <v>-2.0999999999999999E-3</v>
      </c>
      <c r="AG97" s="228">
        <v>26.5</v>
      </c>
      <c r="AH97" s="228">
        <v>16.100000000000001</v>
      </c>
      <c r="AI97" s="228">
        <v>10.4</v>
      </c>
      <c r="AJ97" s="229">
        <v>5.8999999999999999E-3</v>
      </c>
      <c r="AK97" s="228">
        <v>52.8</v>
      </c>
      <c r="AL97" s="228">
        <v>37.1</v>
      </c>
      <c r="AM97" s="228">
        <v>15.7</v>
      </c>
      <c r="AN97" s="229">
        <v>1.18E-2</v>
      </c>
      <c r="AO97" s="231">
        <v>4471.54</v>
      </c>
      <c r="AP97" s="231">
        <v>4506.2</v>
      </c>
      <c r="AQ97" s="228">
        <v>0</v>
      </c>
      <c r="AR97" s="230">
        <v>4200300</v>
      </c>
      <c r="AS97" s="230">
        <v>6539400</v>
      </c>
      <c r="AT97" s="230">
        <v>-2339100</v>
      </c>
      <c r="AU97" s="229">
        <v>-0.35770000000000002</v>
      </c>
      <c r="AV97" s="230">
        <v>1959000</v>
      </c>
      <c r="AW97" s="230">
        <v>3271650</v>
      </c>
      <c r="AX97" s="230">
        <v>-1312650</v>
      </c>
      <c r="AY97" s="229">
        <v>-0.4012</v>
      </c>
      <c r="AZ97" s="230">
        <v>2209350</v>
      </c>
      <c r="BA97" s="230">
        <v>3237450</v>
      </c>
      <c r="BB97" s="230">
        <v>-1028100</v>
      </c>
      <c r="BC97" s="229">
        <v>-0.31759999999999999</v>
      </c>
      <c r="BD97" s="230">
        <v>31950</v>
      </c>
      <c r="BE97" s="230">
        <v>30300</v>
      </c>
      <c r="BF97" s="230">
        <v>1650</v>
      </c>
      <c r="BG97" s="229">
        <v>5.45E-2</v>
      </c>
      <c r="BH97" s="230">
        <v>7216350</v>
      </c>
      <c r="BI97" s="230">
        <v>20587350</v>
      </c>
      <c r="BJ97" s="230">
        <v>-13371000</v>
      </c>
      <c r="BK97" s="229">
        <v>-0.64949999999999997</v>
      </c>
      <c r="BL97" s="230">
        <v>4635600</v>
      </c>
      <c r="BM97" s="230">
        <v>28629600</v>
      </c>
      <c r="BN97" s="230">
        <v>-23994000</v>
      </c>
      <c r="BO97" s="229">
        <v>-0.83809999999999996</v>
      </c>
      <c r="BP97" s="230">
        <v>16052250</v>
      </c>
      <c r="BQ97" s="230">
        <v>55756350</v>
      </c>
      <c r="BR97" s="230">
        <v>-39704100</v>
      </c>
      <c r="BS97" s="229">
        <v>-0.71209999999999996</v>
      </c>
      <c r="BT97" s="230">
        <v>781161</v>
      </c>
      <c r="BU97" s="230">
        <v>2577026</v>
      </c>
      <c r="BV97" s="230">
        <v>-1795865</v>
      </c>
      <c r="BW97" s="229">
        <v>-0.69689999999999996</v>
      </c>
      <c r="BX97" s="230">
        <v>7481850</v>
      </c>
      <c r="BY97" s="230">
        <v>8314350</v>
      </c>
      <c r="BZ97" s="230">
        <v>-832500</v>
      </c>
      <c r="CA97" s="229">
        <v>-0.10009999999999999</v>
      </c>
      <c r="CB97" s="230">
        <v>1473450</v>
      </c>
      <c r="CC97" s="230">
        <v>1524750</v>
      </c>
      <c r="CD97" s="230">
        <v>-51300</v>
      </c>
      <c r="CE97" s="229">
        <v>-3.3599999999999998E-2</v>
      </c>
      <c r="CF97" s="230">
        <v>7402050</v>
      </c>
      <c r="CG97" s="230">
        <v>6727950</v>
      </c>
      <c r="CH97" s="230">
        <v>674100</v>
      </c>
      <c r="CI97" s="229">
        <v>0.1002</v>
      </c>
      <c r="CJ97" s="230">
        <v>79800</v>
      </c>
      <c r="CK97" s="230">
        <v>61650</v>
      </c>
      <c r="CL97" s="230">
        <v>18150</v>
      </c>
      <c r="CM97" s="229">
        <v>0.2944</v>
      </c>
      <c r="CN97" s="230">
        <v>1461750</v>
      </c>
      <c r="CO97" s="230">
        <v>5614500</v>
      </c>
      <c r="CP97" s="230">
        <v>-4152750</v>
      </c>
      <c r="CQ97" s="229">
        <v>-0.73960000000000004</v>
      </c>
      <c r="CR97" s="230">
        <v>1419900</v>
      </c>
      <c r="CS97" s="230">
        <v>3552600</v>
      </c>
      <c r="CT97" s="230">
        <v>-2132700</v>
      </c>
      <c r="CU97" s="229">
        <v>-0.60029999999999994</v>
      </c>
      <c r="CV97" s="230">
        <v>10363500</v>
      </c>
      <c r="CW97" s="230">
        <v>17481450</v>
      </c>
      <c r="CX97" s="230">
        <v>-7117950</v>
      </c>
      <c r="CY97" s="229">
        <v>-0.40720000000000001</v>
      </c>
      <c r="CZ97" s="228">
        <v>32.17</v>
      </c>
      <c r="DA97" s="228">
        <v>31.89</v>
      </c>
      <c r="DB97" s="228">
        <v>0.28000000000000003</v>
      </c>
      <c r="DC97" s="228">
        <v>0.28000000000000003</v>
      </c>
      <c r="DD97" s="228">
        <v>40.159999999999997</v>
      </c>
      <c r="DE97" s="228">
        <v>40.26</v>
      </c>
      <c r="DF97" s="228">
        <v>-7.99</v>
      </c>
      <c r="DG97" s="228">
        <v>-0.1</v>
      </c>
      <c r="DH97" s="228">
        <v>31.65</v>
      </c>
      <c r="DI97" s="228">
        <v>31.69</v>
      </c>
      <c r="DJ97" s="228">
        <v>-0.04</v>
      </c>
      <c r="DK97" s="228">
        <v>-0.04</v>
      </c>
      <c r="DL97" s="228">
        <v>32.92</v>
      </c>
      <c r="DM97" s="228">
        <v>32.25</v>
      </c>
      <c r="DN97" s="228">
        <v>0.67</v>
      </c>
      <c r="DO97" s="228">
        <v>0.67</v>
      </c>
      <c r="DP97" s="228">
        <v>0.97</v>
      </c>
      <c r="DQ97" s="228">
        <v>0.63</v>
      </c>
      <c r="DR97" s="228">
        <v>0.34</v>
      </c>
      <c r="DS97" s="229">
        <v>0.53969999999999996</v>
      </c>
      <c r="DT97" s="231">
        <v>4600</v>
      </c>
      <c r="DU97" s="231">
        <v>4200</v>
      </c>
      <c r="DV97" s="228">
        <v>0.64</v>
      </c>
      <c r="DW97" s="228">
        <v>1.39</v>
      </c>
      <c r="DX97" s="228">
        <v>-0.75</v>
      </c>
      <c r="DY97" s="229">
        <v>-0.53959999999999997</v>
      </c>
      <c r="DZ97" s="229">
        <v>0.83550000000000002</v>
      </c>
      <c r="EA97" s="230">
        <v>6789600</v>
      </c>
      <c r="EB97" s="229">
        <v>8.0000000000000002E-3</v>
      </c>
      <c r="EC97" s="229">
        <v>0.83550000000000002</v>
      </c>
      <c r="ED97" s="228">
        <v>34.659999999999997</v>
      </c>
      <c r="EE97" s="229">
        <v>7.7999999999999996E-3</v>
      </c>
      <c r="EF97" s="230">
        <v>291587</v>
      </c>
      <c r="EG97" s="230">
        <v>1447551</v>
      </c>
      <c r="EH97" s="229">
        <v>-0.79859999999999998</v>
      </c>
      <c r="EI97" s="229">
        <v>0.37330000000000002</v>
      </c>
      <c r="EJ97" s="231">
        <v>335373.51</v>
      </c>
      <c r="EK97" s="231">
        <v>205929.85</v>
      </c>
      <c r="EL97" s="231">
        <v>188602.28</v>
      </c>
      <c r="EM97" s="231">
        <v>26476</v>
      </c>
      <c r="EN97" s="231">
        <v>729905.64</v>
      </c>
      <c r="EO97" s="231">
        <v>2499328.2200000002</v>
      </c>
      <c r="EP97" s="231">
        <v>-1769422.58</v>
      </c>
      <c r="EQ97" s="229">
        <v>-0.70799999999999996</v>
      </c>
      <c r="ER97" s="231">
        <v>68717</v>
      </c>
      <c r="ES97" s="231">
        <v>61749</v>
      </c>
      <c r="ET97" s="231">
        <v>337250</v>
      </c>
      <c r="EU97" s="231">
        <v>33878797</v>
      </c>
      <c r="EV97" s="231">
        <v>467717</v>
      </c>
      <c r="EW97" s="231">
        <v>787001</v>
      </c>
      <c r="EX97" s="231">
        <v>-319284</v>
      </c>
      <c r="EY97" s="229">
        <v>-0.40570000000000001</v>
      </c>
      <c r="EZ97" s="229">
        <v>0.30590000000000001</v>
      </c>
      <c r="FA97" s="227" t="s">
        <v>567</v>
      </c>
      <c r="FB97" s="161">
        <f t="shared" si="1"/>
        <v>6008400</v>
      </c>
    </row>
    <row r="98" spans="1:158" ht="17.25" thickBot="1" x14ac:dyDescent="0.3">
      <c r="A98" s="226">
        <v>46168</v>
      </c>
      <c r="B98" s="227" t="s">
        <v>172</v>
      </c>
      <c r="C98" s="227" t="s">
        <v>239</v>
      </c>
      <c r="D98" s="228">
        <v>700</v>
      </c>
      <c r="E98" s="228">
        <v>937.35</v>
      </c>
      <c r="F98" s="228">
        <v>930.55</v>
      </c>
      <c r="G98" s="228">
        <v>6.8</v>
      </c>
      <c r="H98" s="229">
        <v>7.3000000000000001E-3</v>
      </c>
      <c r="I98" s="228">
        <v>932.3</v>
      </c>
      <c r="J98" s="228">
        <v>926.1</v>
      </c>
      <c r="K98" s="228">
        <v>6.2</v>
      </c>
      <c r="L98" s="229">
        <v>6.7000000000000002E-3</v>
      </c>
      <c r="M98" s="228">
        <v>930.95</v>
      </c>
      <c r="N98" s="228">
        <v>928.35</v>
      </c>
      <c r="O98" s="228">
        <v>2.6</v>
      </c>
      <c r="P98" s="229">
        <v>2.8E-3</v>
      </c>
      <c r="Q98" s="228">
        <v>937.35</v>
      </c>
      <c r="R98" s="228">
        <v>930.55</v>
      </c>
      <c r="S98" s="228">
        <v>6.8</v>
      </c>
      <c r="T98" s="229">
        <v>7.3000000000000001E-3</v>
      </c>
      <c r="U98" s="228">
        <v>942.5</v>
      </c>
      <c r="V98" s="228">
        <v>936.5</v>
      </c>
      <c r="W98" s="228">
        <v>6</v>
      </c>
      <c r="X98" s="229">
        <v>6.4000000000000003E-3</v>
      </c>
      <c r="Y98" s="228">
        <v>5.05</v>
      </c>
      <c r="Z98" s="228">
        <v>2.25</v>
      </c>
      <c r="AA98" s="228">
        <v>2.8</v>
      </c>
      <c r="AB98" s="229">
        <v>5.4000000000000003E-3</v>
      </c>
      <c r="AC98" s="228">
        <v>-1.35</v>
      </c>
      <c r="AD98" s="228">
        <v>2.25</v>
      </c>
      <c r="AE98" s="228">
        <v>-3.6</v>
      </c>
      <c r="AF98" s="229">
        <v>-1.4E-3</v>
      </c>
      <c r="AG98" s="228">
        <v>5.05</v>
      </c>
      <c r="AH98" s="228">
        <v>4.45</v>
      </c>
      <c r="AI98" s="228">
        <v>0.6</v>
      </c>
      <c r="AJ98" s="229">
        <v>5.4000000000000003E-3</v>
      </c>
      <c r="AK98" s="228">
        <v>10.199999999999999</v>
      </c>
      <c r="AL98" s="228">
        <v>10.4</v>
      </c>
      <c r="AM98" s="228">
        <v>-0.2</v>
      </c>
      <c r="AN98" s="229">
        <v>1.09E-2</v>
      </c>
      <c r="AO98" s="228">
        <v>926.47</v>
      </c>
      <c r="AP98" s="228">
        <v>931.96</v>
      </c>
      <c r="AQ98" s="228">
        <v>0</v>
      </c>
      <c r="AR98" s="230">
        <v>9237200</v>
      </c>
      <c r="AS98" s="230">
        <v>19050500</v>
      </c>
      <c r="AT98" s="230">
        <v>-9813300</v>
      </c>
      <c r="AU98" s="229">
        <v>-0.5151</v>
      </c>
      <c r="AV98" s="230">
        <v>3389400</v>
      </c>
      <c r="AW98" s="230">
        <v>9111900</v>
      </c>
      <c r="AX98" s="230">
        <v>-5722500</v>
      </c>
      <c r="AY98" s="229">
        <v>-0.628</v>
      </c>
      <c r="AZ98" s="230">
        <v>5744900</v>
      </c>
      <c r="BA98" s="230">
        <v>9880500</v>
      </c>
      <c r="BB98" s="230">
        <v>-4135600</v>
      </c>
      <c r="BC98" s="229">
        <v>-0.41860000000000003</v>
      </c>
      <c r="BD98" s="230">
        <v>102900</v>
      </c>
      <c r="BE98" s="230">
        <v>58100</v>
      </c>
      <c r="BF98" s="230">
        <v>44800</v>
      </c>
      <c r="BG98" s="229">
        <v>0.77110000000000001</v>
      </c>
      <c r="BH98" s="230">
        <v>4471600</v>
      </c>
      <c r="BI98" s="230">
        <v>10980900</v>
      </c>
      <c r="BJ98" s="230">
        <v>-6509300</v>
      </c>
      <c r="BK98" s="229">
        <v>-0.59279999999999999</v>
      </c>
      <c r="BL98" s="230">
        <v>2692200</v>
      </c>
      <c r="BM98" s="230">
        <v>6234200</v>
      </c>
      <c r="BN98" s="230">
        <v>-3542000</v>
      </c>
      <c r="BO98" s="229">
        <v>-0.56820000000000004</v>
      </c>
      <c r="BP98" s="230">
        <v>16401000</v>
      </c>
      <c r="BQ98" s="230">
        <v>36265600</v>
      </c>
      <c r="BR98" s="230">
        <v>-19864600</v>
      </c>
      <c r="BS98" s="229">
        <v>-0.54779999999999995</v>
      </c>
      <c r="BT98" s="230">
        <v>2370881</v>
      </c>
      <c r="BU98" s="230">
        <v>1241962</v>
      </c>
      <c r="BV98" s="230">
        <v>1128919</v>
      </c>
      <c r="BW98" s="229">
        <v>0.90900000000000003</v>
      </c>
      <c r="BX98" s="230">
        <v>37107700</v>
      </c>
      <c r="BY98" s="230">
        <v>37986200</v>
      </c>
      <c r="BZ98" s="230">
        <v>-878500</v>
      </c>
      <c r="CA98" s="229">
        <v>-2.3099999999999999E-2</v>
      </c>
      <c r="CB98" s="230">
        <v>1821400</v>
      </c>
      <c r="CC98" s="230">
        <v>3937500</v>
      </c>
      <c r="CD98" s="230">
        <v>-2116100</v>
      </c>
      <c r="CE98" s="229">
        <v>-0.53739999999999999</v>
      </c>
      <c r="CF98" s="230">
        <v>32120900</v>
      </c>
      <c r="CG98" s="230">
        <v>29087800</v>
      </c>
      <c r="CH98" s="230">
        <v>3033100</v>
      </c>
      <c r="CI98" s="229">
        <v>0.1043</v>
      </c>
      <c r="CJ98" s="230">
        <v>4986800</v>
      </c>
      <c r="CK98" s="230">
        <v>4960900</v>
      </c>
      <c r="CL98" s="230">
        <v>25900</v>
      </c>
      <c r="CM98" s="229">
        <v>5.1999999999999998E-3</v>
      </c>
      <c r="CN98" s="230">
        <v>2153900</v>
      </c>
      <c r="CO98" s="230">
        <v>6597500</v>
      </c>
      <c r="CP98" s="230">
        <v>-4443600</v>
      </c>
      <c r="CQ98" s="229">
        <v>-0.67349999999999999</v>
      </c>
      <c r="CR98" s="230">
        <v>2219700</v>
      </c>
      <c r="CS98" s="230">
        <v>5337500</v>
      </c>
      <c r="CT98" s="230">
        <v>-3117800</v>
      </c>
      <c r="CU98" s="229">
        <v>-0.58409999999999995</v>
      </c>
      <c r="CV98" s="230">
        <v>41481300</v>
      </c>
      <c r="CW98" s="230">
        <v>49921200</v>
      </c>
      <c r="CX98" s="230">
        <v>-8439900</v>
      </c>
      <c r="CY98" s="229">
        <v>-0.1691</v>
      </c>
      <c r="CZ98" s="228">
        <v>26.23</v>
      </c>
      <c r="DA98" s="228">
        <v>27.34</v>
      </c>
      <c r="DB98" s="228">
        <v>-1.1100000000000001</v>
      </c>
      <c r="DC98" s="228">
        <v>-1.1100000000000001</v>
      </c>
      <c r="DD98" s="228">
        <v>42.74</v>
      </c>
      <c r="DE98" s="228">
        <v>42.83</v>
      </c>
      <c r="DF98" s="228">
        <v>-16.510000000000002</v>
      </c>
      <c r="DG98" s="228">
        <v>-0.09</v>
      </c>
      <c r="DH98" s="228">
        <v>25.85</v>
      </c>
      <c r="DI98" s="228">
        <v>27.36</v>
      </c>
      <c r="DJ98" s="228">
        <v>-1.51</v>
      </c>
      <c r="DK98" s="228">
        <v>-1.51</v>
      </c>
      <c r="DL98" s="228">
        <v>27.02</v>
      </c>
      <c r="DM98" s="228">
        <v>27.32</v>
      </c>
      <c r="DN98" s="228">
        <v>-0.3</v>
      </c>
      <c r="DO98" s="228">
        <v>-0.3</v>
      </c>
      <c r="DP98" s="228">
        <v>1.03</v>
      </c>
      <c r="DQ98" s="228">
        <v>0.81</v>
      </c>
      <c r="DR98" s="228">
        <v>0.22</v>
      </c>
      <c r="DS98" s="229">
        <v>0.27160000000000001</v>
      </c>
      <c r="DT98" s="231">
        <v>1000</v>
      </c>
      <c r="DU98" s="228">
        <v>900</v>
      </c>
      <c r="DV98" s="228">
        <v>0.6</v>
      </c>
      <c r="DW98" s="228">
        <v>0.56999999999999995</v>
      </c>
      <c r="DX98" s="228">
        <v>0.03</v>
      </c>
      <c r="DY98" s="229">
        <v>5.2600000000000001E-2</v>
      </c>
      <c r="DZ98" s="229">
        <v>0.95320000000000005</v>
      </c>
      <c r="EA98" s="230">
        <v>34048700</v>
      </c>
      <c r="EB98" s="229">
        <v>6.8999999999999999E-3</v>
      </c>
      <c r="EC98" s="229">
        <v>0.95320000000000005</v>
      </c>
      <c r="ED98" s="228">
        <v>5.49</v>
      </c>
      <c r="EE98" s="229">
        <v>5.8999999999999999E-3</v>
      </c>
      <c r="EF98" s="230">
        <v>731986</v>
      </c>
      <c r="EG98" s="230">
        <v>521163</v>
      </c>
      <c r="EH98" s="229">
        <v>0.40450000000000003</v>
      </c>
      <c r="EI98" s="229">
        <v>0.30869999999999997</v>
      </c>
      <c r="EJ98" s="231">
        <v>43038.92</v>
      </c>
      <c r="EK98" s="231">
        <v>24804.68</v>
      </c>
      <c r="EL98" s="231">
        <v>85907.95</v>
      </c>
      <c r="EM98" s="231">
        <v>22808</v>
      </c>
      <c r="EN98" s="231">
        <v>153751.54999999999</v>
      </c>
      <c r="EO98" s="231">
        <v>337729.61</v>
      </c>
      <c r="EP98" s="231">
        <v>-183978.06</v>
      </c>
      <c r="EQ98" s="229">
        <v>-0.54469999999999996</v>
      </c>
      <c r="ER98" s="231">
        <v>20663</v>
      </c>
      <c r="ES98" s="231">
        <v>19861</v>
      </c>
      <c r="ET98" s="231">
        <v>348086</v>
      </c>
      <c r="EU98" s="231">
        <v>93808799</v>
      </c>
      <c r="EV98" s="231">
        <v>388610</v>
      </c>
      <c r="EW98" s="231">
        <v>462703</v>
      </c>
      <c r="EX98" s="231">
        <v>-74093</v>
      </c>
      <c r="EY98" s="229">
        <v>-0.16009999999999999</v>
      </c>
      <c r="EZ98" s="229">
        <v>0.44219999999999998</v>
      </c>
      <c r="FA98" s="227" t="s">
        <v>691</v>
      </c>
      <c r="FB98" s="161">
        <f t="shared" si="1"/>
        <v>35286300</v>
      </c>
    </row>
    <row r="99" spans="1:158" ht="17.25" thickBot="1" x14ac:dyDescent="0.3">
      <c r="A99" s="226">
        <v>46168</v>
      </c>
      <c r="B99" s="227" t="s">
        <v>188</v>
      </c>
      <c r="C99" s="227" t="s">
        <v>473</v>
      </c>
      <c r="D99" s="228">
        <v>1700</v>
      </c>
      <c r="E99" s="228">
        <v>437.05</v>
      </c>
      <c r="F99" s="228">
        <v>442.55</v>
      </c>
      <c r="G99" s="228">
        <v>-5.5</v>
      </c>
      <c r="H99" s="229">
        <v>-1.24E-2</v>
      </c>
      <c r="I99" s="228">
        <v>433.25</v>
      </c>
      <c r="J99" s="228">
        <v>438.85</v>
      </c>
      <c r="K99" s="228">
        <v>-5.6</v>
      </c>
      <c r="L99" s="229">
        <v>-1.2800000000000001E-2</v>
      </c>
      <c r="M99" s="228">
        <v>434.15</v>
      </c>
      <c r="N99" s="228">
        <v>439.35</v>
      </c>
      <c r="O99" s="228">
        <v>-5.2</v>
      </c>
      <c r="P99" s="229">
        <v>-1.18E-2</v>
      </c>
      <c r="Q99" s="228">
        <v>437.05</v>
      </c>
      <c r="R99" s="228">
        <v>442.55</v>
      </c>
      <c r="S99" s="228">
        <v>-5.5</v>
      </c>
      <c r="T99" s="229">
        <v>-1.24E-2</v>
      </c>
      <c r="U99" s="228">
        <v>439.8</v>
      </c>
      <c r="V99" s="228">
        <v>445.65</v>
      </c>
      <c r="W99" s="228">
        <v>-5.85</v>
      </c>
      <c r="X99" s="229">
        <v>-1.3100000000000001E-2</v>
      </c>
      <c r="Y99" s="228">
        <v>3.8</v>
      </c>
      <c r="Z99" s="228">
        <v>0.5</v>
      </c>
      <c r="AA99" s="228">
        <v>3.3</v>
      </c>
      <c r="AB99" s="229">
        <v>8.8000000000000005E-3</v>
      </c>
      <c r="AC99" s="228">
        <v>0.9</v>
      </c>
      <c r="AD99" s="228">
        <v>0.5</v>
      </c>
      <c r="AE99" s="228">
        <v>0.4</v>
      </c>
      <c r="AF99" s="229">
        <v>2.0999999999999999E-3</v>
      </c>
      <c r="AG99" s="228">
        <v>3.8</v>
      </c>
      <c r="AH99" s="228">
        <v>3.7</v>
      </c>
      <c r="AI99" s="228">
        <v>0.1</v>
      </c>
      <c r="AJ99" s="229">
        <v>8.8000000000000005E-3</v>
      </c>
      <c r="AK99" s="228">
        <v>6.55</v>
      </c>
      <c r="AL99" s="228">
        <v>6.8</v>
      </c>
      <c r="AM99" s="228">
        <v>-0.25</v>
      </c>
      <c r="AN99" s="229">
        <v>1.5100000000000001E-2</v>
      </c>
      <c r="AO99" s="228">
        <v>436.48</v>
      </c>
      <c r="AP99" s="228">
        <v>439.16</v>
      </c>
      <c r="AQ99" s="228">
        <v>0</v>
      </c>
      <c r="AR99" s="230">
        <v>32313600</v>
      </c>
      <c r="AS99" s="230">
        <v>41468100</v>
      </c>
      <c r="AT99" s="230">
        <v>-9154500</v>
      </c>
      <c r="AU99" s="229">
        <v>-0.2208</v>
      </c>
      <c r="AV99" s="230">
        <v>12200900</v>
      </c>
      <c r="AW99" s="230">
        <v>17940100</v>
      </c>
      <c r="AX99" s="230">
        <v>-5739200</v>
      </c>
      <c r="AY99" s="229">
        <v>-0.31990000000000002</v>
      </c>
      <c r="AZ99" s="230">
        <v>19866200</v>
      </c>
      <c r="BA99" s="230">
        <v>23249200</v>
      </c>
      <c r="BB99" s="230">
        <v>-3383000</v>
      </c>
      <c r="BC99" s="229">
        <v>-0.14549999999999999</v>
      </c>
      <c r="BD99" s="230">
        <v>246500</v>
      </c>
      <c r="BE99" s="230">
        <v>278800</v>
      </c>
      <c r="BF99" s="230">
        <v>-32300</v>
      </c>
      <c r="BG99" s="229">
        <v>-0.1159</v>
      </c>
      <c r="BH99" s="230">
        <v>50083700</v>
      </c>
      <c r="BI99" s="230">
        <v>32475100</v>
      </c>
      <c r="BJ99" s="230">
        <v>17608600</v>
      </c>
      <c r="BK99" s="229">
        <v>0.54220000000000002</v>
      </c>
      <c r="BL99" s="230">
        <v>24814900</v>
      </c>
      <c r="BM99" s="230">
        <v>15893300</v>
      </c>
      <c r="BN99" s="230">
        <v>8921600</v>
      </c>
      <c r="BO99" s="229">
        <v>0.56130000000000002</v>
      </c>
      <c r="BP99" s="230">
        <v>107212200</v>
      </c>
      <c r="BQ99" s="230">
        <v>89836500</v>
      </c>
      <c r="BR99" s="230">
        <v>17375700</v>
      </c>
      <c r="BS99" s="229">
        <v>0.19339999999999999</v>
      </c>
      <c r="BT99" s="230">
        <v>10616271</v>
      </c>
      <c r="BU99" s="230">
        <v>4600829</v>
      </c>
      <c r="BV99" s="230">
        <v>6015442</v>
      </c>
      <c r="BW99" s="229">
        <v>1.3075000000000001</v>
      </c>
      <c r="BX99" s="230">
        <v>91553500</v>
      </c>
      <c r="BY99" s="230">
        <v>94186800</v>
      </c>
      <c r="BZ99" s="230">
        <v>-2633300</v>
      </c>
      <c r="CA99" s="229">
        <v>-2.8000000000000001E-2</v>
      </c>
      <c r="CB99" s="230">
        <v>5596400</v>
      </c>
      <c r="CC99" s="230">
        <v>13288900</v>
      </c>
      <c r="CD99" s="230">
        <v>-7692500</v>
      </c>
      <c r="CE99" s="229">
        <v>-0.57889999999999997</v>
      </c>
      <c r="CF99" s="230">
        <v>89051100</v>
      </c>
      <c r="CG99" s="230">
        <v>78558700</v>
      </c>
      <c r="CH99" s="230">
        <v>10492400</v>
      </c>
      <c r="CI99" s="229">
        <v>0.1336</v>
      </c>
      <c r="CJ99" s="230">
        <v>2502400</v>
      </c>
      <c r="CK99" s="230">
        <v>2339200</v>
      </c>
      <c r="CL99" s="230">
        <v>163200</v>
      </c>
      <c r="CM99" s="229">
        <v>6.9800000000000001E-2</v>
      </c>
      <c r="CN99" s="230">
        <v>15075600</v>
      </c>
      <c r="CO99" s="230">
        <v>30787000</v>
      </c>
      <c r="CP99" s="230">
        <v>-15711400</v>
      </c>
      <c r="CQ99" s="229">
        <v>-0.51029999999999998</v>
      </c>
      <c r="CR99" s="230">
        <v>15925600</v>
      </c>
      <c r="CS99" s="230">
        <v>28095900</v>
      </c>
      <c r="CT99" s="230">
        <v>-12170300</v>
      </c>
      <c r="CU99" s="229">
        <v>-0.43319999999999997</v>
      </c>
      <c r="CV99" s="230">
        <v>122554700</v>
      </c>
      <c r="CW99" s="230">
        <v>153069700</v>
      </c>
      <c r="CX99" s="230">
        <v>-30515000</v>
      </c>
      <c r="CY99" s="229">
        <v>-0.19939999999999999</v>
      </c>
      <c r="CZ99" s="228">
        <v>23.54</v>
      </c>
      <c r="DA99" s="228">
        <v>23.26</v>
      </c>
      <c r="DB99" s="228">
        <v>0.28000000000000003</v>
      </c>
      <c r="DC99" s="228">
        <v>0.28000000000000003</v>
      </c>
      <c r="DD99" s="228">
        <v>36.81</v>
      </c>
      <c r="DE99" s="228">
        <v>36.86</v>
      </c>
      <c r="DF99" s="228">
        <v>-13.27</v>
      </c>
      <c r="DG99" s="228">
        <v>-0.05</v>
      </c>
      <c r="DH99" s="228">
        <v>23.37</v>
      </c>
      <c r="DI99" s="228">
        <v>23.95</v>
      </c>
      <c r="DJ99" s="228">
        <v>-0.57999999999999996</v>
      </c>
      <c r="DK99" s="228">
        <v>-0.57999999999999996</v>
      </c>
      <c r="DL99" s="228">
        <v>23.82</v>
      </c>
      <c r="DM99" s="228">
        <v>22.27</v>
      </c>
      <c r="DN99" s="228">
        <v>1.55</v>
      </c>
      <c r="DO99" s="228">
        <v>1.55</v>
      </c>
      <c r="DP99" s="228">
        <v>1.06</v>
      </c>
      <c r="DQ99" s="228">
        <v>0.91</v>
      </c>
      <c r="DR99" s="228">
        <v>0.15</v>
      </c>
      <c r="DS99" s="229">
        <v>0.1648</v>
      </c>
      <c r="DT99" s="228">
        <v>440</v>
      </c>
      <c r="DU99" s="228">
        <v>420</v>
      </c>
      <c r="DV99" s="228">
        <v>0.5</v>
      </c>
      <c r="DW99" s="228">
        <v>0.49</v>
      </c>
      <c r="DX99" s="228">
        <v>0.01</v>
      </c>
      <c r="DY99" s="229">
        <v>2.0400000000000001E-2</v>
      </c>
      <c r="DZ99" s="229">
        <v>0.94240000000000002</v>
      </c>
      <c r="EA99" s="230">
        <v>80897900</v>
      </c>
      <c r="EB99" s="229">
        <v>6.7000000000000002E-3</v>
      </c>
      <c r="EC99" s="229">
        <v>0.94240000000000002</v>
      </c>
      <c r="ED99" s="228">
        <v>2.68</v>
      </c>
      <c r="EE99" s="229">
        <v>6.1000000000000004E-3</v>
      </c>
      <c r="EF99" s="230">
        <v>5451941</v>
      </c>
      <c r="EG99" s="230">
        <v>2826591</v>
      </c>
      <c r="EH99" s="229">
        <v>0.92879999999999996</v>
      </c>
      <c r="EI99" s="229">
        <v>0.51349999999999996</v>
      </c>
      <c r="EJ99" s="231">
        <v>226174.78</v>
      </c>
      <c r="EK99" s="231">
        <v>106992.09</v>
      </c>
      <c r="EL99" s="231">
        <v>141585.16</v>
      </c>
      <c r="EM99" s="231">
        <v>22072</v>
      </c>
      <c r="EN99" s="231">
        <v>474752.03</v>
      </c>
      <c r="EO99" s="231">
        <v>394520.69</v>
      </c>
      <c r="EP99" s="231">
        <v>80231.34</v>
      </c>
      <c r="EQ99" s="229">
        <v>0.2034</v>
      </c>
      <c r="ER99" s="231">
        <v>67640</v>
      </c>
      <c r="ES99" s="231">
        <v>67467</v>
      </c>
      <c r="ET99" s="231">
        <v>400203</v>
      </c>
      <c r="EU99" s="231">
        <v>193625858</v>
      </c>
      <c r="EV99" s="231">
        <v>535311</v>
      </c>
      <c r="EW99" s="231">
        <v>667192</v>
      </c>
      <c r="EX99" s="231">
        <v>-131881</v>
      </c>
      <c r="EY99" s="229">
        <v>-0.19769999999999999</v>
      </c>
      <c r="EZ99" s="229">
        <v>0.63290000000000002</v>
      </c>
      <c r="FA99" s="227" t="s">
        <v>567</v>
      </c>
      <c r="FB99" s="161">
        <f t="shared" si="1"/>
        <v>85957100</v>
      </c>
    </row>
    <row r="100" spans="1:158" ht="17.25" thickBot="1" x14ac:dyDescent="0.3">
      <c r="A100" s="226">
        <v>46168</v>
      </c>
      <c r="B100" s="227" t="s">
        <v>221</v>
      </c>
      <c r="C100" s="227" t="s">
        <v>240</v>
      </c>
      <c r="D100" s="228">
        <v>400</v>
      </c>
      <c r="E100" s="231">
        <v>1166</v>
      </c>
      <c r="F100" s="231">
        <v>1158.5999999999999</v>
      </c>
      <c r="G100" s="228">
        <v>7.4</v>
      </c>
      <c r="H100" s="229">
        <v>6.4000000000000003E-3</v>
      </c>
      <c r="I100" s="231">
        <v>1167.7</v>
      </c>
      <c r="J100" s="231">
        <v>1168.5</v>
      </c>
      <c r="K100" s="228">
        <v>-0.8</v>
      </c>
      <c r="L100" s="229">
        <v>-6.9999999999999999E-4</v>
      </c>
      <c r="M100" s="231">
        <v>1165.9000000000001</v>
      </c>
      <c r="N100" s="231">
        <v>1169.7</v>
      </c>
      <c r="O100" s="228">
        <v>-3.8</v>
      </c>
      <c r="P100" s="229">
        <v>-3.2000000000000002E-3</v>
      </c>
      <c r="Q100" s="231">
        <v>1166</v>
      </c>
      <c r="R100" s="231">
        <v>1158.5999999999999</v>
      </c>
      <c r="S100" s="228">
        <v>7.4</v>
      </c>
      <c r="T100" s="229">
        <v>6.4000000000000003E-3</v>
      </c>
      <c r="U100" s="231">
        <v>1165.0999999999999</v>
      </c>
      <c r="V100" s="231">
        <v>1153.5</v>
      </c>
      <c r="W100" s="228">
        <v>11.6</v>
      </c>
      <c r="X100" s="229">
        <v>1.01E-2</v>
      </c>
      <c r="Y100" s="228">
        <v>-1.7</v>
      </c>
      <c r="Z100" s="228">
        <v>1.2</v>
      </c>
      <c r="AA100" s="228">
        <v>-2.9</v>
      </c>
      <c r="AB100" s="229">
        <v>-1.5E-3</v>
      </c>
      <c r="AC100" s="228">
        <v>-1.8</v>
      </c>
      <c r="AD100" s="228">
        <v>1.2</v>
      </c>
      <c r="AE100" s="228">
        <v>-3</v>
      </c>
      <c r="AF100" s="229">
        <v>-1.5E-3</v>
      </c>
      <c r="AG100" s="228">
        <v>-1.7</v>
      </c>
      <c r="AH100" s="228">
        <v>-9.9</v>
      </c>
      <c r="AI100" s="228">
        <v>8.1999999999999993</v>
      </c>
      <c r="AJ100" s="229">
        <v>-1.5E-3</v>
      </c>
      <c r="AK100" s="228">
        <v>-2.6</v>
      </c>
      <c r="AL100" s="228">
        <v>-15</v>
      </c>
      <c r="AM100" s="228">
        <v>12.4</v>
      </c>
      <c r="AN100" s="229">
        <v>-2.2000000000000001E-3</v>
      </c>
      <c r="AO100" s="231">
        <v>1174.1199999999999</v>
      </c>
      <c r="AP100" s="231">
        <v>1168.3599999999999</v>
      </c>
      <c r="AQ100" s="228">
        <v>0</v>
      </c>
      <c r="AR100" s="230">
        <v>23141200</v>
      </c>
      <c r="AS100" s="230">
        <v>56842400</v>
      </c>
      <c r="AT100" s="230">
        <v>-33701200</v>
      </c>
      <c r="AU100" s="229">
        <v>-0.59289999999999998</v>
      </c>
      <c r="AV100" s="230">
        <v>9528400</v>
      </c>
      <c r="AW100" s="230">
        <v>26572400</v>
      </c>
      <c r="AX100" s="230">
        <v>-17044000</v>
      </c>
      <c r="AY100" s="229">
        <v>-0.64139999999999997</v>
      </c>
      <c r="AZ100" s="230">
        <v>13026800</v>
      </c>
      <c r="BA100" s="230">
        <v>29116800</v>
      </c>
      <c r="BB100" s="230">
        <v>-16090000</v>
      </c>
      <c r="BC100" s="229">
        <v>-0.55259999999999998</v>
      </c>
      <c r="BD100" s="230">
        <v>586000</v>
      </c>
      <c r="BE100" s="230">
        <v>1153200</v>
      </c>
      <c r="BF100" s="230">
        <v>-567200</v>
      </c>
      <c r="BG100" s="229">
        <v>-0.49180000000000001</v>
      </c>
      <c r="BH100" s="230">
        <v>31910000</v>
      </c>
      <c r="BI100" s="230">
        <v>48078800</v>
      </c>
      <c r="BJ100" s="230">
        <v>-16168800</v>
      </c>
      <c r="BK100" s="229">
        <v>-0.33629999999999999</v>
      </c>
      <c r="BL100" s="230">
        <v>19227200</v>
      </c>
      <c r="BM100" s="230">
        <v>29460800</v>
      </c>
      <c r="BN100" s="230">
        <v>-10233600</v>
      </c>
      <c r="BO100" s="229">
        <v>-0.34739999999999999</v>
      </c>
      <c r="BP100" s="230">
        <v>74278400</v>
      </c>
      <c r="BQ100" s="230">
        <v>134382000</v>
      </c>
      <c r="BR100" s="230">
        <v>-60103600</v>
      </c>
      <c r="BS100" s="229">
        <v>-0.44729999999999998</v>
      </c>
      <c r="BT100" s="230">
        <v>8255095</v>
      </c>
      <c r="BU100" s="230">
        <v>6060522</v>
      </c>
      <c r="BV100" s="230">
        <v>2194573</v>
      </c>
      <c r="BW100" s="229">
        <v>0.36209999999999998</v>
      </c>
      <c r="BX100" s="230">
        <v>93046800</v>
      </c>
      <c r="BY100" s="230">
        <v>99424000</v>
      </c>
      <c r="BZ100" s="230">
        <v>-6377200</v>
      </c>
      <c r="CA100" s="229">
        <v>-6.4100000000000004E-2</v>
      </c>
      <c r="CB100" s="230">
        <v>5922800</v>
      </c>
      <c r="CC100" s="230">
        <v>10686800</v>
      </c>
      <c r="CD100" s="230">
        <v>-4764000</v>
      </c>
      <c r="CE100" s="229">
        <v>-0.44579999999999997</v>
      </c>
      <c r="CF100" s="230">
        <v>90862800</v>
      </c>
      <c r="CG100" s="230">
        <v>86839600</v>
      </c>
      <c r="CH100" s="230">
        <v>4023200</v>
      </c>
      <c r="CI100" s="229">
        <v>4.6300000000000001E-2</v>
      </c>
      <c r="CJ100" s="230">
        <v>2184000</v>
      </c>
      <c r="CK100" s="230">
        <v>1897600</v>
      </c>
      <c r="CL100" s="230">
        <v>286400</v>
      </c>
      <c r="CM100" s="229">
        <v>0.15090000000000001</v>
      </c>
      <c r="CN100" s="230">
        <v>12822000</v>
      </c>
      <c r="CO100" s="230">
        <v>38588000</v>
      </c>
      <c r="CP100" s="230">
        <v>-25766000</v>
      </c>
      <c r="CQ100" s="229">
        <v>-0.66769999999999996</v>
      </c>
      <c r="CR100" s="230">
        <v>11729200</v>
      </c>
      <c r="CS100" s="230">
        <v>25776000</v>
      </c>
      <c r="CT100" s="230">
        <v>-14046800</v>
      </c>
      <c r="CU100" s="229">
        <v>-0.54500000000000004</v>
      </c>
      <c r="CV100" s="230">
        <v>117598000</v>
      </c>
      <c r="CW100" s="230">
        <v>163788000</v>
      </c>
      <c r="CX100" s="230">
        <v>-46190000</v>
      </c>
      <c r="CY100" s="229">
        <v>-0.28199999999999997</v>
      </c>
      <c r="CZ100" s="228">
        <v>27.1</v>
      </c>
      <c r="DA100" s="228">
        <v>27.82</v>
      </c>
      <c r="DB100" s="228">
        <v>-0.72</v>
      </c>
      <c r="DC100" s="228">
        <v>-0.72</v>
      </c>
      <c r="DD100" s="228">
        <v>32.64</v>
      </c>
      <c r="DE100" s="228">
        <v>32.72</v>
      </c>
      <c r="DF100" s="228">
        <v>-5.54</v>
      </c>
      <c r="DG100" s="228">
        <v>-0.08</v>
      </c>
      <c r="DH100" s="228">
        <v>26.71</v>
      </c>
      <c r="DI100" s="228">
        <v>28.16</v>
      </c>
      <c r="DJ100" s="228">
        <v>-1.45</v>
      </c>
      <c r="DK100" s="228">
        <v>-1.45</v>
      </c>
      <c r="DL100" s="228">
        <v>27.67</v>
      </c>
      <c r="DM100" s="228">
        <v>27.34</v>
      </c>
      <c r="DN100" s="228">
        <v>0.33</v>
      </c>
      <c r="DO100" s="228">
        <v>0.33</v>
      </c>
      <c r="DP100" s="228">
        <v>0.91</v>
      </c>
      <c r="DQ100" s="228">
        <v>0.67</v>
      </c>
      <c r="DR100" s="228">
        <v>0.24</v>
      </c>
      <c r="DS100" s="229">
        <v>0.35820000000000002</v>
      </c>
      <c r="DT100" s="231">
        <v>1200</v>
      </c>
      <c r="DU100" s="231">
        <v>1200</v>
      </c>
      <c r="DV100" s="228">
        <v>0.6</v>
      </c>
      <c r="DW100" s="228">
        <v>0.61</v>
      </c>
      <c r="DX100" s="228">
        <v>-0.01</v>
      </c>
      <c r="DY100" s="229">
        <v>-1.6400000000000001E-2</v>
      </c>
      <c r="DZ100" s="229">
        <v>0.94020000000000004</v>
      </c>
      <c r="EA100" s="230">
        <v>88737200</v>
      </c>
      <c r="EB100" s="229">
        <v>1E-4</v>
      </c>
      <c r="EC100" s="229">
        <v>0.94020000000000004</v>
      </c>
      <c r="ED100" s="228">
        <v>-5.76</v>
      </c>
      <c r="EE100" s="229">
        <v>-4.8999999999999998E-3</v>
      </c>
      <c r="EF100" s="230">
        <v>4441680</v>
      </c>
      <c r="EG100" s="230">
        <v>3390102</v>
      </c>
      <c r="EH100" s="229">
        <v>0.31019999999999998</v>
      </c>
      <c r="EI100" s="229">
        <v>0.53810000000000002</v>
      </c>
      <c r="EJ100" s="231">
        <v>392068.08</v>
      </c>
      <c r="EK100" s="231">
        <v>229703.3</v>
      </c>
      <c r="EL100" s="231">
        <v>270913.53999999998</v>
      </c>
      <c r="EM100" s="231">
        <v>121152</v>
      </c>
      <c r="EN100" s="231">
        <v>892684.92</v>
      </c>
      <c r="EO100" s="231">
        <v>1595120.6</v>
      </c>
      <c r="EP100" s="231">
        <v>-702435.68</v>
      </c>
      <c r="EQ100" s="229">
        <v>-0.44040000000000001</v>
      </c>
      <c r="ER100" s="231">
        <v>157408</v>
      </c>
      <c r="ES100" s="231">
        <v>137386</v>
      </c>
      <c r="ET100" s="231">
        <v>1084906</v>
      </c>
      <c r="EU100" s="231">
        <v>475237614</v>
      </c>
      <c r="EV100" s="231">
        <v>1379701</v>
      </c>
      <c r="EW100" s="231">
        <v>1929309</v>
      </c>
      <c r="EX100" s="231">
        <v>-549608</v>
      </c>
      <c r="EY100" s="229">
        <v>-0.28489999999999999</v>
      </c>
      <c r="EZ100" s="229">
        <v>0.2475</v>
      </c>
      <c r="FA100" s="227" t="s">
        <v>691</v>
      </c>
      <c r="FB100" s="161">
        <f t="shared" si="1"/>
        <v>87124000</v>
      </c>
    </row>
    <row r="101" spans="1:158" ht="17.25" thickBot="1" x14ac:dyDescent="0.3">
      <c r="A101" s="226">
        <v>46168</v>
      </c>
      <c r="B101" s="227" t="s">
        <v>161</v>
      </c>
      <c r="C101" s="227" t="s">
        <v>666</v>
      </c>
      <c r="D101" s="228">
        <v>3575</v>
      </c>
      <c r="E101" s="228">
        <v>96.95</v>
      </c>
      <c r="F101" s="228">
        <v>97.79</v>
      </c>
      <c r="G101" s="228">
        <v>-0.84</v>
      </c>
      <c r="H101" s="229">
        <v>-8.6E-3</v>
      </c>
      <c r="I101" s="228">
        <v>96.22</v>
      </c>
      <c r="J101" s="228">
        <v>97.04</v>
      </c>
      <c r="K101" s="228">
        <v>-0.82</v>
      </c>
      <c r="L101" s="229">
        <v>-8.5000000000000006E-3</v>
      </c>
      <c r="M101" s="228">
        <v>96.15</v>
      </c>
      <c r="N101" s="228">
        <v>97.22</v>
      </c>
      <c r="O101" s="228">
        <v>-1.07</v>
      </c>
      <c r="P101" s="229">
        <v>-1.0999999999999999E-2</v>
      </c>
      <c r="Q101" s="228">
        <v>96.95</v>
      </c>
      <c r="R101" s="228">
        <v>97.79</v>
      </c>
      <c r="S101" s="228">
        <v>-0.84</v>
      </c>
      <c r="T101" s="229">
        <v>-8.6E-3</v>
      </c>
      <c r="U101" s="228">
        <v>97.83</v>
      </c>
      <c r="V101" s="228">
        <v>98.2</v>
      </c>
      <c r="W101" s="228">
        <v>-0.37</v>
      </c>
      <c r="X101" s="229">
        <v>-3.8E-3</v>
      </c>
      <c r="Y101" s="228">
        <v>0.73</v>
      </c>
      <c r="Z101" s="228">
        <v>0.18</v>
      </c>
      <c r="AA101" s="228">
        <v>0.55000000000000004</v>
      </c>
      <c r="AB101" s="229">
        <v>7.6E-3</v>
      </c>
      <c r="AC101" s="228">
        <v>-7.0000000000000007E-2</v>
      </c>
      <c r="AD101" s="228">
        <v>0.18</v>
      </c>
      <c r="AE101" s="228">
        <v>-0.25</v>
      </c>
      <c r="AF101" s="229">
        <v>-6.9999999999999999E-4</v>
      </c>
      <c r="AG101" s="228">
        <v>0.73</v>
      </c>
      <c r="AH101" s="228">
        <v>0.75</v>
      </c>
      <c r="AI101" s="228">
        <v>-0.02</v>
      </c>
      <c r="AJ101" s="229">
        <v>7.6E-3</v>
      </c>
      <c r="AK101" s="228">
        <v>1.61</v>
      </c>
      <c r="AL101" s="228">
        <v>1.1599999999999999</v>
      </c>
      <c r="AM101" s="228">
        <v>0.45</v>
      </c>
      <c r="AN101" s="229">
        <v>1.67E-2</v>
      </c>
      <c r="AO101" s="228">
        <v>96.95</v>
      </c>
      <c r="AP101" s="228">
        <v>97.52</v>
      </c>
      <c r="AQ101" s="228">
        <v>0</v>
      </c>
      <c r="AR101" s="230">
        <v>71685900</v>
      </c>
      <c r="AS101" s="230">
        <v>65704925</v>
      </c>
      <c r="AT101" s="230">
        <v>5980975</v>
      </c>
      <c r="AU101" s="229">
        <v>9.0999999999999998E-2</v>
      </c>
      <c r="AV101" s="230">
        <v>31352750</v>
      </c>
      <c r="AW101" s="230">
        <v>30669925</v>
      </c>
      <c r="AX101" s="230">
        <v>682825</v>
      </c>
      <c r="AY101" s="229">
        <v>2.23E-2</v>
      </c>
      <c r="AZ101" s="230">
        <v>39846950</v>
      </c>
      <c r="BA101" s="230">
        <v>34741850</v>
      </c>
      <c r="BB101" s="230">
        <v>5105100</v>
      </c>
      <c r="BC101" s="229">
        <v>0.1469</v>
      </c>
      <c r="BD101" s="230">
        <v>486200</v>
      </c>
      <c r="BE101" s="230">
        <v>293150</v>
      </c>
      <c r="BF101" s="230">
        <v>193050</v>
      </c>
      <c r="BG101" s="229">
        <v>0.65849999999999997</v>
      </c>
      <c r="BH101" s="230">
        <v>40175850</v>
      </c>
      <c r="BI101" s="230">
        <v>36625875</v>
      </c>
      <c r="BJ101" s="230">
        <v>3549975</v>
      </c>
      <c r="BK101" s="229">
        <v>9.69E-2</v>
      </c>
      <c r="BL101" s="230">
        <v>9277125</v>
      </c>
      <c r="BM101" s="230">
        <v>13127400</v>
      </c>
      <c r="BN101" s="230">
        <v>-3850275</v>
      </c>
      <c r="BO101" s="229">
        <v>-0.29330000000000001</v>
      </c>
      <c r="BP101" s="230">
        <v>121138875</v>
      </c>
      <c r="BQ101" s="230">
        <v>115458200</v>
      </c>
      <c r="BR101" s="230">
        <v>5680675</v>
      </c>
      <c r="BS101" s="229">
        <v>4.9200000000000001E-2</v>
      </c>
      <c r="BT101" s="230">
        <v>13401579</v>
      </c>
      <c r="BU101" s="230">
        <v>10063827</v>
      </c>
      <c r="BV101" s="230">
        <v>3337752</v>
      </c>
      <c r="BW101" s="229">
        <v>0.33169999999999999</v>
      </c>
      <c r="BX101" s="230">
        <v>81652100</v>
      </c>
      <c r="BY101" s="230">
        <v>83930100</v>
      </c>
      <c r="BZ101" s="230">
        <v>-2278000</v>
      </c>
      <c r="CA101" s="229">
        <v>-2.7099999999999999E-2</v>
      </c>
      <c r="CB101" s="230">
        <v>3936075</v>
      </c>
      <c r="CC101" s="230">
        <v>26333450</v>
      </c>
      <c r="CD101" s="230">
        <v>-22397375</v>
      </c>
      <c r="CE101" s="229">
        <v>-0.85050000000000003</v>
      </c>
      <c r="CF101" s="230">
        <v>79264900</v>
      </c>
      <c r="CG101" s="230">
        <v>55734250</v>
      </c>
      <c r="CH101" s="230">
        <v>23530650</v>
      </c>
      <c r="CI101" s="229">
        <v>0.42220000000000002</v>
      </c>
      <c r="CJ101" s="230">
        <v>2387200</v>
      </c>
      <c r="CK101" s="230">
        <v>1862400</v>
      </c>
      <c r="CL101" s="230">
        <v>524800</v>
      </c>
      <c r="CM101" s="229">
        <v>0.28179999999999999</v>
      </c>
      <c r="CN101" s="230">
        <v>12139950</v>
      </c>
      <c r="CO101" s="230">
        <v>29467975</v>
      </c>
      <c r="CP101" s="230">
        <v>-17328025</v>
      </c>
      <c r="CQ101" s="229">
        <v>-0.58799999999999997</v>
      </c>
      <c r="CR101" s="230">
        <v>5855200</v>
      </c>
      <c r="CS101" s="230">
        <v>13175475</v>
      </c>
      <c r="CT101" s="230">
        <v>-7320275</v>
      </c>
      <c r="CU101" s="229">
        <v>-0.55559999999999998</v>
      </c>
      <c r="CV101" s="230">
        <v>99647250</v>
      </c>
      <c r="CW101" s="230">
        <v>126573550</v>
      </c>
      <c r="CX101" s="230">
        <v>-26926300</v>
      </c>
      <c r="CY101" s="229">
        <v>-0.2127</v>
      </c>
      <c r="CZ101" s="228">
        <v>44.71</v>
      </c>
      <c r="DA101" s="228">
        <v>46.74</v>
      </c>
      <c r="DB101" s="228">
        <v>-2.0299999999999998</v>
      </c>
      <c r="DC101" s="228">
        <v>-2.0299999999999998</v>
      </c>
      <c r="DD101" s="228">
        <v>53.01</v>
      </c>
      <c r="DE101" s="228">
        <v>53.13</v>
      </c>
      <c r="DF101" s="228">
        <v>-8.3000000000000007</v>
      </c>
      <c r="DG101" s="228">
        <v>-0.12</v>
      </c>
      <c r="DH101" s="228">
        <v>44.88</v>
      </c>
      <c r="DI101" s="228">
        <v>46.85</v>
      </c>
      <c r="DJ101" s="228">
        <v>-1.97</v>
      </c>
      <c r="DK101" s="228">
        <v>-1.97</v>
      </c>
      <c r="DL101" s="228">
        <v>44.16</v>
      </c>
      <c r="DM101" s="228">
        <v>46.37</v>
      </c>
      <c r="DN101" s="228">
        <v>-2.21</v>
      </c>
      <c r="DO101" s="228">
        <v>-2.21</v>
      </c>
      <c r="DP101" s="228">
        <v>0.48</v>
      </c>
      <c r="DQ101" s="228">
        <v>0.45</v>
      </c>
      <c r="DR101" s="228">
        <v>0.03</v>
      </c>
      <c r="DS101" s="229">
        <v>6.6699999999999995E-2</v>
      </c>
      <c r="DT101" s="228">
        <v>110</v>
      </c>
      <c r="DU101" s="228">
        <v>100</v>
      </c>
      <c r="DV101" s="228">
        <v>0.23</v>
      </c>
      <c r="DW101" s="228">
        <v>0.36</v>
      </c>
      <c r="DX101" s="228">
        <v>-0.13</v>
      </c>
      <c r="DY101" s="229">
        <v>-0.36109999999999998</v>
      </c>
      <c r="DZ101" s="229">
        <v>0.95399999999999996</v>
      </c>
      <c r="EA101" s="230">
        <v>57596650</v>
      </c>
      <c r="EB101" s="229">
        <v>8.3000000000000001E-3</v>
      </c>
      <c r="EC101" s="229">
        <v>0.95399999999999996</v>
      </c>
      <c r="ED101" s="228">
        <v>0.56999999999999995</v>
      </c>
      <c r="EE101" s="229">
        <v>5.8999999999999999E-3</v>
      </c>
      <c r="EF101" s="230">
        <v>4827426</v>
      </c>
      <c r="EG101" s="230">
        <v>3088708</v>
      </c>
      <c r="EH101" s="229">
        <v>0.56289999999999996</v>
      </c>
      <c r="EI101" s="229">
        <v>0.36020000000000002</v>
      </c>
      <c r="EJ101" s="231">
        <v>41389.089999999997</v>
      </c>
      <c r="EK101" s="231">
        <v>9305.17</v>
      </c>
      <c r="EL101" s="231">
        <v>70110.679999999993</v>
      </c>
      <c r="EM101" s="231">
        <v>8124</v>
      </c>
      <c r="EN101" s="231">
        <v>120804.94</v>
      </c>
      <c r="EO101" s="231">
        <v>115239.82</v>
      </c>
      <c r="EP101" s="231">
        <v>5565.12</v>
      </c>
      <c r="EQ101" s="229">
        <v>4.8300000000000003E-2</v>
      </c>
      <c r="ER101" s="231">
        <v>12121</v>
      </c>
      <c r="ES101" s="231">
        <v>5673</v>
      </c>
      <c r="ET101" s="231">
        <v>79183</v>
      </c>
      <c r="EU101" s="231">
        <v>144708707</v>
      </c>
      <c r="EV101" s="231">
        <v>96976</v>
      </c>
      <c r="EW101" s="231">
        <v>125395</v>
      </c>
      <c r="EX101" s="231">
        <v>-28419</v>
      </c>
      <c r="EY101" s="229">
        <v>-0.2266</v>
      </c>
      <c r="EZ101" s="229">
        <v>0.68859999999999999</v>
      </c>
      <c r="FA101" s="227" t="s">
        <v>567</v>
      </c>
      <c r="FB101" s="161">
        <f t="shared" si="1"/>
        <v>77716025</v>
      </c>
    </row>
    <row r="102" spans="1:158" ht="17.25" thickBot="1" x14ac:dyDescent="0.3">
      <c r="A102" s="226">
        <v>46168</v>
      </c>
      <c r="B102" s="227" t="s">
        <v>193</v>
      </c>
      <c r="C102" s="227" t="s">
        <v>241</v>
      </c>
      <c r="D102" s="228">
        <v>4875</v>
      </c>
      <c r="E102" s="228">
        <v>143.44</v>
      </c>
      <c r="F102" s="228">
        <v>145.12</v>
      </c>
      <c r="G102" s="228">
        <v>-1.68</v>
      </c>
      <c r="H102" s="229">
        <v>-1.1599999999999999E-2</v>
      </c>
      <c r="I102" s="228">
        <v>142.38</v>
      </c>
      <c r="J102" s="228">
        <v>143.94999999999999</v>
      </c>
      <c r="K102" s="228">
        <v>-1.57</v>
      </c>
      <c r="L102" s="229">
        <v>-1.09E-2</v>
      </c>
      <c r="M102" s="228">
        <v>142.16999999999999</v>
      </c>
      <c r="N102" s="228">
        <v>144.22999999999999</v>
      </c>
      <c r="O102" s="228">
        <v>-2.06</v>
      </c>
      <c r="P102" s="229">
        <v>-1.43E-2</v>
      </c>
      <c r="Q102" s="228">
        <v>143.44</v>
      </c>
      <c r="R102" s="228">
        <v>145.12</v>
      </c>
      <c r="S102" s="228">
        <v>-1.68</v>
      </c>
      <c r="T102" s="229">
        <v>-1.1599999999999999E-2</v>
      </c>
      <c r="U102" s="228">
        <v>144.21</v>
      </c>
      <c r="V102" s="228">
        <v>145.81</v>
      </c>
      <c r="W102" s="228">
        <v>-1.6</v>
      </c>
      <c r="X102" s="229">
        <v>-1.0999999999999999E-2</v>
      </c>
      <c r="Y102" s="228">
        <v>1.06</v>
      </c>
      <c r="Z102" s="228">
        <v>0.28000000000000003</v>
      </c>
      <c r="AA102" s="228">
        <v>0.78</v>
      </c>
      <c r="AB102" s="229">
        <v>7.4000000000000003E-3</v>
      </c>
      <c r="AC102" s="228">
        <v>-0.21</v>
      </c>
      <c r="AD102" s="228">
        <v>0.28000000000000003</v>
      </c>
      <c r="AE102" s="228">
        <v>-0.49</v>
      </c>
      <c r="AF102" s="229">
        <v>-1.5E-3</v>
      </c>
      <c r="AG102" s="228">
        <v>1.06</v>
      </c>
      <c r="AH102" s="228">
        <v>1.17</v>
      </c>
      <c r="AI102" s="228">
        <v>-0.11</v>
      </c>
      <c r="AJ102" s="229">
        <v>7.4000000000000003E-3</v>
      </c>
      <c r="AK102" s="228">
        <v>1.83</v>
      </c>
      <c r="AL102" s="228">
        <v>1.86</v>
      </c>
      <c r="AM102" s="228">
        <v>-0.03</v>
      </c>
      <c r="AN102" s="229">
        <v>1.29E-2</v>
      </c>
      <c r="AO102" s="228">
        <v>142.59</v>
      </c>
      <c r="AP102" s="228">
        <v>143.78</v>
      </c>
      <c r="AQ102" s="228">
        <v>0</v>
      </c>
      <c r="AR102" s="230">
        <v>42232125</v>
      </c>
      <c r="AS102" s="230">
        <v>79379625</v>
      </c>
      <c r="AT102" s="230">
        <v>-37147500</v>
      </c>
      <c r="AU102" s="229">
        <v>-0.46800000000000003</v>
      </c>
      <c r="AV102" s="230">
        <v>19256250</v>
      </c>
      <c r="AW102" s="230">
        <v>35724000</v>
      </c>
      <c r="AX102" s="230">
        <v>-16467750</v>
      </c>
      <c r="AY102" s="229">
        <v>-0.46100000000000002</v>
      </c>
      <c r="AZ102" s="230">
        <v>22127625</v>
      </c>
      <c r="BA102" s="230">
        <v>42549000</v>
      </c>
      <c r="BB102" s="230">
        <v>-20421375</v>
      </c>
      <c r="BC102" s="229">
        <v>-0.47989999999999999</v>
      </c>
      <c r="BD102" s="230">
        <v>848250</v>
      </c>
      <c r="BE102" s="230">
        <v>1106625</v>
      </c>
      <c r="BF102" s="230">
        <v>-258375</v>
      </c>
      <c r="BG102" s="229">
        <v>-0.23350000000000001</v>
      </c>
      <c r="BH102" s="230">
        <v>48959625</v>
      </c>
      <c r="BI102" s="230">
        <v>142198875</v>
      </c>
      <c r="BJ102" s="230">
        <v>-93239250</v>
      </c>
      <c r="BK102" s="229">
        <v>-0.65569999999999995</v>
      </c>
      <c r="BL102" s="230">
        <v>35772750</v>
      </c>
      <c r="BM102" s="230">
        <v>78053625</v>
      </c>
      <c r="BN102" s="230">
        <v>-42280875</v>
      </c>
      <c r="BO102" s="229">
        <v>-0.54169999999999996</v>
      </c>
      <c r="BP102" s="230">
        <v>126964500</v>
      </c>
      <c r="BQ102" s="230">
        <v>299632125</v>
      </c>
      <c r="BR102" s="230">
        <v>-172667625</v>
      </c>
      <c r="BS102" s="229">
        <v>-0.57630000000000003</v>
      </c>
      <c r="BT102" s="230">
        <v>10001414</v>
      </c>
      <c r="BU102" s="230">
        <v>26557526</v>
      </c>
      <c r="BV102" s="230">
        <v>-16556112</v>
      </c>
      <c r="BW102" s="229">
        <v>-0.62339999999999995</v>
      </c>
      <c r="BX102" s="230">
        <v>101994750</v>
      </c>
      <c r="BY102" s="230">
        <v>106338375</v>
      </c>
      <c r="BZ102" s="230">
        <v>-4343625</v>
      </c>
      <c r="CA102" s="229">
        <v>-4.0800000000000003E-2</v>
      </c>
      <c r="CB102" s="230">
        <v>10091250</v>
      </c>
      <c r="CC102" s="230">
        <v>15897375</v>
      </c>
      <c r="CD102" s="230">
        <v>-5806125</v>
      </c>
      <c r="CE102" s="229">
        <v>-0.36520000000000002</v>
      </c>
      <c r="CF102" s="230">
        <v>98640750</v>
      </c>
      <c r="CG102" s="230">
        <v>87555000</v>
      </c>
      <c r="CH102" s="230">
        <v>11085750</v>
      </c>
      <c r="CI102" s="229">
        <v>0.12659999999999999</v>
      </c>
      <c r="CJ102" s="230">
        <v>3354000</v>
      </c>
      <c r="CK102" s="230">
        <v>2886000</v>
      </c>
      <c r="CL102" s="230">
        <v>468000</v>
      </c>
      <c r="CM102" s="229">
        <v>0.16220000000000001</v>
      </c>
      <c r="CN102" s="230">
        <v>29956875</v>
      </c>
      <c r="CO102" s="230">
        <v>64915500</v>
      </c>
      <c r="CP102" s="230">
        <v>-34958625</v>
      </c>
      <c r="CQ102" s="229">
        <v>-0.53849999999999998</v>
      </c>
      <c r="CR102" s="230">
        <v>29381625</v>
      </c>
      <c r="CS102" s="230">
        <v>49144875</v>
      </c>
      <c r="CT102" s="230">
        <v>-19763250</v>
      </c>
      <c r="CU102" s="229">
        <v>-0.40210000000000001</v>
      </c>
      <c r="CV102" s="230">
        <v>161333250</v>
      </c>
      <c r="CW102" s="230">
        <v>220398750</v>
      </c>
      <c r="CX102" s="230">
        <v>-59065500</v>
      </c>
      <c r="CY102" s="229">
        <v>-0.26800000000000002</v>
      </c>
      <c r="CZ102" s="228">
        <v>28.17</v>
      </c>
      <c r="DA102" s="228">
        <v>29.74</v>
      </c>
      <c r="DB102" s="228">
        <v>-1.57</v>
      </c>
      <c r="DC102" s="228">
        <v>-1.57</v>
      </c>
      <c r="DD102" s="228">
        <v>34.72</v>
      </c>
      <c r="DE102" s="228">
        <v>34.770000000000003</v>
      </c>
      <c r="DF102" s="228">
        <v>-6.55</v>
      </c>
      <c r="DG102" s="228">
        <v>-0.05</v>
      </c>
      <c r="DH102" s="228">
        <v>28.46</v>
      </c>
      <c r="DI102" s="228">
        <v>29.66</v>
      </c>
      <c r="DJ102" s="228">
        <v>-1.2</v>
      </c>
      <c r="DK102" s="228">
        <v>-1.2</v>
      </c>
      <c r="DL102" s="228">
        <v>27.84</v>
      </c>
      <c r="DM102" s="228">
        <v>29.87</v>
      </c>
      <c r="DN102" s="228">
        <v>-2.0299999999999998</v>
      </c>
      <c r="DO102" s="228">
        <v>-2.0299999999999998</v>
      </c>
      <c r="DP102" s="228">
        <v>0.98</v>
      </c>
      <c r="DQ102" s="228">
        <v>0.76</v>
      </c>
      <c r="DR102" s="228">
        <v>0.22</v>
      </c>
      <c r="DS102" s="229">
        <v>0.28949999999999998</v>
      </c>
      <c r="DT102" s="228">
        <v>150</v>
      </c>
      <c r="DU102" s="228">
        <v>130</v>
      </c>
      <c r="DV102" s="228">
        <v>0.73</v>
      </c>
      <c r="DW102" s="228">
        <v>0.55000000000000004</v>
      </c>
      <c r="DX102" s="228">
        <v>0.18</v>
      </c>
      <c r="DY102" s="229">
        <v>0.32729999999999998</v>
      </c>
      <c r="DZ102" s="229">
        <v>0.91</v>
      </c>
      <c r="EA102" s="230">
        <v>90441000</v>
      </c>
      <c r="EB102" s="229">
        <v>8.8999999999999999E-3</v>
      </c>
      <c r="EC102" s="229">
        <v>0.91</v>
      </c>
      <c r="ED102" s="228">
        <v>1.19</v>
      </c>
      <c r="EE102" s="229">
        <v>8.3000000000000001E-3</v>
      </c>
      <c r="EF102" s="230">
        <v>4525518</v>
      </c>
      <c r="EG102" s="230">
        <v>10474974</v>
      </c>
      <c r="EH102" s="229">
        <v>-0.56799999999999995</v>
      </c>
      <c r="EI102" s="229">
        <v>0.45250000000000001</v>
      </c>
      <c r="EJ102" s="231">
        <v>74401.440000000002</v>
      </c>
      <c r="EK102" s="231">
        <v>53899.58</v>
      </c>
      <c r="EL102" s="231">
        <v>60500.34</v>
      </c>
      <c r="EM102" s="231">
        <v>10522</v>
      </c>
      <c r="EN102" s="231">
        <v>188801.36</v>
      </c>
      <c r="EO102" s="231">
        <v>438878.99</v>
      </c>
      <c r="EP102" s="231">
        <v>-250077.63</v>
      </c>
      <c r="EQ102" s="229">
        <v>-0.56979999999999997</v>
      </c>
      <c r="ER102" s="231">
        <v>44874</v>
      </c>
      <c r="ES102" s="231">
        <v>41683</v>
      </c>
      <c r="ET102" s="231">
        <v>146327</v>
      </c>
      <c r="EU102" s="231">
        <v>684903861</v>
      </c>
      <c r="EV102" s="231">
        <v>232884</v>
      </c>
      <c r="EW102" s="231">
        <v>320172</v>
      </c>
      <c r="EX102" s="231">
        <v>-87288</v>
      </c>
      <c r="EY102" s="229">
        <v>-0.27260000000000001</v>
      </c>
      <c r="EZ102" s="229">
        <v>0.2356</v>
      </c>
      <c r="FA102" s="227" t="s">
        <v>567</v>
      </c>
      <c r="FB102" s="161">
        <f t="shared" si="1"/>
        <v>91903500</v>
      </c>
    </row>
    <row r="103" spans="1:158" ht="17.25" thickBot="1" x14ac:dyDescent="0.3">
      <c r="A103" s="226">
        <v>46168</v>
      </c>
      <c r="B103" s="227" t="s">
        <v>175</v>
      </c>
      <c r="C103" s="227" t="s">
        <v>662</v>
      </c>
      <c r="D103" s="228">
        <v>3450</v>
      </c>
      <c r="E103" s="228">
        <v>127.33</v>
      </c>
      <c r="F103" s="228">
        <v>126.77</v>
      </c>
      <c r="G103" s="228">
        <v>0.56000000000000005</v>
      </c>
      <c r="H103" s="229">
        <v>4.4000000000000003E-3</v>
      </c>
      <c r="I103" s="228">
        <v>129.54</v>
      </c>
      <c r="J103" s="228">
        <v>129.77000000000001</v>
      </c>
      <c r="K103" s="228">
        <v>-0.23</v>
      </c>
      <c r="L103" s="229">
        <v>-1.8E-3</v>
      </c>
      <c r="M103" s="228">
        <v>129.41999999999999</v>
      </c>
      <c r="N103" s="228">
        <v>129.86000000000001</v>
      </c>
      <c r="O103" s="228">
        <v>-0.44</v>
      </c>
      <c r="P103" s="229">
        <v>-3.3999999999999998E-3</v>
      </c>
      <c r="Q103" s="228">
        <v>127.33</v>
      </c>
      <c r="R103" s="228">
        <v>126.77</v>
      </c>
      <c r="S103" s="228">
        <v>0.56000000000000005</v>
      </c>
      <c r="T103" s="229">
        <v>4.4000000000000003E-3</v>
      </c>
      <c r="U103" s="228">
        <v>126.74</v>
      </c>
      <c r="V103" s="228">
        <v>126.43</v>
      </c>
      <c r="W103" s="228">
        <v>0.31</v>
      </c>
      <c r="X103" s="229">
        <v>2.5000000000000001E-3</v>
      </c>
      <c r="Y103" s="228">
        <v>-2.21</v>
      </c>
      <c r="Z103" s="228">
        <v>0.09</v>
      </c>
      <c r="AA103" s="228">
        <v>-2.2999999999999998</v>
      </c>
      <c r="AB103" s="229">
        <v>-1.7100000000000001E-2</v>
      </c>
      <c r="AC103" s="228">
        <v>-0.12</v>
      </c>
      <c r="AD103" s="228">
        <v>0.09</v>
      </c>
      <c r="AE103" s="228">
        <v>-0.21</v>
      </c>
      <c r="AF103" s="229">
        <v>-8.9999999999999998E-4</v>
      </c>
      <c r="AG103" s="228">
        <v>-2.21</v>
      </c>
      <c r="AH103" s="228">
        <v>-3</v>
      </c>
      <c r="AI103" s="228">
        <v>0.79</v>
      </c>
      <c r="AJ103" s="229">
        <v>-1.7100000000000001E-2</v>
      </c>
      <c r="AK103" s="228">
        <v>-2.8</v>
      </c>
      <c r="AL103" s="228">
        <v>-3.34</v>
      </c>
      <c r="AM103" s="228">
        <v>0.54</v>
      </c>
      <c r="AN103" s="229">
        <v>-2.1600000000000001E-2</v>
      </c>
      <c r="AO103" s="228">
        <v>129.41</v>
      </c>
      <c r="AP103" s="228">
        <v>127.77</v>
      </c>
      <c r="AQ103" s="228">
        <v>0</v>
      </c>
      <c r="AR103" s="230">
        <v>19123350</v>
      </c>
      <c r="AS103" s="230">
        <v>43380300</v>
      </c>
      <c r="AT103" s="230">
        <v>-24256950</v>
      </c>
      <c r="AU103" s="229">
        <v>-0.55920000000000003</v>
      </c>
      <c r="AV103" s="230">
        <v>8235150</v>
      </c>
      <c r="AW103" s="230">
        <v>18705900</v>
      </c>
      <c r="AX103" s="230">
        <v>-10470750</v>
      </c>
      <c r="AY103" s="229">
        <v>-0.55979999999999996</v>
      </c>
      <c r="AZ103" s="230">
        <v>10391400</v>
      </c>
      <c r="BA103" s="230">
        <v>23998200</v>
      </c>
      <c r="BB103" s="230">
        <v>-13606800</v>
      </c>
      <c r="BC103" s="229">
        <v>-0.56699999999999995</v>
      </c>
      <c r="BD103" s="230">
        <v>496800</v>
      </c>
      <c r="BE103" s="230">
        <v>676200</v>
      </c>
      <c r="BF103" s="230">
        <v>-179400</v>
      </c>
      <c r="BG103" s="229">
        <v>-0.26529999999999998</v>
      </c>
      <c r="BH103" s="230">
        <v>11947350</v>
      </c>
      <c r="BI103" s="230">
        <v>29097300</v>
      </c>
      <c r="BJ103" s="230">
        <v>-17149950</v>
      </c>
      <c r="BK103" s="229">
        <v>-0.58940000000000003</v>
      </c>
      <c r="BL103" s="230">
        <v>6023700</v>
      </c>
      <c r="BM103" s="230">
        <v>13168650</v>
      </c>
      <c r="BN103" s="230">
        <v>-7144950</v>
      </c>
      <c r="BO103" s="229">
        <v>-0.54259999999999997</v>
      </c>
      <c r="BP103" s="230">
        <v>37094400</v>
      </c>
      <c r="BQ103" s="230">
        <v>85646250</v>
      </c>
      <c r="BR103" s="230">
        <v>-48551850</v>
      </c>
      <c r="BS103" s="229">
        <v>-0.56689999999999996</v>
      </c>
      <c r="BT103" s="230">
        <v>5478589</v>
      </c>
      <c r="BU103" s="230">
        <v>7647626</v>
      </c>
      <c r="BV103" s="230">
        <v>-2169037</v>
      </c>
      <c r="BW103" s="229">
        <v>-0.28360000000000002</v>
      </c>
      <c r="BX103" s="230">
        <v>46871225</v>
      </c>
      <c r="BY103" s="230">
        <v>52271350</v>
      </c>
      <c r="BZ103" s="230">
        <v>-5400125</v>
      </c>
      <c r="CA103" s="229">
        <v>-0.1033</v>
      </c>
      <c r="CB103" s="230">
        <v>2528850</v>
      </c>
      <c r="CC103" s="230">
        <v>6724050</v>
      </c>
      <c r="CD103" s="230">
        <v>-4195200</v>
      </c>
      <c r="CE103" s="229">
        <v>-0.62390000000000001</v>
      </c>
      <c r="CF103" s="230">
        <v>43997850</v>
      </c>
      <c r="CG103" s="230">
        <v>43004250</v>
      </c>
      <c r="CH103" s="230">
        <v>993600</v>
      </c>
      <c r="CI103" s="229">
        <v>2.3099999999999999E-2</v>
      </c>
      <c r="CJ103" s="230">
        <v>2873375</v>
      </c>
      <c r="CK103" s="230">
        <v>2543050</v>
      </c>
      <c r="CL103" s="230">
        <v>330325</v>
      </c>
      <c r="CM103" s="229">
        <v>0.12989999999999999</v>
      </c>
      <c r="CN103" s="230">
        <v>13205925</v>
      </c>
      <c r="CO103" s="230">
        <v>25460325</v>
      </c>
      <c r="CP103" s="230">
        <v>-12254400</v>
      </c>
      <c r="CQ103" s="229">
        <v>-0.48130000000000001</v>
      </c>
      <c r="CR103" s="230">
        <v>11874175</v>
      </c>
      <c r="CS103" s="230">
        <v>18548000</v>
      </c>
      <c r="CT103" s="230">
        <v>-6673825</v>
      </c>
      <c r="CU103" s="229">
        <v>-0.35980000000000001</v>
      </c>
      <c r="CV103" s="230">
        <v>71951325</v>
      </c>
      <c r="CW103" s="230">
        <v>96279675</v>
      </c>
      <c r="CX103" s="230">
        <v>-24328350</v>
      </c>
      <c r="CY103" s="229">
        <v>-0.25269999999999998</v>
      </c>
      <c r="CZ103" s="228">
        <v>37.450000000000003</v>
      </c>
      <c r="DA103" s="228">
        <v>37.659999999999997</v>
      </c>
      <c r="DB103" s="228">
        <v>-0.21</v>
      </c>
      <c r="DC103" s="228">
        <v>-0.21</v>
      </c>
      <c r="DD103" s="228">
        <v>48.08</v>
      </c>
      <c r="DE103" s="228">
        <v>48.2</v>
      </c>
      <c r="DF103" s="228">
        <v>-10.63</v>
      </c>
      <c r="DG103" s="228">
        <v>-0.12</v>
      </c>
      <c r="DH103" s="228">
        <v>37.78</v>
      </c>
      <c r="DI103" s="228">
        <v>37.520000000000003</v>
      </c>
      <c r="DJ103" s="228">
        <v>0.26</v>
      </c>
      <c r="DK103" s="228">
        <v>0.26</v>
      </c>
      <c r="DL103" s="228">
        <v>36.76</v>
      </c>
      <c r="DM103" s="228">
        <v>37.909999999999997</v>
      </c>
      <c r="DN103" s="228">
        <v>-1.1499999999999999</v>
      </c>
      <c r="DO103" s="228">
        <v>-1.1499999999999999</v>
      </c>
      <c r="DP103" s="228">
        <v>0.9</v>
      </c>
      <c r="DQ103" s="228">
        <v>0.73</v>
      </c>
      <c r="DR103" s="228">
        <v>0.17</v>
      </c>
      <c r="DS103" s="229">
        <v>0.2329</v>
      </c>
      <c r="DT103" s="228">
        <v>130</v>
      </c>
      <c r="DU103" s="228">
        <v>130</v>
      </c>
      <c r="DV103" s="228">
        <v>0.5</v>
      </c>
      <c r="DW103" s="228">
        <v>0.45</v>
      </c>
      <c r="DX103" s="228">
        <v>0.05</v>
      </c>
      <c r="DY103" s="229">
        <v>0.1111</v>
      </c>
      <c r="DZ103" s="229">
        <v>0.94879999999999998</v>
      </c>
      <c r="EA103" s="230">
        <v>45547300</v>
      </c>
      <c r="EB103" s="229">
        <v>-1.61E-2</v>
      </c>
      <c r="EC103" s="229">
        <v>0.94879999999999998</v>
      </c>
      <c r="ED103" s="228">
        <v>-1.64</v>
      </c>
      <c r="EE103" s="229">
        <v>-1.2699999999999999E-2</v>
      </c>
      <c r="EF103" s="230">
        <v>1749436</v>
      </c>
      <c r="EG103" s="230">
        <v>2466023</v>
      </c>
      <c r="EH103" s="229">
        <v>-0.29060000000000002</v>
      </c>
      <c r="EI103" s="229">
        <v>0.31929999999999997</v>
      </c>
      <c r="EJ103" s="231">
        <v>16463.560000000001</v>
      </c>
      <c r="EK103" s="231">
        <v>7955.39</v>
      </c>
      <c r="EL103" s="231">
        <v>24763.59</v>
      </c>
      <c r="EM103" s="231">
        <v>8031</v>
      </c>
      <c r="EN103" s="231">
        <v>49182.54</v>
      </c>
      <c r="EO103" s="231">
        <v>113634.15</v>
      </c>
      <c r="EP103" s="231">
        <v>-64451.61</v>
      </c>
      <c r="EQ103" s="229">
        <v>-0.56720000000000004</v>
      </c>
      <c r="ER103" s="231">
        <v>17886</v>
      </c>
      <c r="ES103" s="231">
        <v>15341</v>
      </c>
      <c r="ET103" s="231">
        <v>59664</v>
      </c>
      <c r="EU103" s="231">
        <v>119011160</v>
      </c>
      <c r="EV103" s="231">
        <v>92891</v>
      </c>
      <c r="EW103" s="231">
        <v>125447</v>
      </c>
      <c r="EX103" s="231">
        <v>-32556</v>
      </c>
      <c r="EY103" s="229">
        <v>-0.25950000000000001</v>
      </c>
      <c r="EZ103" s="229">
        <v>0.60460000000000003</v>
      </c>
      <c r="FA103" s="227" t="s">
        <v>691</v>
      </c>
      <c r="FB103" s="161">
        <f t="shared" si="1"/>
        <v>44342375</v>
      </c>
    </row>
    <row r="104" spans="1:158" ht="17.25" thickBot="1" x14ac:dyDescent="0.3">
      <c r="A104" s="226">
        <v>46168</v>
      </c>
      <c r="B104" s="227" t="s">
        <v>215</v>
      </c>
      <c r="C104" s="227" t="s">
        <v>591</v>
      </c>
      <c r="D104" s="228">
        <v>4250</v>
      </c>
      <c r="E104" s="228">
        <v>98.64</v>
      </c>
      <c r="F104" s="228">
        <v>100.42</v>
      </c>
      <c r="G104" s="228">
        <v>-1.78</v>
      </c>
      <c r="H104" s="229">
        <v>-1.77E-2</v>
      </c>
      <c r="I104" s="228">
        <v>99.28</v>
      </c>
      <c r="J104" s="228">
        <v>100.45</v>
      </c>
      <c r="K104" s="228">
        <v>-1.17</v>
      </c>
      <c r="L104" s="229">
        <v>-1.1599999999999999E-2</v>
      </c>
      <c r="M104" s="228">
        <v>99.28</v>
      </c>
      <c r="N104" s="228">
        <v>100.81</v>
      </c>
      <c r="O104" s="228">
        <v>-1.53</v>
      </c>
      <c r="P104" s="229">
        <v>-1.52E-2</v>
      </c>
      <c r="Q104" s="228">
        <v>98.64</v>
      </c>
      <c r="R104" s="228">
        <v>100.42</v>
      </c>
      <c r="S104" s="228">
        <v>-1.78</v>
      </c>
      <c r="T104" s="229">
        <v>-1.77E-2</v>
      </c>
      <c r="U104" s="228">
        <v>98.5</v>
      </c>
      <c r="V104" s="228">
        <v>100.28</v>
      </c>
      <c r="W104" s="228">
        <v>-1.78</v>
      </c>
      <c r="X104" s="229">
        <v>-1.78E-2</v>
      </c>
      <c r="Y104" s="228">
        <v>-0.64</v>
      </c>
      <c r="Z104" s="228">
        <v>0.36</v>
      </c>
      <c r="AA104" s="228">
        <v>-1</v>
      </c>
      <c r="AB104" s="229">
        <v>-6.4000000000000003E-3</v>
      </c>
      <c r="AC104" s="228">
        <v>0</v>
      </c>
      <c r="AD104" s="228">
        <v>0.36</v>
      </c>
      <c r="AE104" s="228">
        <v>-0.36</v>
      </c>
      <c r="AF104" s="229">
        <v>0</v>
      </c>
      <c r="AG104" s="228">
        <v>-0.64</v>
      </c>
      <c r="AH104" s="228">
        <v>-0.03</v>
      </c>
      <c r="AI104" s="228">
        <v>-0.61</v>
      </c>
      <c r="AJ104" s="229">
        <v>-6.4000000000000003E-3</v>
      </c>
      <c r="AK104" s="228">
        <v>-0.78</v>
      </c>
      <c r="AL104" s="228">
        <v>-0.17</v>
      </c>
      <c r="AM104" s="228">
        <v>-0.61</v>
      </c>
      <c r="AN104" s="229">
        <v>-7.9000000000000008E-3</v>
      </c>
      <c r="AO104" s="228">
        <v>99.91</v>
      </c>
      <c r="AP104" s="228">
        <v>99.4</v>
      </c>
      <c r="AQ104" s="228">
        <v>0</v>
      </c>
      <c r="AR104" s="230">
        <v>28700250</v>
      </c>
      <c r="AS104" s="230">
        <v>41369500</v>
      </c>
      <c r="AT104" s="230">
        <v>-12669250</v>
      </c>
      <c r="AU104" s="229">
        <v>-0.30620000000000003</v>
      </c>
      <c r="AV104" s="230">
        <v>12541750</v>
      </c>
      <c r="AW104" s="230">
        <v>19958000</v>
      </c>
      <c r="AX104" s="230">
        <v>-7416250</v>
      </c>
      <c r="AY104" s="229">
        <v>-0.37159999999999999</v>
      </c>
      <c r="AZ104" s="230">
        <v>15176750</v>
      </c>
      <c r="BA104" s="230">
        <v>20553000</v>
      </c>
      <c r="BB104" s="230">
        <v>-5376250</v>
      </c>
      <c r="BC104" s="229">
        <v>-0.2616</v>
      </c>
      <c r="BD104" s="230">
        <v>981750</v>
      </c>
      <c r="BE104" s="230">
        <v>858500</v>
      </c>
      <c r="BF104" s="230">
        <v>123250</v>
      </c>
      <c r="BG104" s="229">
        <v>0.14360000000000001</v>
      </c>
      <c r="BH104" s="230">
        <v>38760000</v>
      </c>
      <c r="BI104" s="230">
        <v>69840250</v>
      </c>
      <c r="BJ104" s="230">
        <v>-31080250</v>
      </c>
      <c r="BK104" s="229">
        <v>-0.44500000000000001</v>
      </c>
      <c r="BL104" s="230">
        <v>13430000</v>
      </c>
      <c r="BM104" s="230">
        <v>19902750</v>
      </c>
      <c r="BN104" s="230">
        <v>-6472750</v>
      </c>
      <c r="BO104" s="229">
        <v>-0.32519999999999999</v>
      </c>
      <c r="BP104" s="230">
        <v>80890250</v>
      </c>
      <c r="BQ104" s="230">
        <v>131112500</v>
      </c>
      <c r="BR104" s="230">
        <v>-50222250</v>
      </c>
      <c r="BS104" s="229">
        <v>-0.38300000000000001</v>
      </c>
      <c r="BT104" s="230">
        <v>9204894</v>
      </c>
      <c r="BU104" s="230">
        <v>14867696</v>
      </c>
      <c r="BV104" s="230">
        <v>-5662802</v>
      </c>
      <c r="BW104" s="229">
        <v>-0.38090000000000002</v>
      </c>
      <c r="BX104" s="230">
        <v>56018975</v>
      </c>
      <c r="BY104" s="230">
        <v>58590475</v>
      </c>
      <c r="BZ104" s="230">
        <v>-2571500</v>
      </c>
      <c r="CA104" s="229">
        <v>-4.3900000000000002E-2</v>
      </c>
      <c r="CB104" s="230">
        <v>4313750</v>
      </c>
      <c r="CC104" s="230">
        <v>10854500</v>
      </c>
      <c r="CD104" s="230">
        <v>-6540750</v>
      </c>
      <c r="CE104" s="229">
        <v>-0.60260000000000002</v>
      </c>
      <c r="CF104" s="230">
        <v>51369750</v>
      </c>
      <c r="CG104" s="230">
        <v>43792000</v>
      </c>
      <c r="CH104" s="230">
        <v>7577750</v>
      </c>
      <c r="CI104" s="229">
        <v>0.17299999999999999</v>
      </c>
      <c r="CJ104" s="230">
        <v>4649225</v>
      </c>
      <c r="CK104" s="230">
        <v>3943975</v>
      </c>
      <c r="CL104" s="230">
        <v>705250</v>
      </c>
      <c r="CM104" s="229">
        <v>0.17879999999999999</v>
      </c>
      <c r="CN104" s="230">
        <v>22589200</v>
      </c>
      <c r="CO104" s="230">
        <v>46260525</v>
      </c>
      <c r="CP104" s="230">
        <v>-23671325</v>
      </c>
      <c r="CQ104" s="229">
        <v>-0.51170000000000004</v>
      </c>
      <c r="CR104" s="230">
        <v>19859525</v>
      </c>
      <c r="CS104" s="230">
        <v>32843275</v>
      </c>
      <c r="CT104" s="230">
        <v>-12983750</v>
      </c>
      <c r="CU104" s="229">
        <v>-0.39529999999999998</v>
      </c>
      <c r="CV104" s="230">
        <v>98467700</v>
      </c>
      <c r="CW104" s="230">
        <v>137694275</v>
      </c>
      <c r="CX104" s="230">
        <v>-39226575</v>
      </c>
      <c r="CY104" s="229">
        <v>-0.28489999999999999</v>
      </c>
      <c r="CZ104" s="228">
        <v>32.79</v>
      </c>
      <c r="DA104" s="228">
        <v>32.29</v>
      </c>
      <c r="DB104" s="228">
        <v>0.5</v>
      </c>
      <c r="DC104" s="228">
        <v>0.5</v>
      </c>
      <c r="DD104" s="228">
        <v>44.12</v>
      </c>
      <c r="DE104" s="228">
        <v>44.17</v>
      </c>
      <c r="DF104" s="228">
        <v>-11.33</v>
      </c>
      <c r="DG104" s="228">
        <v>-0.05</v>
      </c>
      <c r="DH104" s="228">
        <v>33.1</v>
      </c>
      <c r="DI104" s="228">
        <v>32.380000000000003</v>
      </c>
      <c r="DJ104" s="228">
        <v>0.72</v>
      </c>
      <c r="DK104" s="228">
        <v>0.72</v>
      </c>
      <c r="DL104" s="228">
        <v>32.06</v>
      </c>
      <c r="DM104" s="228">
        <v>32.04</v>
      </c>
      <c r="DN104" s="228">
        <v>0.02</v>
      </c>
      <c r="DO104" s="228">
        <v>0.02</v>
      </c>
      <c r="DP104" s="228">
        <v>0.88</v>
      </c>
      <c r="DQ104" s="228">
        <v>0.71</v>
      </c>
      <c r="DR104" s="228">
        <v>0.17</v>
      </c>
      <c r="DS104" s="229">
        <v>0.2394</v>
      </c>
      <c r="DT104" s="228">
        <v>100</v>
      </c>
      <c r="DU104" s="228">
        <v>100</v>
      </c>
      <c r="DV104" s="228">
        <v>0.35</v>
      </c>
      <c r="DW104" s="228">
        <v>0.28000000000000003</v>
      </c>
      <c r="DX104" s="228">
        <v>7.0000000000000007E-2</v>
      </c>
      <c r="DY104" s="229">
        <v>0.25</v>
      </c>
      <c r="DZ104" s="229">
        <v>0.92849999999999999</v>
      </c>
      <c r="EA104" s="230">
        <v>47735975</v>
      </c>
      <c r="EB104" s="229">
        <v>-6.4000000000000003E-3</v>
      </c>
      <c r="EC104" s="229">
        <v>0.92849999999999999</v>
      </c>
      <c r="ED104" s="228">
        <v>-0.51</v>
      </c>
      <c r="EE104" s="229">
        <v>-5.1000000000000004E-3</v>
      </c>
      <c r="EF104" s="230">
        <v>3417409</v>
      </c>
      <c r="EG104" s="230">
        <v>3911499</v>
      </c>
      <c r="EH104" s="229">
        <v>-0.1263</v>
      </c>
      <c r="EI104" s="229">
        <v>0.37130000000000002</v>
      </c>
      <c r="EJ104" s="231">
        <v>41290.14</v>
      </c>
      <c r="EK104" s="231">
        <v>13389.92</v>
      </c>
      <c r="EL104" s="231">
        <v>28856.799999999999</v>
      </c>
      <c r="EM104" s="231">
        <v>6964</v>
      </c>
      <c r="EN104" s="231">
        <v>83536.86</v>
      </c>
      <c r="EO104" s="231">
        <v>135706.78</v>
      </c>
      <c r="EP104" s="231">
        <v>-52169.919999999998</v>
      </c>
      <c r="EQ104" s="229">
        <v>-0.38440000000000002</v>
      </c>
      <c r="ER104" s="231">
        <v>23774</v>
      </c>
      <c r="ES104" s="231">
        <v>19864</v>
      </c>
      <c r="ET104" s="231">
        <v>55251</v>
      </c>
      <c r="EU104" s="231">
        <v>267310350</v>
      </c>
      <c r="EV104" s="231">
        <v>98888</v>
      </c>
      <c r="EW104" s="231">
        <v>141188</v>
      </c>
      <c r="EX104" s="231">
        <v>-42300</v>
      </c>
      <c r="EY104" s="229">
        <v>-0.29959999999999998</v>
      </c>
      <c r="EZ104" s="229">
        <v>0.36840000000000001</v>
      </c>
      <c r="FA104" s="227" t="s">
        <v>567</v>
      </c>
      <c r="FB104" s="161">
        <f t="shared" si="1"/>
        <v>51705225</v>
      </c>
    </row>
    <row r="105" spans="1:158" ht="17.25" thickBot="1" x14ac:dyDescent="0.3">
      <c r="A105" s="226">
        <v>46168</v>
      </c>
      <c r="B105" s="227" t="s">
        <v>168</v>
      </c>
      <c r="C105" s="227" t="s">
        <v>242</v>
      </c>
      <c r="D105" s="228">
        <v>1600</v>
      </c>
      <c r="E105" s="228">
        <v>303.14999999999998</v>
      </c>
      <c r="F105" s="228">
        <v>305.8</v>
      </c>
      <c r="G105" s="228">
        <v>-2.65</v>
      </c>
      <c r="H105" s="229">
        <v>-8.6999999999999994E-3</v>
      </c>
      <c r="I105" s="228">
        <v>301.64999999999998</v>
      </c>
      <c r="J105" s="228">
        <v>303.95</v>
      </c>
      <c r="K105" s="228">
        <v>-2.2999999999999998</v>
      </c>
      <c r="L105" s="229">
        <v>-7.6E-3</v>
      </c>
      <c r="M105" s="228">
        <v>300.85000000000002</v>
      </c>
      <c r="N105" s="228">
        <v>303.95</v>
      </c>
      <c r="O105" s="228">
        <v>-3.1</v>
      </c>
      <c r="P105" s="229">
        <v>-1.0200000000000001E-2</v>
      </c>
      <c r="Q105" s="228">
        <v>303.14999999999998</v>
      </c>
      <c r="R105" s="228">
        <v>305.8</v>
      </c>
      <c r="S105" s="228">
        <v>-2.65</v>
      </c>
      <c r="T105" s="229">
        <v>-8.6999999999999994E-3</v>
      </c>
      <c r="U105" s="228">
        <v>305.25</v>
      </c>
      <c r="V105" s="228">
        <v>307.45</v>
      </c>
      <c r="W105" s="228">
        <v>-2.2000000000000002</v>
      </c>
      <c r="X105" s="229">
        <v>-7.1999999999999998E-3</v>
      </c>
      <c r="Y105" s="228">
        <v>1.5</v>
      </c>
      <c r="Z105" s="228">
        <v>0</v>
      </c>
      <c r="AA105" s="228">
        <v>1.5</v>
      </c>
      <c r="AB105" s="229">
        <v>5.0000000000000001E-3</v>
      </c>
      <c r="AC105" s="228">
        <v>-0.8</v>
      </c>
      <c r="AD105" s="228">
        <v>0</v>
      </c>
      <c r="AE105" s="228">
        <v>-0.8</v>
      </c>
      <c r="AF105" s="229">
        <v>-2.7000000000000001E-3</v>
      </c>
      <c r="AG105" s="228">
        <v>1.5</v>
      </c>
      <c r="AH105" s="228">
        <v>1.85</v>
      </c>
      <c r="AI105" s="228">
        <v>-0.35</v>
      </c>
      <c r="AJ105" s="229">
        <v>5.0000000000000001E-3</v>
      </c>
      <c r="AK105" s="228">
        <v>3.6</v>
      </c>
      <c r="AL105" s="228">
        <v>3.5</v>
      </c>
      <c r="AM105" s="228">
        <v>0.1</v>
      </c>
      <c r="AN105" s="229">
        <v>1.1900000000000001E-2</v>
      </c>
      <c r="AO105" s="228">
        <v>301.75</v>
      </c>
      <c r="AP105" s="228">
        <v>303.64999999999998</v>
      </c>
      <c r="AQ105" s="228">
        <v>0</v>
      </c>
      <c r="AR105" s="230">
        <v>74544000</v>
      </c>
      <c r="AS105" s="230">
        <v>88788800</v>
      </c>
      <c r="AT105" s="230">
        <v>-14244800</v>
      </c>
      <c r="AU105" s="229">
        <v>-0.16039999999999999</v>
      </c>
      <c r="AV105" s="230">
        <v>31840000</v>
      </c>
      <c r="AW105" s="230">
        <v>43136000</v>
      </c>
      <c r="AX105" s="230">
        <v>-11296000</v>
      </c>
      <c r="AY105" s="229">
        <v>-0.26190000000000002</v>
      </c>
      <c r="AZ105" s="230">
        <v>40849600</v>
      </c>
      <c r="BA105" s="230">
        <v>43902400</v>
      </c>
      <c r="BB105" s="230">
        <v>-3052800</v>
      </c>
      <c r="BC105" s="229">
        <v>-6.9500000000000006E-2</v>
      </c>
      <c r="BD105" s="230">
        <v>1854400</v>
      </c>
      <c r="BE105" s="230">
        <v>1750400</v>
      </c>
      <c r="BF105" s="230">
        <v>104000</v>
      </c>
      <c r="BG105" s="229">
        <v>5.9400000000000001E-2</v>
      </c>
      <c r="BH105" s="230">
        <v>62273600</v>
      </c>
      <c r="BI105" s="230">
        <v>75940800</v>
      </c>
      <c r="BJ105" s="230">
        <v>-13667200</v>
      </c>
      <c r="BK105" s="229">
        <v>-0.18</v>
      </c>
      <c r="BL105" s="230">
        <v>39790400</v>
      </c>
      <c r="BM105" s="230">
        <v>45300800</v>
      </c>
      <c r="BN105" s="230">
        <v>-5510400</v>
      </c>
      <c r="BO105" s="229">
        <v>-0.1216</v>
      </c>
      <c r="BP105" s="230">
        <v>176608000</v>
      </c>
      <c r="BQ105" s="230">
        <v>210030400</v>
      </c>
      <c r="BR105" s="230">
        <v>-33422400</v>
      </c>
      <c r="BS105" s="229">
        <v>-0.15909999999999999</v>
      </c>
      <c r="BT105" s="230">
        <v>38980069</v>
      </c>
      <c r="BU105" s="230">
        <v>16859235</v>
      </c>
      <c r="BV105" s="230">
        <v>22120834</v>
      </c>
      <c r="BW105" s="229">
        <v>1.3121</v>
      </c>
      <c r="BX105" s="230">
        <v>167395950</v>
      </c>
      <c r="BY105" s="230">
        <v>179253575</v>
      </c>
      <c r="BZ105" s="230">
        <v>-11857625</v>
      </c>
      <c r="CA105" s="229">
        <v>-6.6199999999999995E-2</v>
      </c>
      <c r="CB105" s="230">
        <v>10553600</v>
      </c>
      <c r="CC105" s="230">
        <v>33665600</v>
      </c>
      <c r="CD105" s="230">
        <v>-23112000</v>
      </c>
      <c r="CE105" s="229">
        <v>-0.6865</v>
      </c>
      <c r="CF105" s="230">
        <v>159216000</v>
      </c>
      <c r="CG105" s="230">
        <v>138931200</v>
      </c>
      <c r="CH105" s="230">
        <v>20284800</v>
      </c>
      <c r="CI105" s="229">
        <v>0.14599999999999999</v>
      </c>
      <c r="CJ105" s="230">
        <v>8179950</v>
      </c>
      <c r="CK105" s="230">
        <v>6656775</v>
      </c>
      <c r="CL105" s="230">
        <v>1523175</v>
      </c>
      <c r="CM105" s="229">
        <v>0.2288</v>
      </c>
      <c r="CN105" s="230">
        <v>46915475</v>
      </c>
      <c r="CO105" s="230">
        <v>141641200</v>
      </c>
      <c r="CP105" s="230">
        <v>-94725725</v>
      </c>
      <c r="CQ105" s="229">
        <v>-0.66879999999999995</v>
      </c>
      <c r="CR105" s="230">
        <v>31744575</v>
      </c>
      <c r="CS105" s="230">
        <v>49811375</v>
      </c>
      <c r="CT105" s="230">
        <v>-18066800</v>
      </c>
      <c r="CU105" s="229">
        <v>-0.36270000000000002</v>
      </c>
      <c r="CV105" s="230">
        <v>246056000</v>
      </c>
      <c r="CW105" s="230">
        <v>370706150</v>
      </c>
      <c r="CX105" s="230">
        <v>-124650150</v>
      </c>
      <c r="CY105" s="229">
        <v>-0.33629999999999999</v>
      </c>
      <c r="CZ105" s="228">
        <v>18.93</v>
      </c>
      <c r="DA105" s="228">
        <v>19.010000000000002</v>
      </c>
      <c r="DB105" s="228">
        <v>-0.08</v>
      </c>
      <c r="DC105" s="228">
        <v>-0.08</v>
      </c>
      <c r="DD105" s="228">
        <v>24.23</v>
      </c>
      <c r="DE105" s="228">
        <v>24.27</v>
      </c>
      <c r="DF105" s="228">
        <v>-5.3</v>
      </c>
      <c r="DG105" s="228">
        <v>-0.04</v>
      </c>
      <c r="DH105" s="228">
        <v>19.13</v>
      </c>
      <c r="DI105" s="228">
        <v>19.190000000000001</v>
      </c>
      <c r="DJ105" s="228">
        <v>-0.06</v>
      </c>
      <c r="DK105" s="228">
        <v>-0.06</v>
      </c>
      <c r="DL105" s="228">
        <v>18.63</v>
      </c>
      <c r="DM105" s="228">
        <v>18.739999999999998</v>
      </c>
      <c r="DN105" s="228">
        <v>-0.11</v>
      </c>
      <c r="DO105" s="228">
        <v>-0.11</v>
      </c>
      <c r="DP105" s="228">
        <v>0.68</v>
      </c>
      <c r="DQ105" s="228">
        <v>0.35</v>
      </c>
      <c r="DR105" s="228">
        <v>0.33</v>
      </c>
      <c r="DS105" s="229">
        <v>0.94289999999999996</v>
      </c>
      <c r="DT105" s="228">
        <v>310</v>
      </c>
      <c r="DU105" s="228">
        <v>300</v>
      </c>
      <c r="DV105" s="228">
        <v>0.64</v>
      </c>
      <c r="DW105" s="228">
        <v>0.6</v>
      </c>
      <c r="DX105" s="228">
        <v>0.04</v>
      </c>
      <c r="DY105" s="229">
        <v>6.6699999999999995E-2</v>
      </c>
      <c r="DZ105" s="229">
        <v>0.94069999999999998</v>
      </c>
      <c r="EA105" s="230">
        <v>145587975</v>
      </c>
      <c r="EB105" s="229">
        <v>7.6E-3</v>
      </c>
      <c r="EC105" s="229">
        <v>0.94069999999999998</v>
      </c>
      <c r="ED105" s="228">
        <v>1.9</v>
      </c>
      <c r="EE105" s="229">
        <v>6.3E-3</v>
      </c>
      <c r="EF105" s="230">
        <v>31119494</v>
      </c>
      <c r="EG105" s="230">
        <v>11300362</v>
      </c>
      <c r="EH105" s="229">
        <v>1.7538</v>
      </c>
      <c r="EI105" s="229">
        <v>0.79830000000000001</v>
      </c>
      <c r="EJ105" s="231">
        <v>196337.04</v>
      </c>
      <c r="EK105" s="231">
        <v>124177.65</v>
      </c>
      <c r="EL105" s="231">
        <v>226228.11</v>
      </c>
      <c r="EM105" s="231">
        <v>39774</v>
      </c>
      <c r="EN105" s="231">
        <v>546742.80000000005</v>
      </c>
      <c r="EO105" s="231">
        <v>649743.38</v>
      </c>
      <c r="EP105" s="231">
        <v>-103000.58</v>
      </c>
      <c r="EQ105" s="229">
        <v>-0.1585</v>
      </c>
      <c r="ER105" s="231">
        <v>148482</v>
      </c>
      <c r="ES105" s="231">
        <v>98049</v>
      </c>
      <c r="ET105" s="231">
        <v>507633</v>
      </c>
      <c r="EU105" s="231">
        <v>1317896781</v>
      </c>
      <c r="EV105" s="231">
        <v>754164</v>
      </c>
      <c r="EW105" s="231">
        <v>1154256</v>
      </c>
      <c r="EX105" s="231">
        <v>-400092</v>
      </c>
      <c r="EY105" s="229">
        <v>-0.34660000000000002</v>
      </c>
      <c r="EZ105" s="229">
        <v>0.1867</v>
      </c>
      <c r="FA105" s="227" t="s">
        <v>567</v>
      </c>
      <c r="FB105" s="161">
        <f t="shared" si="1"/>
        <v>156842350</v>
      </c>
    </row>
    <row r="106" spans="1:158" ht="17.25" thickBot="1" x14ac:dyDescent="0.3">
      <c r="A106" s="226">
        <v>46168</v>
      </c>
      <c r="B106" s="227" t="s">
        <v>227</v>
      </c>
      <c r="C106" s="227" t="s">
        <v>243</v>
      </c>
      <c r="D106" s="228">
        <v>625</v>
      </c>
      <c r="E106" s="231">
        <v>1232</v>
      </c>
      <c r="F106" s="231">
        <v>1221.5999999999999</v>
      </c>
      <c r="G106" s="228">
        <v>10.4</v>
      </c>
      <c r="H106" s="229">
        <v>8.5000000000000006E-3</v>
      </c>
      <c r="I106" s="231">
        <v>1222.9000000000001</v>
      </c>
      <c r="J106" s="231">
        <v>1212.3</v>
      </c>
      <c r="K106" s="228">
        <v>10.6</v>
      </c>
      <c r="L106" s="229">
        <v>8.6999999999999994E-3</v>
      </c>
      <c r="M106" s="231">
        <v>1223.8</v>
      </c>
      <c r="N106" s="231">
        <v>1214.0999999999999</v>
      </c>
      <c r="O106" s="228">
        <v>9.6999999999999993</v>
      </c>
      <c r="P106" s="229">
        <v>8.0000000000000002E-3</v>
      </c>
      <c r="Q106" s="231">
        <v>1232</v>
      </c>
      <c r="R106" s="231">
        <v>1221.5999999999999</v>
      </c>
      <c r="S106" s="228">
        <v>10.4</v>
      </c>
      <c r="T106" s="229">
        <v>8.5000000000000006E-3</v>
      </c>
      <c r="U106" s="231">
        <v>1239.3</v>
      </c>
      <c r="V106" s="231">
        <v>1229.4000000000001</v>
      </c>
      <c r="W106" s="228">
        <v>9.9</v>
      </c>
      <c r="X106" s="229">
        <v>8.0999999999999996E-3</v>
      </c>
      <c r="Y106" s="228">
        <v>9.1</v>
      </c>
      <c r="Z106" s="228">
        <v>1.8</v>
      </c>
      <c r="AA106" s="228">
        <v>7.3</v>
      </c>
      <c r="AB106" s="229">
        <v>7.4000000000000003E-3</v>
      </c>
      <c r="AC106" s="228">
        <v>0.9</v>
      </c>
      <c r="AD106" s="228">
        <v>1.8</v>
      </c>
      <c r="AE106" s="228">
        <v>-0.9</v>
      </c>
      <c r="AF106" s="229">
        <v>6.9999999999999999E-4</v>
      </c>
      <c r="AG106" s="228">
        <v>9.1</v>
      </c>
      <c r="AH106" s="228">
        <v>9.3000000000000007</v>
      </c>
      <c r="AI106" s="228">
        <v>-0.2</v>
      </c>
      <c r="AJ106" s="229">
        <v>7.4000000000000003E-3</v>
      </c>
      <c r="AK106" s="228">
        <v>16.399999999999999</v>
      </c>
      <c r="AL106" s="228">
        <v>17.100000000000001</v>
      </c>
      <c r="AM106" s="228">
        <v>-0.7</v>
      </c>
      <c r="AN106" s="229">
        <v>1.34E-2</v>
      </c>
      <c r="AO106" s="231">
        <v>1215.9100000000001</v>
      </c>
      <c r="AP106" s="231">
        <v>1224.21</v>
      </c>
      <c r="AQ106" s="228">
        <v>0</v>
      </c>
      <c r="AR106" s="230">
        <v>8865625</v>
      </c>
      <c r="AS106" s="230">
        <v>6090000</v>
      </c>
      <c r="AT106" s="230">
        <v>2775625</v>
      </c>
      <c r="AU106" s="229">
        <v>0.45579999999999998</v>
      </c>
      <c r="AV106" s="230">
        <v>4070625</v>
      </c>
      <c r="AW106" s="230">
        <v>2911250</v>
      </c>
      <c r="AX106" s="230">
        <v>1159375</v>
      </c>
      <c r="AY106" s="229">
        <v>0.3982</v>
      </c>
      <c r="AZ106" s="230">
        <v>4764375</v>
      </c>
      <c r="BA106" s="230">
        <v>3151875</v>
      </c>
      <c r="BB106" s="230">
        <v>1612500</v>
      </c>
      <c r="BC106" s="229">
        <v>0.51160000000000005</v>
      </c>
      <c r="BD106" s="230">
        <v>30625</v>
      </c>
      <c r="BE106" s="230">
        <v>26875</v>
      </c>
      <c r="BF106" s="230">
        <v>3750</v>
      </c>
      <c r="BG106" s="229">
        <v>0.13950000000000001</v>
      </c>
      <c r="BH106" s="230">
        <v>2690000</v>
      </c>
      <c r="BI106" s="230">
        <v>2705000</v>
      </c>
      <c r="BJ106" s="230">
        <v>-15000</v>
      </c>
      <c r="BK106" s="229">
        <v>-5.4999999999999997E-3</v>
      </c>
      <c r="BL106" s="230">
        <v>1361875</v>
      </c>
      <c r="BM106" s="230">
        <v>1769375</v>
      </c>
      <c r="BN106" s="230">
        <v>-407500</v>
      </c>
      <c r="BO106" s="229">
        <v>-0.2303</v>
      </c>
      <c r="BP106" s="230">
        <v>12917500</v>
      </c>
      <c r="BQ106" s="230">
        <v>10564375</v>
      </c>
      <c r="BR106" s="230">
        <v>2353125</v>
      </c>
      <c r="BS106" s="229">
        <v>0.22270000000000001</v>
      </c>
      <c r="BT106" s="230">
        <v>500464</v>
      </c>
      <c r="BU106" s="230">
        <v>338208</v>
      </c>
      <c r="BV106" s="230">
        <v>162256</v>
      </c>
      <c r="BW106" s="229">
        <v>0.4798</v>
      </c>
      <c r="BX106" s="230">
        <v>12166875</v>
      </c>
      <c r="BY106" s="230">
        <v>12578750</v>
      </c>
      <c r="BZ106" s="230">
        <v>-411875</v>
      </c>
      <c r="CA106" s="229">
        <v>-3.27E-2</v>
      </c>
      <c r="CB106" s="230">
        <v>343750</v>
      </c>
      <c r="CC106" s="230">
        <v>3736250</v>
      </c>
      <c r="CD106" s="230">
        <v>-3392500</v>
      </c>
      <c r="CE106" s="229">
        <v>-0.90800000000000003</v>
      </c>
      <c r="CF106" s="230">
        <v>12103125</v>
      </c>
      <c r="CG106" s="230">
        <v>8797500</v>
      </c>
      <c r="CH106" s="230">
        <v>3305625</v>
      </c>
      <c r="CI106" s="229">
        <v>0.37569999999999998</v>
      </c>
      <c r="CJ106" s="230">
        <v>63750</v>
      </c>
      <c r="CK106" s="230">
        <v>45000</v>
      </c>
      <c r="CL106" s="230">
        <v>18750</v>
      </c>
      <c r="CM106" s="229">
        <v>0.41670000000000001</v>
      </c>
      <c r="CN106" s="230">
        <v>746250</v>
      </c>
      <c r="CO106" s="230">
        <v>3638125</v>
      </c>
      <c r="CP106" s="230">
        <v>-2891875</v>
      </c>
      <c r="CQ106" s="229">
        <v>-0.79490000000000005</v>
      </c>
      <c r="CR106" s="230">
        <v>1160000</v>
      </c>
      <c r="CS106" s="230">
        <v>2734375</v>
      </c>
      <c r="CT106" s="230">
        <v>-1574375</v>
      </c>
      <c r="CU106" s="229">
        <v>-0.57579999999999998</v>
      </c>
      <c r="CV106" s="230">
        <v>14073125</v>
      </c>
      <c r="CW106" s="230">
        <v>18951250</v>
      </c>
      <c r="CX106" s="230">
        <v>-4878125</v>
      </c>
      <c r="CY106" s="229">
        <v>-0.25740000000000002</v>
      </c>
      <c r="CZ106" s="228">
        <v>24.15</v>
      </c>
      <c r="DA106" s="228">
        <v>25.47</v>
      </c>
      <c r="DB106" s="228">
        <v>-1.32</v>
      </c>
      <c r="DC106" s="228">
        <v>-1.32</v>
      </c>
      <c r="DD106" s="228">
        <v>36.83</v>
      </c>
      <c r="DE106" s="228">
        <v>36.909999999999997</v>
      </c>
      <c r="DF106" s="228">
        <v>-12.68</v>
      </c>
      <c r="DG106" s="228">
        <v>-0.08</v>
      </c>
      <c r="DH106" s="228">
        <v>23.81</v>
      </c>
      <c r="DI106" s="228">
        <v>25.69</v>
      </c>
      <c r="DJ106" s="228">
        <v>-1.88</v>
      </c>
      <c r="DK106" s="228">
        <v>-1.88</v>
      </c>
      <c r="DL106" s="228">
        <v>24.57</v>
      </c>
      <c r="DM106" s="228">
        <v>25.33</v>
      </c>
      <c r="DN106" s="228">
        <v>-0.76</v>
      </c>
      <c r="DO106" s="228">
        <v>-0.76</v>
      </c>
      <c r="DP106" s="228">
        <v>1.55</v>
      </c>
      <c r="DQ106" s="228">
        <v>0.75</v>
      </c>
      <c r="DR106" s="228">
        <v>0.8</v>
      </c>
      <c r="DS106" s="229">
        <v>1.0667</v>
      </c>
      <c r="DT106" s="231">
        <v>1300</v>
      </c>
      <c r="DU106" s="231">
        <v>1200</v>
      </c>
      <c r="DV106" s="228">
        <v>0.51</v>
      </c>
      <c r="DW106" s="228">
        <v>0.65</v>
      </c>
      <c r="DX106" s="228">
        <v>-0.14000000000000001</v>
      </c>
      <c r="DY106" s="229">
        <v>-0.21540000000000001</v>
      </c>
      <c r="DZ106" s="229">
        <v>0.97250000000000003</v>
      </c>
      <c r="EA106" s="230">
        <v>8842500</v>
      </c>
      <c r="EB106" s="229">
        <v>6.7000000000000002E-3</v>
      </c>
      <c r="EC106" s="229">
        <v>0.97250000000000003</v>
      </c>
      <c r="ED106" s="228">
        <v>8.3000000000000007</v>
      </c>
      <c r="EE106" s="229">
        <v>6.7999999999999996E-3</v>
      </c>
      <c r="EF106" s="230">
        <v>166053</v>
      </c>
      <c r="EG106" s="230">
        <v>119511</v>
      </c>
      <c r="EH106" s="229">
        <v>0.38940000000000002</v>
      </c>
      <c r="EI106" s="229">
        <v>0.33179999999999998</v>
      </c>
      <c r="EJ106" s="231">
        <v>33792.720000000001</v>
      </c>
      <c r="EK106" s="231">
        <v>16705.88</v>
      </c>
      <c r="EL106" s="231">
        <v>108198.49</v>
      </c>
      <c r="EM106" s="231">
        <v>7493</v>
      </c>
      <c r="EN106" s="231">
        <v>158697.09</v>
      </c>
      <c r="EO106" s="231">
        <v>130110.49</v>
      </c>
      <c r="EP106" s="231">
        <v>28586.6</v>
      </c>
      <c r="EQ106" s="229">
        <v>0.21970000000000001</v>
      </c>
      <c r="ER106" s="231">
        <v>9410</v>
      </c>
      <c r="ES106" s="231">
        <v>13793</v>
      </c>
      <c r="ET106" s="231">
        <v>149901</v>
      </c>
      <c r="EU106" s="231">
        <v>45844541</v>
      </c>
      <c r="EV106" s="231">
        <v>173104</v>
      </c>
      <c r="EW106" s="231">
        <v>233014</v>
      </c>
      <c r="EX106" s="231">
        <v>-59910</v>
      </c>
      <c r="EY106" s="229">
        <v>-0.2571</v>
      </c>
      <c r="EZ106" s="229">
        <v>0.307</v>
      </c>
      <c r="FA106" s="227" t="s">
        <v>691</v>
      </c>
      <c r="FB106" s="161">
        <f t="shared" si="1"/>
        <v>11823125</v>
      </c>
    </row>
    <row r="107" spans="1:158" ht="17.25" thickBot="1" x14ac:dyDescent="0.3">
      <c r="A107" s="226">
        <v>46168</v>
      </c>
      <c r="B107" s="227" t="s">
        <v>175</v>
      </c>
      <c r="C107" s="227" t="s">
        <v>569</v>
      </c>
      <c r="D107" s="228">
        <v>2350</v>
      </c>
      <c r="E107" s="228">
        <v>242.09</v>
      </c>
      <c r="F107" s="228">
        <v>243.37</v>
      </c>
      <c r="G107" s="228">
        <v>-1.28</v>
      </c>
      <c r="H107" s="229">
        <v>-5.3E-3</v>
      </c>
      <c r="I107" s="228">
        <v>240.67</v>
      </c>
      <c r="J107" s="228">
        <v>241.74</v>
      </c>
      <c r="K107" s="228">
        <v>-1.07</v>
      </c>
      <c r="L107" s="229">
        <v>-4.4000000000000003E-3</v>
      </c>
      <c r="M107" s="228">
        <v>240.26</v>
      </c>
      <c r="N107" s="228">
        <v>241.89</v>
      </c>
      <c r="O107" s="228">
        <v>-1.63</v>
      </c>
      <c r="P107" s="229">
        <v>-6.7000000000000002E-3</v>
      </c>
      <c r="Q107" s="228">
        <v>242.09</v>
      </c>
      <c r="R107" s="228">
        <v>243.37</v>
      </c>
      <c r="S107" s="228">
        <v>-1.28</v>
      </c>
      <c r="T107" s="229">
        <v>-5.3E-3</v>
      </c>
      <c r="U107" s="228">
        <v>243.76</v>
      </c>
      <c r="V107" s="228">
        <v>244.8</v>
      </c>
      <c r="W107" s="228">
        <v>-1.04</v>
      </c>
      <c r="X107" s="229">
        <v>-4.1999999999999997E-3</v>
      </c>
      <c r="Y107" s="228">
        <v>1.42</v>
      </c>
      <c r="Z107" s="228">
        <v>0.15</v>
      </c>
      <c r="AA107" s="228">
        <v>1.27</v>
      </c>
      <c r="AB107" s="229">
        <v>5.8999999999999999E-3</v>
      </c>
      <c r="AC107" s="228">
        <v>-0.41</v>
      </c>
      <c r="AD107" s="228">
        <v>0.15</v>
      </c>
      <c r="AE107" s="228">
        <v>-0.56000000000000005</v>
      </c>
      <c r="AF107" s="229">
        <v>-1.6999999999999999E-3</v>
      </c>
      <c r="AG107" s="228">
        <v>1.42</v>
      </c>
      <c r="AH107" s="228">
        <v>1.63</v>
      </c>
      <c r="AI107" s="228">
        <v>-0.21</v>
      </c>
      <c r="AJ107" s="229">
        <v>5.8999999999999999E-3</v>
      </c>
      <c r="AK107" s="228">
        <v>3.09</v>
      </c>
      <c r="AL107" s="228">
        <v>3.06</v>
      </c>
      <c r="AM107" s="228">
        <v>0.03</v>
      </c>
      <c r="AN107" s="229">
        <v>1.2800000000000001E-2</v>
      </c>
      <c r="AO107" s="228">
        <v>241.38</v>
      </c>
      <c r="AP107" s="228">
        <v>242.95</v>
      </c>
      <c r="AQ107" s="228">
        <v>0</v>
      </c>
      <c r="AR107" s="230">
        <v>80358250</v>
      </c>
      <c r="AS107" s="230">
        <v>109991750</v>
      </c>
      <c r="AT107" s="230">
        <v>-29633500</v>
      </c>
      <c r="AU107" s="229">
        <v>-0.26939999999999997</v>
      </c>
      <c r="AV107" s="230">
        <v>36782200</v>
      </c>
      <c r="AW107" s="230">
        <v>53525950</v>
      </c>
      <c r="AX107" s="230">
        <v>-16743750</v>
      </c>
      <c r="AY107" s="229">
        <v>-0.31280000000000002</v>
      </c>
      <c r="AZ107" s="230">
        <v>41848800</v>
      </c>
      <c r="BA107" s="230">
        <v>55321350</v>
      </c>
      <c r="BB107" s="230">
        <v>-13472550</v>
      </c>
      <c r="BC107" s="229">
        <v>-0.24349999999999999</v>
      </c>
      <c r="BD107" s="230">
        <v>1727250</v>
      </c>
      <c r="BE107" s="230">
        <v>1144450</v>
      </c>
      <c r="BF107" s="230">
        <v>582800</v>
      </c>
      <c r="BG107" s="229">
        <v>0.50919999999999999</v>
      </c>
      <c r="BH107" s="230">
        <v>44316300</v>
      </c>
      <c r="BI107" s="230">
        <v>80306550</v>
      </c>
      <c r="BJ107" s="230">
        <v>-35990250</v>
      </c>
      <c r="BK107" s="229">
        <v>-0.44819999999999999</v>
      </c>
      <c r="BL107" s="230">
        <v>25732500</v>
      </c>
      <c r="BM107" s="230">
        <v>32977550</v>
      </c>
      <c r="BN107" s="230">
        <v>-7245050</v>
      </c>
      <c r="BO107" s="229">
        <v>-0.21970000000000001</v>
      </c>
      <c r="BP107" s="230">
        <v>150407050</v>
      </c>
      <c r="BQ107" s="230">
        <v>223275850</v>
      </c>
      <c r="BR107" s="230">
        <v>-72868800</v>
      </c>
      <c r="BS107" s="229">
        <v>-0.32640000000000002</v>
      </c>
      <c r="BT107" s="230">
        <v>11449476</v>
      </c>
      <c r="BU107" s="230">
        <v>10460819</v>
      </c>
      <c r="BV107" s="230">
        <v>988657</v>
      </c>
      <c r="BW107" s="229">
        <v>9.4500000000000001E-2</v>
      </c>
      <c r="BX107" s="230">
        <v>172856600</v>
      </c>
      <c r="BY107" s="230">
        <v>184063750</v>
      </c>
      <c r="BZ107" s="230">
        <v>-11207150</v>
      </c>
      <c r="CA107" s="229">
        <v>-6.0900000000000003E-2</v>
      </c>
      <c r="CB107" s="230">
        <v>10610250</v>
      </c>
      <c r="CC107" s="230">
        <v>35865700</v>
      </c>
      <c r="CD107" s="230">
        <v>-25255450</v>
      </c>
      <c r="CE107" s="229">
        <v>-0.70420000000000005</v>
      </c>
      <c r="CF107" s="230">
        <v>167035650</v>
      </c>
      <c r="CG107" s="230">
        <v>143472200</v>
      </c>
      <c r="CH107" s="230">
        <v>23563450</v>
      </c>
      <c r="CI107" s="229">
        <v>0.16420000000000001</v>
      </c>
      <c r="CJ107" s="230">
        <v>5820950</v>
      </c>
      <c r="CK107" s="230">
        <v>4725850</v>
      </c>
      <c r="CL107" s="230">
        <v>1095100</v>
      </c>
      <c r="CM107" s="229">
        <v>0.23169999999999999</v>
      </c>
      <c r="CN107" s="230">
        <v>26578500</v>
      </c>
      <c r="CO107" s="230">
        <v>60129450</v>
      </c>
      <c r="CP107" s="230">
        <v>-33550950</v>
      </c>
      <c r="CQ107" s="229">
        <v>-0.55800000000000005</v>
      </c>
      <c r="CR107" s="230">
        <v>25147350</v>
      </c>
      <c r="CS107" s="230">
        <v>44041350</v>
      </c>
      <c r="CT107" s="230">
        <v>-18894000</v>
      </c>
      <c r="CU107" s="229">
        <v>-0.42899999999999999</v>
      </c>
      <c r="CV107" s="230">
        <v>224582450</v>
      </c>
      <c r="CW107" s="230">
        <v>288234550</v>
      </c>
      <c r="CX107" s="230">
        <v>-63652100</v>
      </c>
      <c r="CY107" s="229">
        <v>-0.2208</v>
      </c>
      <c r="CZ107" s="228">
        <v>28.73</v>
      </c>
      <c r="DA107" s="228">
        <v>30.22</v>
      </c>
      <c r="DB107" s="228">
        <v>-1.49</v>
      </c>
      <c r="DC107" s="228">
        <v>-1.49</v>
      </c>
      <c r="DD107" s="228">
        <v>37.49</v>
      </c>
      <c r="DE107" s="228">
        <v>37.57</v>
      </c>
      <c r="DF107" s="228">
        <v>-8.76</v>
      </c>
      <c r="DG107" s="228">
        <v>-0.08</v>
      </c>
      <c r="DH107" s="228">
        <v>28.64</v>
      </c>
      <c r="DI107" s="228">
        <v>30.35</v>
      </c>
      <c r="DJ107" s="228">
        <v>-1.71</v>
      </c>
      <c r="DK107" s="228">
        <v>-1.71</v>
      </c>
      <c r="DL107" s="228">
        <v>28.87</v>
      </c>
      <c r="DM107" s="228">
        <v>30.04</v>
      </c>
      <c r="DN107" s="228">
        <v>-1.17</v>
      </c>
      <c r="DO107" s="228">
        <v>-1.17</v>
      </c>
      <c r="DP107" s="228">
        <v>0.95</v>
      </c>
      <c r="DQ107" s="228">
        <v>0.73</v>
      </c>
      <c r="DR107" s="228">
        <v>0.22</v>
      </c>
      <c r="DS107" s="229">
        <v>0.3014</v>
      </c>
      <c r="DT107" s="228">
        <v>250</v>
      </c>
      <c r="DU107" s="228">
        <v>290</v>
      </c>
      <c r="DV107" s="228">
        <v>0.57999999999999996</v>
      </c>
      <c r="DW107" s="228">
        <v>0.41</v>
      </c>
      <c r="DX107" s="228">
        <v>0.17</v>
      </c>
      <c r="DY107" s="229">
        <v>0.41460000000000002</v>
      </c>
      <c r="DZ107" s="229">
        <v>0.94220000000000004</v>
      </c>
      <c r="EA107" s="230">
        <v>148198050</v>
      </c>
      <c r="EB107" s="229">
        <v>7.6E-3</v>
      </c>
      <c r="EC107" s="229">
        <v>0.94220000000000004</v>
      </c>
      <c r="ED107" s="228">
        <v>1.57</v>
      </c>
      <c r="EE107" s="229">
        <v>6.4999999999999997E-3</v>
      </c>
      <c r="EF107" s="230">
        <v>5288811</v>
      </c>
      <c r="EG107" s="230">
        <v>4512350</v>
      </c>
      <c r="EH107" s="229">
        <v>0.1721</v>
      </c>
      <c r="EI107" s="229">
        <v>0.46189999999999998</v>
      </c>
      <c r="EJ107" s="231">
        <v>114378.14</v>
      </c>
      <c r="EK107" s="231">
        <v>67994.97</v>
      </c>
      <c r="EL107" s="231">
        <v>194679.4</v>
      </c>
      <c r="EM107" s="231">
        <v>24923</v>
      </c>
      <c r="EN107" s="231">
        <v>377052.51</v>
      </c>
      <c r="EO107" s="231">
        <v>553554.75</v>
      </c>
      <c r="EP107" s="231">
        <v>-176502.24</v>
      </c>
      <c r="EQ107" s="229">
        <v>-0.31890000000000002</v>
      </c>
      <c r="ER107" s="231">
        <v>67213</v>
      </c>
      <c r="ES107" s="231">
        <v>62118</v>
      </c>
      <c r="ET107" s="231">
        <v>418566</v>
      </c>
      <c r="EU107" s="231">
        <v>490240515</v>
      </c>
      <c r="EV107" s="231">
        <v>547897</v>
      </c>
      <c r="EW107" s="231">
        <v>709172</v>
      </c>
      <c r="EX107" s="231">
        <v>-161275</v>
      </c>
      <c r="EY107" s="229">
        <v>-0.22739999999999999</v>
      </c>
      <c r="EZ107" s="229">
        <v>0.45810000000000001</v>
      </c>
      <c r="FA107" s="227" t="s">
        <v>567</v>
      </c>
      <c r="FB107" s="161">
        <f t="shared" si="1"/>
        <v>162246350</v>
      </c>
    </row>
    <row r="108" spans="1:158" ht="17.25" thickBot="1" x14ac:dyDescent="0.3">
      <c r="A108" s="226">
        <v>46168</v>
      </c>
      <c r="B108" s="227" t="s">
        <v>161</v>
      </c>
      <c r="C108" s="227" t="s">
        <v>579</v>
      </c>
      <c r="D108" s="228">
        <v>1000</v>
      </c>
      <c r="E108" s="228">
        <v>578.5</v>
      </c>
      <c r="F108" s="228">
        <v>557.9</v>
      </c>
      <c r="G108" s="228">
        <v>20.6</v>
      </c>
      <c r="H108" s="229">
        <v>3.6900000000000002E-2</v>
      </c>
      <c r="I108" s="228">
        <v>576</v>
      </c>
      <c r="J108" s="228">
        <v>557.04999999999995</v>
      </c>
      <c r="K108" s="228">
        <v>18.95</v>
      </c>
      <c r="L108" s="229">
        <v>3.4000000000000002E-2</v>
      </c>
      <c r="M108" s="228">
        <v>576</v>
      </c>
      <c r="N108" s="228">
        <v>556.65</v>
      </c>
      <c r="O108" s="228">
        <v>19.350000000000001</v>
      </c>
      <c r="P108" s="229">
        <v>3.4799999999999998E-2</v>
      </c>
      <c r="Q108" s="228">
        <v>578.5</v>
      </c>
      <c r="R108" s="228">
        <v>557.9</v>
      </c>
      <c r="S108" s="228">
        <v>20.6</v>
      </c>
      <c r="T108" s="229">
        <v>3.6900000000000002E-2</v>
      </c>
      <c r="U108" s="228">
        <v>581.15</v>
      </c>
      <c r="V108" s="228">
        <v>560.79999999999995</v>
      </c>
      <c r="W108" s="228">
        <v>20.350000000000001</v>
      </c>
      <c r="X108" s="229">
        <v>3.6299999999999999E-2</v>
      </c>
      <c r="Y108" s="228">
        <v>2.5</v>
      </c>
      <c r="Z108" s="228">
        <v>-0.4</v>
      </c>
      <c r="AA108" s="228">
        <v>2.9</v>
      </c>
      <c r="AB108" s="229">
        <v>4.3E-3</v>
      </c>
      <c r="AC108" s="228">
        <v>0</v>
      </c>
      <c r="AD108" s="228">
        <v>-0.4</v>
      </c>
      <c r="AE108" s="228">
        <v>0.4</v>
      </c>
      <c r="AF108" s="229">
        <v>0</v>
      </c>
      <c r="AG108" s="228">
        <v>2.5</v>
      </c>
      <c r="AH108" s="228">
        <v>0.85</v>
      </c>
      <c r="AI108" s="228">
        <v>1.65</v>
      </c>
      <c r="AJ108" s="229">
        <v>4.3E-3</v>
      </c>
      <c r="AK108" s="228">
        <v>5.15</v>
      </c>
      <c r="AL108" s="228">
        <v>3.75</v>
      </c>
      <c r="AM108" s="228">
        <v>1.4</v>
      </c>
      <c r="AN108" s="229">
        <v>8.8999999999999999E-3</v>
      </c>
      <c r="AO108" s="228">
        <v>573.57000000000005</v>
      </c>
      <c r="AP108" s="228">
        <v>574.02</v>
      </c>
      <c r="AQ108" s="228">
        <v>0</v>
      </c>
      <c r="AR108" s="230">
        <v>12354000</v>
      </c>
      <c r="AS108" s="230">
        <v>18297000</v>
      </c>
      <c r="AT108" s="230">
        <v>-5943000</v>
      </c>
      <c r="AU108" s="229">
        <v>-0.32479999999999998</v>
      </c>
      <c r="AV108" s="230">
        <v>5436000</v>
      </c>
      <c r="AW108" s="230">
        <v>8846000</v>
      </c>
      <c r="AX108" s="230">
        <v>-3410000</v>
      </c>
      <c r="AY108" s="229">
        <v>-0.38550000000000001</v>
      </c>
      <c r="AZ108" s="230">
        <v>6796000</v>
      </c>
      <c r="BA108" s="230">
        <v>9369000</v>
      </c>
      <c r="BB108" s="230">
        <v>-2573000</v>
      </c>
      <c r="BC108" s="229">
        <v>-0.27460000000000001</v>
      </c>
      <c r="BD108" s="230">
        <v>122000</v>
      </c>
      <c r="BE108" s="230">
        <v>82000</v>
      </c>
      <c r="BF108" s="230">
        <v>40000</v>
      </c>
      <c r="BG108" s="229">
        <v>0.48780000000000001</v>
      </c>
      <c r="BH108" s="230">
        <v>32671000</v>
      </c>
      <c r="BI108" s="230">
        <v>16075000</v>
      </c>
      <c r="BJ108" s="230">
        <v>16596000</v>
      </c>
      <c r="BK108" s="229">
        <v>1.0324</v>
      </c>
      <c r="BL108" s="230">
        <v>9276000</v>
      </c>
      <c r="BM108" s="230">
        <v>9177000</v>
      </c>
      <c r="BN108" s="230">
        <v>99000</v>
      </c>
      <c r="BO108" s="229">
        <v>1.0800000000000001E-2</v>
      </c>
      <c r="BP108" s="230">
        <v>54301000</v>
      </c>
      <c r="BQ108" s="230">
        <v>43549000</v>
      </c>
      <c r="BR108" s="230">
        <v>10752000</v>
      </c>
      <c r="BS108" s="229">
        <v>0.24690000000000001</v>
      </c>
      <c r="BT108" s="230">
        <v>6823838</v>
      </c>
      <c r="BU108" s="230">
        <v>2643524</v>
      </c>
      <c r="BV108" s="230">
        <v>4180314</v>
      </c>
      <c r="BW108" s="229">
        <v>1.5812999999999999</v>
      </c>
      <c r="BX108" s="230">
        <v>22030825</v>
      </c>
      <c r="BY108" s="230">
        <v>23496850</v>
      </c>
      <c r="BZ108" s="230">
        <v>-1466025</v>
      </c>
      <c r="CA108" s="229">
        <v>-6.2399999999999997E-2</v>
      </c>
      <c r="CB108" s="230">
        <v>2708000</v>
      </c>
      <c r="CC108" s="230">
        <v>2167000</v>
      </c>
      <c r="CD108" s="230">
        <v>541000</v>
      </c>
      <c r="CE108" s="229">
        <v>0.24970000000000001</v>
      </c>
      <c r="CF108" s="230">
        <v>21890000</v>
      </c>
      <c r="CG108" s="230">
        <v>21203000</v>
      </c>
      <c r="CH108" s="230">
        <v>687000</v>
      </c>
      <c r="CI108" s="229">
        <v>3.2399999999999998E-2</v>
      </c>
      <c r="CJ108" s="230">
        <v>140825</v>
      </c>
      <c r="CK108" s="230">
        <v>126850</v>
      </c>
      <c r="CL108" s="230">
        <v>13975</v>
      </c>
      <c r="CM108" s="229">
        <v>0.11020000000000001</v>
      </c>
      <c r="CN108" s="230">
        <v>3364075</v>
      </c>
      <c r="CO108" s="230">
        <v>9742075</v>
      </c>
      <c r="CP108" s="230">
        <v>-6378000</v>
      </c>
      <c r="CQ108" s="229">
        <v>-0.65469999999999995</v>
      </c>
      <c r="CR108" s="230">
        <v>2343075</v>
      </c>
      <c r="CS108" s="230">
        <v>7669200</v>
      </c>
      <c r="CT108" s="230">
        <v>-5326125</v>
      </c>
      <c r="CU108" s="229">
        <v>-0.69450000000000001</v>
      </c>
      <c r="CV108" s="230">
        <v>27737975</v>
      </c>
      <c r="CW108" s="230">
        <v>40908125</v>
      </c>
      <c r="CX108" s="230">
        <v>-13170150</v>
      </c>
      <c r="CY108" s="229">
        <v>-0.32190000000000002</v>
      </c>
      <c r="CZ108" s="228">
        <v>29.82</v>
      </c>
      <c r="DA108" s="228">
        <v>29.9</v>
      </c>
      <c r="DB108" s="228">
        <v>-0.08</v>
      </c>
      <c r="DC108" s="228">
        <v>-0.08</v>
      </c>
      <c r="DD108" s="228">
        <v>43.17</v>
      </c>
      <c r="DE108" s="228">
        <v>43</v>
      </c>
      <c r="DF108" s="228">
        <v>-13.35</v>
      </c>
      <c r="DG108" s="228">
        <v>0.17</v>
      </c>
      <c r="DH108" s="228">
        <v>29.67</v>
      </c>
      <c r="DI108" s="228">
        <v>29.76</v>
      </c>
      <c r="DJ108" s="228">
        <v>-0.09</v>
      </c>
      <c r="DK108" s="228">
        <v>-0.09</v>
      </c>
      <c r="DL108" s="228">
        <v>30.38</v>
      </c>
      <c r="DM108" s="228">
        <v>30.13</v>
      </c>
      <c r="DN108" s="228">
        <v>0.25</v>
      </c>
      <c r="DO108" s="228">
        <v>0.25</v>
      </c>
      <c r="DP108" s="228">
        <v>0.7</v>
      </c>
      <c r="DQ108" s="228">
        <v>0.79</v>
      </c>
      <c r="DR108" s="228">
        <v>-0.09</v>
      </c>
      <c r="DS108" s="229">
        <v>-0.1139</v>
      </c>
      <c r="DT108" s="228">
        <v>525</v>
      </c>
      <c r="DU108" s="228">
        <v>550</v>
      </c>
      <c r="DV108" s="228">
        <v>0.28000000000000003</v>
      </c>
      <c r="DW108" s="228">
        <v>0.56999999999999995</v>
      </c>
      <c r="DX108" s="228">
        <v>-0.28999999999999998</v>
      </c>
      <c r="DY108" s="229">
        <v>-0.50880000000000003</v>
      </c>
      <c r="DZ108" s="229">
        <v>0.89049999999999996</v>
      </c>
      <c r="EA108" s="230">
        <v>21329850</v>
      </c>
      <c r="EB108" s="229">
        <v>4.3E-3</v>
      </c>
      <c r="EC108" s="229">
        <v>0.89049999999999996</v>
      </c>
      <c r="ED108" s="228">
        <v>0.45</v>
      </c>
      <c r="EE108" s="229">
        <v>8.0000000000000004E-4</v>
      </c>
      <c r="EF108" s="230">
        <v>2054622</v>
      </c>
      <c r="EG108" s="230">
        <v>1143259</v>
      </c>
      <c r="EH108" s="229">
        <v>0.79720000000000002</v>
      </c>
      <c r="EI108" s="229">
        <v>0.30109999999999998</v>
      </c>
      <c r="EJ108" s="231">
        <v>192384.82</v>
      </c>
      <c r="EK108" s="231">
        <v>52559.51</v>
      </c>
      <c r="EL108" s="231">
        <v>70947.240000000005</v>
      </c>
      <c r="EM108" s="231">
        <v>15029</v>
      </c>
      <c r="EN108" s="231">
        <v>315891.57</v>
      </c>
      <c r="EO108" s="231">
        <v>244080.14</v>
      </c>
      <c r="EP108" s="231">
        <v>71811.429999999993</v>
      </c>
      <c r="EQ108" s="229">
        <v>0.29420000000000002</v>
      </c>
      <c r="ER108" s="231">
        <v>19598</v>
      </c>
      <c r="ES108" s="231">
        <v>12441</v>
      </c>
      <c r="ET108" s="231">
        <v>127452</v>
      </c>
      <c r="EU108" s="231">
        <v>75294901</v>
      </c>
      <c r="EV108" s="231">
        <v>159491</v>
      </c>
      <c r="EW108" s="231">
        <v>226455</v>
      </c>
      <c r="EX108" s="231">
        <v>-66964</v>
      </c>
      <c r="EY108" s="229">
        <v>-0.29570000000000002</v>
      </c>
      <c r="EZ108" s="229">
        <v>0.36840000000000001</v>
      </c>
      <c r="FA108" s="227" t="s">
        <v>691</v>
      </c>
      <c r="FB108" s="161">
        <f t="shared" si="1"/>
        <v>19322825</v>
      </c>
    </row>
    <row r="109" spans="1:158" ht="17.25" thickBot="1" x14ac:dyDescent="0.3">
      <c r="A109" s="226">
        <v>46168</v>
      </c>
      <c r="B109" s="227" t="s">
        <v>227</v>
      </c>
      <c r="C109" s="227" t="s">
        <v>244</v>
      </c>
      <c r="D109" s="228">
        <v>675</v>
      </c>
      <c r="E109" s="231">
        <v>1301.2</v>
      </c>
      <c r="F109" s="231">
        <v>1297.5999999999999</v>
      </c>
      <c r="G109" s="228">
        <v>3.6</v>
      </c>
      <c r="H109" s="229">
        <v>2.8E-3</v>
      </c>
      <c r="I109" s="231">
        <v>1293.5999999999999</v>
      </c>
      <c r="J109" s="231">
        <v>1289.4000000000001</v>
      </c>
      <c r="K109" s="228">
        <v>4.2</v>
      </c>
      <c r="L109" s="229">
        <v>3.3E-3</v>
      </c>
      <c r="M109" s="231">
        <v>1293.0999999999999</v>
      </c>
      <c r="N109" s="231">
        <v>1289.4000000000001</v>
      </c>
      <c r="O109" s="228">
        <v>3.7</v>
      </c>
      <c r="P109" s="229">
        <v>2.8999999999999998E-3</v>
      </c>
      <c r="Q109" s="231">
        <v>1301.2</v>
      </c>
      <c r="R109" s="231">
        <v>1297.5999999999999</v>
      </c>
      <c r="S109" s="228">
        <v>3.6</v>
      </c>
      <c r="T109" s="229">
        <v>2.8E-3</v>
      </c>
      <c r="U109" s="231">
        <v>1306</v>
      </c>
      <c r="V109" s="231">
        <v>1300.5999999999999</v>
      </c>
      <c r="W109" s="228">
        <v>5.4</v>
      </c>
      <c r="X109" s="229">
        <v>4.1999999999999997E-3</v>
      </c>
      <c r="Y109" s="228">
        <v>7.6</v>
      </c>
      <c r="Z109" s="228">
        <v>0</v>
      </c>
      <c r="AA109" s="228">
        <v>7.6</v>
      </c>
      <c r="AB109" s="229">
        <v>5.8999999999999999E-3</v>
      </c>
      <c r="AC109" s="228">
        <v>-0.5</v>
      </c>
      <c r="AD109" s="228">
        <v>0</v>
      </c>
      <c r="AE109" s="228">
        <v>-0.5</v>
      </c>
      <c r="AF109" s="229">
        <v>-4.0000000000000002E-4</v>
      </c>
      <c r="AG109" s="228">
        <v>7.6</v>
      </c>
      <c r="AH109" s="228">
        <v>8.1999999999999993</v>
      </c>
      <c r="AI109" s="228">
        <v>-0.6</v>
      </c>
      <c r="AJ109" s="229">
        <v>5.8999999999999999E-3</v>
      </c>
      <c r="AK109" s="228">
        <v>12.4</v>
      </c>
      <c r="AL109" s="228">
        <v>11.2</v>
      </c>
      <c r="AM109" s="228">
        <v>1.2</v>
      </c>
      <c r="AN109" s="229">
        <v>9.5999999999999992E-3</v>
      </c>
      <c r="AO109" s="231">
        <v>1293.3</v>
      </c>
      <c r="AP109" s="231">
        <v>1301.95</v>
      </c>
      <c r="AQ109" s="228">
        <v>0</v>
      </c>
      <c r="AR109" s="230">
        <v>7314300</v>
      </c>
      <c r="AS109" s="230">
        <v>13161150</v>
      </c>
      <c r="AT109" s="230">
        <v>-5846850</v>
      </c>
      <c r="AU109" s="229">
        <v>-0.44429999999999997</v>
      </c>
      <c r="AV109" s="230">
        <v>2779650</v>
      </c>
      <c r="AW109" s="230">
        <v>6544800</v>
      </c>
      <c r="AX109" s="230">
        <v>-3765150</v>
      </c>
      <c r="AY109" s="229">
        <v>-0.57530000000000003</v>
      </c>
      <c r="AZ109" s="230">
        <v>4509000</v>
      </c>
      <c r="BA109" s="230">
        <v>6579225</v>
      </c>
      <c r="BB109" s="230">
        <v>-2070225</v>
      </c>
      <c r="BC109" s="229">
        <v>-0.31469999999999998</v>
      </c>
      <c r="BD109" s="230">
        <v>25650</v>
      </c>
      <c r="BE109" s="230">
        <v>37125</v>
      </c>
      <c r="BF109" s="230">
        <v>-11475</v>
      </c>
      <c r="BG109" s="229">
        <v>-0.30909999999999999</v>
      </c>
      <c r="BH109" s="230">
        <v>5746950</v>
      </c>
      <c r="BI109" s="230">
        <v>6710850</v>
      </c>
      <c r="BJ109" s="230">
        <v>-963900</v>
      </c>
      <c r="BK109" s="229">
        <v>-0.14360000000000001</v>
      </c>
      <c r="BL109" s="230">
        <v>2714850</v>
      </c>
      <c r="BM109" s="230">
        <v>2556225</v>
      </c>
      <c r="BN109" s="230">
        <v>158625</v>
      </c>
      <c r="BO109" s="229">
        <v>6.2100000000000002E-2</v>
      </c>
      <c r="BP109" s="230">
        <v>15776100</v>
      </c>
      <c r="BQ109" s="230">
        <v>22428225</v>
      </c>
      <c r="BR109" s="230">
        <v>-6652125</v>
      </c>
      <c r="BS109" s="229">
        <v>-0.29659999999999997</v>
      </c>
      <c r="BT109" s="230">
        <v>1736621</v>
      </c>
      <c r="BU109" s="230">
        <v>962408</v>
      </c>
      <c r="BV109" s="230">
        <v>774213</v>
      </c>
      <c r="BW109" s="229">
        <v>0.80449999999999999</v>
      </c>
      <c r="BX109" s="230">
        <v>44155800</v>
      </c>
      <c r="BY109" s="230">
        <v>48633075</v>
      </c>
      <c r="BZ109" s="230">
        <v>-4477275</v>
      </c>
      <c r="CA109" s="229">
        <v>-9.2100000000000001E-2</v>
      </c>
      <c r="CB109" s="230">
        <v>4427325</v>
      </c>
      <c r="CC109" s="230">
        <v>6179625</v>
      </c>
      <c r="CD109" s="230">
        <v>-1752300</v>
      </c>
      <c r="CE109" s="229">
        <v>-0.28360000000000002</v>
      </c>
      <c r="CF109" s="230">
        <v>42201675</v>
      </c>
      <c r="CG109" s="230">
        <v>40514175</v>
      </c>
      <c r="CH109" s="230">
        <v>1687500</v>
      </c>
      <c r="CI109" s="229">
        <v>4.1700000000000001E-2</v>
      </c>
      <c r="CJ109" s="230">
        <v>1954125</v>
      </c>
      <c r="CK109" s="230">
        <v>1939275</v>
      </c>
      <c r="CL109" s="230">
        <v>14850</v>
      </c>
      <c r="CM109" s="229">
        <v>7.7000000000000002E-3</v>
      </c>
      <c r="CN109" s="230">
        <v>1933875</v>
      </c>
      <c r="CO109" s="230">
        <v>6053400</v>
      </c>
      <c r="CP109" s="230">
        <v>-4119525</v>
      </c>
      <c r="CQ109" s="229">
        <v>-0.68049999999999999</v>
      </c>
      <c r="CR109" s="230">
        <v>1327725</v>
      </c>
      <c r="CS109" s="230">
        <v>3811725</v>
      </c>
      <c r="CT109" s="230">
        <v>-2484000</v>
      </c>
      <c r="CU109" s="229">
        <v>-0.65169999999999995</v>
      </c>
      <c r="CV109" s="230">
        <v>47417400</v>
      </c>
      <c r="CW109" s="230">
        <v>58498200</v>
      </c>
      <c r="CX109" s="230">
        <v>-11080800</v>
      </c>
      <c r="CY109" s="229">
        <v>-0.18940000000000001</v>
      </c>
      <c r="CZ109" s="228">
        <v>24.29</v>
      </c>
      <c r="DA109" s="228">
        <v>25.17</v>
      </c>
      <c r="DB109" s="228">
        <v>-0.88</v>
      </c>
      <c r="DC109" s="228">
        <v>-0.88</v>
      </c>
      <c r="DD109" s="228">
        <v>30.9</v>
      </c>
      <c r="DE109" s="228">
        <v>30.98</v>
      </c>
      <c r="DF109" s="228">
        <v>-6.61</v>
      </c>
      <c r="DG109" s="228">
        <v>-0.08</v>
      </c>
      <c r="DH109" s="228">
        <v>24.42</v>
      </c>
      <c r="DI109" s="228">
        <v>25.09</v>
      </c>
      <c r="DJ109" s="228">
        <v>-0.67</v>
      </c>
      <c r="DK109" s="228">
        <v>-0.67</v>
      </c>
      <c r="DL109" s="228">
        <v>24</v>
      </c>
      <c r="DM109" s="228">
        <v>25.34</v>
      </c>
      <c r="DN109" s="228">
        <v>-1.34</v>
      </c>
      <c r="DO109" s="228">
        <v>-1.34</v>
      </c>
      <c r="DP109" s="228">
        <v>0.69</v>
      </c>
      <c r="DQ109" s="228">
        <v>0.63</v>
      </c>
      <c r="DR109" s="228">
        <v>0.06</v>
      </c>
      <c r="DS109" s="229">
        <v>9.5200000000000007E-2</v>
      </c>
      <c r="DT109" s="231">
        <v>1300</v>
      </c>
      <c r="DU109" s="231">
        <v>1240</v>
      </c>
      <c r="DV109" s="228">
        <v>0.47</v>
      </c>
      <c r="DW109" s="228">
        <v>0.38</v>
      </c>
      <c r="DX109" s="228">
        <v>0.09</v>
      </c>
      <c r="DY109" s="229">
        <v>0.23680000000000001</v>
      </c>
      <c r="DZ109" s="229">
        <v>0.90890000000000004</v>
      </c>
      <c r="EA109" s="230">
        <v>42453450</v>
      </c>
      <c r="EB109" s="229">
        <v>6.3E-3</v>
      </c>
      <c r="EC109" s="229">
        <v>0.90890000000000004</v>
      </c>
      <c r="ED109" s="228">
        <v>8.65</v>
      </c>
      <c r="EE109" s="229">
        <v>6.7000000000000002E-3</v>
      </c>
      <c r="EF109" s="230">
        <v>893205</v>
      </c>
      <c r="EG109" s="230">
        <v>541187</v>
      </c>
      <c r="EH109" s="229">
        <v>0.65049999999999997</v>
      </c>
      <c r="EI109" s="229">
        <v>0.51429999999999998</v>
      </c>
      <c r="EJ109" s="231">
        <v>76352.12</v>
      </c>
      <c r="EK109" s="231">
        <v>34746.839999999997</v>
      </c>
      <c r="EL109" s="231">
        <v>94988.67</v>
      </c>
      <c r="EM109" s="231">
        <v>26876</v>
      </c>
      <c r="EN109" s="231">
        <v>206087.63</v>
      </c>
      <c r="EO109" s="231">
        <v>291594.45</v>
      </c>
      <c r="EP109" s="231">
        <v>-85506.82</v>
      </c>
      <c r="EQ109" s="229">
        <v>-0.29320000000000002</v>
      </c>
      <c r="ER109" s="231">
        <v>25410</v>
      </c>
      <c r="ES109" s="231">
        <v>16615</v>
      </c>
      <c r="ET109" s="231">
        <v>574649</v>
      </c>
      <c r="EU109" s="231">
        <v>133242960</v>
      </c>
      <c r="EV109" s="231">
        <v>616674</v>
      </c>
      <c r="EW109" s="231">
        <v>757936</v>
      </c>
      <c r="EX109" s="231">
        <v>-141262</v>
      </c>
      <c r="EY109" s="229">
        <v>-0.18640000000000001</v>
      </c>
      <c r="EZ109" s="229">
        <v>0.35589999999999999</v>
      </c>
      <c r="FA109" s="227" t="s">
        <v>691</v>
      </c>
      <c r="FB109" s="161">
        <f t="shared" si="1"/>
        <v>39728475</v>
      </c>
    </row>
    <row r="110" spans="1:158" ht="17.25" thickBot="1" x14ac:dyDescent="0.3">
      <c r="A110" s="226">
        <v>46168</v>
      </c>
      <c r="B110" s="227" t="s">
        <v>168</v>
      </c>
      <c r="C110" s="227" t="s">
        <v>245</v>
      </c>
      <c r="D110" s="228">
        <v>1250</v>
      </c>
      <c r="E110" s="228">
        <v>430.55</v>
      </c>
      <c r="F110" s="228">
        <v>437.5</v>
      </c>
      <c r="G110" s="228">
        <v>-6.95</v>
      </c>
      <c r="H110" s="229">
        <v>-1.5900000000000001E-2</v>
      </c>
      <c r="I110" s="228">
        <v>430.05</v>
      </c>
      <c r="J110" s="228">
        <v>438.75</v>
      </c>
      <c r="K110" s="228">
        <v>-8.6999999999999993</v>
      </c>
      <c r="L110" s="229">
        <v>-1.9800000000000002E-2</v>
      </c>
      <c r="M110" s="228">
        <v>431.15</v>
      </c>
      <c r="N110" s="228">
        <v>440.8</v>
      </c>
      <c r="O110" s="228">
        <v>-9.65</v>
      </c>
      <c r="P110" s="229">
        <v>-2.1899999999999999E-2</v>
      </c>
      <c r="Q110" s="228">
        <v>430.55</v>
      </c>
      <c r="R110" s="228">
        <v>437.5</v>
      </c>
      <c r="S110" s="228">
        <v>-6.95</v>
      </c>
      <c r="T110" s="229">
        <v>-1.5900000000000001E-2</v>
      </c>
      <c r="U110" s="228">
        <v>428</v>
      </c>
      <c r="V110" s="228">
        <v>434.85</v>
      </c>
      <c r="W110" s="228">
        <v>-6.85</v>
      </c>
      <c r="X110" s="229">
        <v>-1.5800000000000002E-2</v>
      </c>
      <c r="Y110" s="228">
        <v>0.5</v>
      </c>
      <c r="Z110" s="228">
        <v>2.0499999999999998</v>
      </c>
      <c r="AA110" s="228">
        <v>-1.55</v>
      </c>
      <c r="AB110" s="229">
        <v>1.1999999999999999E-3</v>
      </c>
      <c r="AC110" s="228">
        <v>1.1000000000000001</v>
      </c>
      <c r="AD110" s="228">
        <v>2.0499999999999998</v>
      </c>
      <c r="AE110" s="228">
        <v>-0.95</v>
      </c>
      <c r="AF110" s="229">
        <v>2.5999999999999999E-3</v>
      </c>
      <c r="AG110" s="228">
        <v>0.5</v>
      </c>
      <c r="AH110" s="228">
        <v>-1.25</v>
      </c>
      <c r="AI110" s="228">
        <v>1.75</v>
      </c>
      <c r="AJ110" s="229">
        <v>1.1999999999999999E-3</v>
      </c>
      <c r="AK110" s="228">
        <v>-2.0499999999999998</v>
      </c>
      <c r="AL110" s="228">
        <v>-3.9</v>
      </c>
      <c r="AM110" s="228">
        <v>1.85</v>
      </c>
      <c r="AN110" s="229">
        <v>-4.7999999999999996E-3</v>
      </c>
      <c r="AO110" s="228">
        <v>435.23</v>
      </c>
      <c r="AP110" s="228">
        <v>434.24</v>
      </c>
      <c r="AQ110" s="228">
        <v>0</v>
      </c>
      <c r="AR110" s="230">
        <v>15427500</v>
      </c>
      <c r="AS110" s="230">
        <v>21808750</v>
      </c>
      <c r="AT110" s="230">
        <v>-6381250</v>
      </c>
      <c r="AU110" s="229">
        <v>-0.29260000000000003</v>
      </c>
      <c r="AV110" s="230">
        <v>6912500</v>
      </c>
      <c r="AW110" s="230">
        <v>10538750</v>
      </c>
      <c r="AX110" s="230">
        <v>-3626250</v>
      </c>
      <c r="AY110" s="229">
        <v>-0.34410000000000002</v>
      </c>
      <c r="AZ110" s="230">
        <v>8205000</v>
      </c>
      <c r="BA110" s="230">
        <v>10861250</v>
      </c>
      <c r="BB110" s="230">
        <v>-2656250</v>
      </c>
      <c r="BC110" s="229">
        <v>-0.24460000000000001</v>
      </c>
      <c r="BD110" s="230">
        <v>310000</v>
      </c>
      <c r="BE110" s="230">
        <v>408750</v>
      </c>
      <c r="BF110" s="230">
        <v>-98750</v>
      </c>
      <c r="BG110" s="229">
        <v>-0.24160000000000001</v>
      </c>
      <c r="BH110" s="230">
        <v>9971250</v>
      </c>
      <c r="BI110" s="230">
        <v>27515000</v>
      </c>
      <c r="BJ110" s="230">
        <v>-17543750</v>
      </c>
      <c r="BK110" s="229">
        <v>-0.63759999999999994</v>
      </c>
      <c r="BL110" s="230">
        <v>5623750</v>
      </c>
      <c r="BM110" s="230">
        <v>8462500</v>
      </c>
      <c r="BN110" s="230">
        <v>-2838750</v>
      </c>
      <c r="BO110" s="229">
        <v>-0.33550000000000002</v>
      </c>
      <c r="BP110" s="230">
        <v>31022500</v>
      </c>
      <c r="BQ110" s="230">
        <v>57786250</v>
      </c>
      <c r="BR110" s="230">
        <v>-26763750</v>
      </c>
      <c r="BS110" s="229">
        <v>-0.4632</v>
      </c>
      <c r="BT110" s="230">
        <v>4680489</v>
      </c>
      <c r="BU110" s="230">
        <v>5562953</v>
      </c>
      <c r="BV110" s="230">
        <v>-882464</v>
      </c>
      <c r="BW110" s="229">
        <v>-0.15859999999999999</v>
      </c>
      <c r="BX110" s="230">
        <v>33130000</v>
      </c>
      <c r="BY110" s="230">
        <v>39041250</v>
      </c>
      <c r="BZ110" s="230">
        <v>-5911250</v>
      </c>
      <c r="CA110" s="229">
        <v>-0.15140000000000001</v>
      </c>
      <c r="CB110" s="230">
        <v>3147500</v>
      </c>
      <c r="CC110" s="230">
        <v>6848750</v>
      </c>
      <c r="CD110" s="230">
        <v>-3701250</v>
      </c>
      <c r="CE110" s="229">
        <v>-0.54039999999999999</v>
      </c>
      <c r="CF110" s="230">
        <v>31842500</v>
      </c>
      <c r="CG110" s="230">
        <v>31092500</v>
      </c>
      <c r="CH110" s="230">
        <v>750000</v>
      </c>
      <c r="CI110" s="229">
        <v>2.41E-2</v>
      </c>
      <c r="CJ110" s="230">
        <v>1287500</v>
      </c>
      <c r="CK110" s="230">
        <v>1100000</v>
      </c>
      <c r="CL110" s="230">
        <v>187500</v>
      </c>
      <c r="CM110" s="229">
        <v>0.17050000000000001</v>
      </c>
      <c r="CN110" s="230">
        <v>6251250</v>
      </c>
      <c r="CO110" s="230">
        <v>12152500</v>
      </c>
      <c r="CP110" s="230">
        <v>-5901250</v>
      </c>
      <c r="CQ110" s="229">
        <v>-0.48559999999999998</v>
      </c>
      <c r="CR110" s="230">
        <v>4926250</v>
      </c>
      <c r="CS110" s="230">
        <v>7868750</v>
      </c>
      <c r="CT110" s="230">
        <v>-2942500</v>
      </c>
      <c r="CU110" s="229">
        <v>-0.37390000000000001</v>
      </c>
      <c r="CV110" s="230">
        <v>44307500</v>
      </c>
      <c r="CW110" s="230">
        <v>59062500</v>
      </c>
      <c r="CX110" s="230">
        <v>-14755000</v>
      </c>
      <c r="CY110" s="229">
        <v>-0.24979999999999999</v>
      </c>
      <c r="CZ110" s="228">
        <v>31.13</v>
      </c>
      <c r="DA110" s="228">
        <v>30.66</v>
      </c>
      <c r="DB110" s="228">
        <v>0.47</v>
      </c>
      <c r="DC110" s="228">
        <v>0.47</v>
      </c>
      <c r="DD110" s="228">
        <v>39.5</v>
      </c>
      <c r="DE110" s="228">
        <v>39.5</v>
      </c>
      <c r="DF110" s="228">
        <v>-8.3699999999999992</v>
      </c>
      <c r="DG110" s="228">
        <v>0</v>
      </c>
      <c r="DH110" s="228">
        <v>31.46</v>
      </c>
      <c r="DI110" s="228">
        <v>30.89</v>
      </c>
      <c r="DJ110" s="228">
        <v>0.56999999999999995</v>
      </c>
      <c r="DK110" s="228">
        <v>0.56999999999999995</v>
      </c>
      <c r="DL110" s="228">
        <v>30.52</v>
      </c>
      <c r="DM110" s="228">
        <v>29.99</v>
      </c>
      <c r="DN110" s="228">
        <v>0.53</v>
      </c>
      <c r="DO110" s="228">
        <v>0.53</v>
      </c>
      <c r="DP110" s="228">
        <v>0.79</v>
      </c>
      <c r="DQ110" s="228">
        <v>0.65</v>
      </c>
      <c r="DR110" s="228">
        <v>0.14000000000000001</v>
      </c>
      <c r="DS110" s="229">
        <v>0.21540000000000001</v>
      </c>
      <c r="DT110" s="228">
        <v>500</v>
      </c>
      <c r="DU110" s="228">
        <v>400</v>
      </c>
      <c r="DV110" s="228">
        <v>0.56000000000000005</v>
      </c>
      <c r="DW110" s="228">
        <v>0.31</v>
      </c>
      <c r="DX110" s="228">
        <v>0.25</v>
      </c>
      <c r="DY110" s="229">
        <v>0.80649999999999999</v>
      </c>
      <c r="DZ110" s="229">
        <v>0.91320000000000001</v>
      </c>
      <c r="EA110" s="230">
        <v>32192500</v>
      </c>
      <c r="EB110" s="229">
        <v>-1.4E-3</v>
      </c>
      <c r="EC110" s="229">
        <v>0.91320000000000001</v>
      </c>
      <c r="ED110" s="228">
        <v>-0.99</v>
      </c>
      <c r="EE110" s="229">
        <v>-2.3E-3</v>
      </c>
      <c r="EF110" s="230">
        <v>2438878</v>
      </c>
      <c r="EG110" s="230">
        <v>2970545</v>
      </c>
      <c r="EH110" s="229">
        <v>-0.17899999999999999</v>
      </c>
      <c r="EI110" s="229">
        <v>0.52110000000000001</v>
      </c>
      <c r="EJ110" s="231">
        <v>45720.52</v>
      </c>
      <c r="EK110" s="231">
        <v>24913.57</v>
      </c>
      <c r="EL110" s="231">
        <v>67046.41</v>
      </c>
      <c r="EM110" s="231">
        <v>18328</v>
      </c>
      <c r="EN110" s="231">
        <v>137680.5</v>
      </c>
      <c r="EO110" s="231">
        <v>259270.77</v>
      </c>
      <c r="EP110" s="231">
        <v>-121590.27</v>
      </c>
      <c r="EQ110" s="229">
        <v>-0.46899999999999997</v>
      </c>
      <c r="ER110" s="231">
        <v>28814</v>
      </c>
      <c r="ES110" s="231">
        <v>21440</v>
      </c>
      <c r="ET110" s="231">
        <v>142608</v>
      </c>
      <c r="EU110" s="231">
        <v>58777851</v>
      </c>
      <c r="EV110" s="231">
        <v>192863</v>
      </c>
      <c r="EW110" s="231">
        <v>263723</v>
      </c>
      <c r="EX110" s="231">
        <v>-70860</v>
      </c>
      <c r="EY110" s="229">
        <v>-0.26869999999999999</v>
      </c>
      <c r="EZ110" s="229">
        <v>0.75380000000000003</v>
      </c>
      <c r="FA110" s="227" t="s">
        <v>567</v>
      </c>
      <c r="FB110" s="161">
        <f t="shared" si="1"/>
        <v>29982500</v>
      </c>
    </row>
    <row r="111" spans="1:158" ht="17.25" thickBot="1" x14ac:dyDescent="0.3">
      <c r="A111" s="226">
        <v>46168</v>
      </c>
      <c r="B111" s="227" t="s">
        <v>168</v>
      </c>
      <c r="C111" s="227" t="s">
        <v>581</v>
      </c>
      <c r="D111" s="228">
        <v>1175</v>
      </c>
      <c r="E111" s="228">
        <v>358.2</v>
      </c>
      <c r="F111" s="228">
        <v>360.95</v>
      </c>
      <c r="G111" s="228">
        <v>-2.75</v>
      </c>
      <c r="H111" s="229">
        <v>-7.6E-3</v>
      </c>
      <c r="I111" s="228">
        <v>355.45</v>
      </c>
      <c r="J111" s="228">
        <v>357.85</v>
      </c>
      <c r="K111" s="228">
        <v>-2.4</v>
      </c>
      <c r="L111" s="229">
        <v>-6.7000000000000002E-3</v>
      </c>
      <c r="M111" s="228">
        <v>355.45</v>
      </c>
      <c r="N111" s="228">
        <v>359.3</v>
      </c>
      <c r="O111" s="228">
        <v>-3.85</v>
      </c>
      <c r="P111" s="229">
        <v>-1.0699999999999999E-2</v>
      </c>
      <c r="Q111" s="228">
        <v>358.2</v>
      </c>
      <c r="R111" s="228">
        <v>360.95</v>
      </c>
      <c r="S111" s="228">
        <v>-2.75</v>
      </c>
      <c r="T111" s="229">
        <v>-7.6E-3</v>
      </c>
      <c r="U111" s="228">
        <v>360.15</v>
      </c>
      <c r="V111" s="228">
        <v>362.9</v>
      </c>
      <c r="W111" s="228">
        <v>-2.75</v>
      </c>
      <c r="X111" s="229">
        <v>-7.6E-3</v>
      </c>
      <c r="Y111" s="228">
        <v>2.75</v>
      </c>
      <c r="Z111" s="228">
        <v>1.45</v>
      </c>
      <c r="AA111" s="228">
        <v>1.3</v>
      </c>
      <c r="AB111" s="229">
        <v>7.7000000000000002E-3</v>
      </c>
      <c r="AC111" s="228">
        <v>0</v>
      </c>
      <c r="AD111" s="228">
        <v>1.45</v>
      </c>
      <c r="AE111" s="228">
        <v>-1.45</v>
      </c>
      <c r="AF111" s="229">
        <v>0</v>
      </c>
      <c r="AG111" s="228">
        <v>2.75</v>
      </c>
      <c r="AH111" s="228">
        <v>3.1</v>
      </c>
      <c r="AI111" s="228">
        <v>-0.35</v>
      </c>
      <c r="AJ111" s="229">
        <v>7.7000000000000002E-3</v>
      </c>
      <c r="AK111" s="228">
        <v>4.7</v>
      </c>
      <c r="AL111" s="228">
        <v>5.05</v>
      </c>
      <c r="AM111" s="228">
        <v>-0.35</v>
      </c>
      <c r="AN111" s="229">
        <v>1.32E-2</v>
      </c>
      <c r="AO111" s="228">
        <v>355.31</v>
      </c>
      <c r="AP111" s="228">
        <v>357.67</v>
      </c>
      <c r="AQ111" s="228">
        <v>0</v>
      </c>
      <c r="AR111" s="230">
        <v>16110425</v>
      </c>
      <c r="AS111" s="230">
        <v>21616475</v>
      </c>
      <c r="AT111" s="230">
        <v>-5506050</v>
      </c>
      <c r="AU111" s="229">
        <v>-0.25469999999999998</v>
      </c>
      <c r="AV111" s="230">
        <v>7088775</v>
      </c>
      <c r="AW111" s="230">
        <v>9724300</v>
      </c>
      <c r="AX111" s="230">
        <v>-2635525</v>
      </c>
      <c r="AY111" s="229">
        <v>-0.27100000000000002</v>
      </c>
      <c r="AZ111" s="230">
        <v>8902975</v>
      </c>
      <c r="BA111" s="230">
        <v>11705350</v>
      </c>
      <c r="BB111" s="230">
        <v>-2802375</v>
      </c>
      <c r="BC111" s="229">
        <v>-0.2394</v>
      </c>
      <c r="BD111" s="230">
        <v>118675</v>
      </c>
      <c r="BE111" s="230">
        <v>186825</v>
      </c>
      <c r="BF111" s="230">
        <v>-68150</v>
      </c>
      <c r="BG111" s="229">
        <v>-0.36480000000000001</v>
      </c>
      <c r="BH111" s="230">
        <v>12030825</v>
      </c>
      <c r="BI111" s="230">
        <v>24744325</v>
      </c>
      <c r="BJ111" s="230">
        <v>-12713500</v>
      </c>
      <c r="BK111" s="229">
        <v>-0.51380000000000003</v>
      </c>
      <c r="BL111" s="230">
        <v>5470800</v>
      </c>
      <c r="BM111" s="230">
        <v>12351600</v>
      </c>
      <c r="BN111" s="230">
        <v>-6880800</v>
      </c>
      <c r="BO111" s="229">
        <v>-0.55710000000000004</v>
      </c>
      <c r="BP111" s="230">
        <v>33612050</v>
      </c>
      <c r="BQ111" s="230">
        <v>58712400</v>
      </c>
      <c r="BR111" s="230">
        <v>-25100350</v>
      </c>
      <c r="BS111" s="229">
        <v>-0.42749999999999999</v>
      </c>
      <c r="BT111" s="230">
        <v>3305809</v>
      </c>
      <c r="BU111" s="230">
        <v>3804096</v>
      </c>
      <c r="BV111" s="230">
        <v>-498287</v>
      </c>
      <c r="BW111" s="229">
        <v>-0.13100000000000001</v>
      </c>
      <c r="BX111" s="230">
        <v>34734625</v>
      </c>
      <c r="BY111" s="230">
        <v>35623425</v>
      </c>
      <c r="BZ111" s="230">
        <v>-888800</v>
      </c>
      <c r="CA111" s="229">
        <v>-2.4899999999999999E-2</v>
      </c>
      <c r="CB111" s="230">
        <v>1526325</v>
      </c>
      <c r="CC111" s="230">
        <v>6085325</v>
      </c>
      <c r="CD111" s="230">
        <v>-4559000</v>
      </c>
      <c r="CE111" s="229">
        <v>-0.74919999999999998</v>
      </c>
      <c r="CF111" s="230">
        <v>33570925</v>
      </c>
      <c r="CG111" s="230">
        <v>28470250</v>
      </c>
      <c r="CH111" s="230">
        <v>5100675</v>
      </c>
      <c r="CI111" s="229">
        <v>0.1792</v>
      </c>
      <c r="CJ111" s="230">
        <v>1163700</v>
      </c>
      <c r="CK111" s="230">
        <v>1067850</v>
      </c>
      <c r="CL111" s="230">
        <v>95850</v>
      </c>
      <c r="CM111" s="229">
        <v>8.9800000000000005E-2</v>
      </c>
      <c r="CN111" s="230">
        <v>5351000</v>
      </c>
      <c r="CO111" s="230">
        <v>22721025</v>
      </c>
      <c r="CP111" s="230">
        <v>-17370025</v>
      </c>
      <c r="CQ111" s="229">
        <v>-0.76449999999999996</v>
      </c>
      <c r="CR111" s="230">
        <v>3438750</v>
      </c>
      <c r="CS111" s="230">
        <v>12584300</v>
      </c>
      <c r="CT111" s="230">
        <v>-9145550</v>
      </c>
      <c r="CU111" s="229">
        <v>-0.72670000000000001</v>
      </c>
      <c r="CV111" s="230">
        <v>43524375</v>
      </c>
      <c r="CW111" s="230">
        <v>70928750</v>
      </c>
      <c r="CX111" s="230">
        <v>-27404375</v>
      </c>
      <c r="CY111" s="229">
        <v>-0.38640000000000002</v>
      </c>
      <c r="CZ111" s="228">
        <v>35.76</v>
      </c>
      <c r="DA111" s="228">
        <v>38.270000000000003</v>
      </c>
      <c r="DB111" s="228">
        <v>-2.5099999999999998</v>
      </c>
      <c r="DC111" s="228">
        <v>-2.5099999999999998</v>
      </c>
      <c r="DD111" s="228">
        <v>52.48</v>
      </c>
      <c r="DE111" s="228">
        <v>52.6</v>
      </c>
      <c r="DF111" s="228">
        <v>-16.72</v>
      </c>
      <c r="DG111" s="228">
        <v>-0.12</v>
      </c>
      <c r="DH111" s="228">
        <v>36.020000000000003</v>
      </c>
      <c r="DI111" s="228">
        <v>38.28</v>
      </c>
      <c r="DJ111" s="228">
        <v>-2.2599999999999998</v>
      </c>
      <c r="DK111" s="228">
        <v>-2.2599999999999998</v>
      </c>
      <c r="DL111" s="228">
        <v>35.340000000000003</v>
      </c>
      <c r="DM111" s="228">
        <v>38.229999999999997</v>
      </c>
      <c r="DN111" s="228">
        <v>-2.89</v>
      </c>
      <c r="DO111" s="228">
        <v>-2.89</v>
      </c>
      <c r="DP111" s="228">
        <v>0.64</v>
      </c>
      <c r="DQ111" s="228">
        <v>0.55000000000000004</v>
      </c>
      <c r="DR111" s="228">
        <v>0.09</v>
      </c>
      <c r="DS111" s="229">
        <v>0.1636</v>
      </c>
      <c r="DT111" s="228">
        <v>400</v>
      </c>
      <c r="DU111" s="228">
        <v>340</v>
      </c>
      <c r="DV111" s="228">
        <v>0.45</v>
      </c>
      <c r="DW111" s="228">
        <v>0.5</v>
      </c>
      <c r="DX111" s="228">
        <v>-0.05</v>
      </c>
      <c r="DY111" s="229">
        <v>-0.1</v>
      </c>
      <c r="DZ111" s="229">
        <v>0.95789999999999997</v>
      </c>
      <c r="EA111" s="230">
        <v>29538100</v>
      </c>
      <c r="EB111" s="229">
        <v>7.7000000000000002E-3</v>
      </c>
      <c r="EC111" s="229">
        <v>0.95789999999999997</v>
      </c>
      <c r="ED111" s="228">
        <v>2.36</v>
      </c>
      <c r="EE111" s="229">
        <v>6.6E-3</v>
      </c>
      <c r="EF111" s="230">
        <v>995488</v>
      </c>
      <c r="EG111" s="230">
        <v>1310078</v>
      </c>
      <c r="EH111" s="229">
        <v>-0.24010000000000001</v>
      </c>
      <c r="EI111" s="229">
        <v>0.30109999999999998</v>
      </c>
      <c r="EJ111" s="231">
        <v>45873.38</v>
      </c>
      <c r="EK111" s="231">
        <v>20025.93</v>
      </c>
      <c r="EL111" s="231">
        <v>57521.57</v>
      </c>
      <c r="EM111" s="231">
        <v>15420</v>
      </c>
      <c r="EN111" s="231">
        <v>123420.88</v>
      </c>
      <c r="EO111" s="231">
        <v>215038.33</v>
      </c>
      <c r="EP111" s="231">
        <v>-91617.45</v>
      </c>
      <c r="EQ111" s="229">
        <v>-0.42609999999999998</v>
      </c>
      <c r="ER111" s="231">
        <v>20735</v>
      </c>
      <c r="ES111" s="231">
        <v>12221</v>
      </c>
      <c r="ET111" s="231">
        <v>124442</v>
      </c>
      <c r="EU111" s="231">
        <v>57686748</v>
      </c>
      <c r="EV111" s="231">
        <v>157398</v>
      </c>
      <c r="EW111" s="231">
        <v>266091</v>
      </c>
      <c r="EX111" s="231">
        <v>-108693</v>
      </c>
      <c r="EY111" s="229">
        <v>-0.40849999999999997</v>
      </c>
      <c r="EZ111" s="229">
        <v>0.75449999999999995</v>
      </c>
      <c r="FA111" s="227" t="s">
        <v>567</v>
      </c>
      <c r="FB111" s="161">
        <f t="shared" si="1"/>
        <v>33208300</v>
      </c>
    </row>
    <row r="112" spans="1:158" ht="17.25" thickBot="1" x14ac:dyDescent="0.3">
      <c r="A112" s="226">
        <v>46168</v>
      </c>
      <c r="B112" s="227" t="s">
        <v>184</v>
      </c>
      <c r="C112" s="227" t="s">
        <v>673</v>
      </c>
      <c r="D112" s="228">
        <v>100</v>
      </c>
      <c r="E112" s="231">
        <v>3212.1</v>
      </c>
      <c r="F112" s="231">
        <v>3180.2</v>
      </c>
      <c r="G112" s="228">
        <v>31.9</v>
      </c>
      <c r="H112" s="229">
        <v>0.01</v>
      </c>
      <c r="I112" s="231">
        <v>3299</v>
      </c>
      <c r="J112" s="231">
        <v>3400.4</v>
      </c>
      <c r="K112" s="228">
        <v>-101.4</v>
      </c>
      <c r="L112" s="229">
        <v>-2.98E-2</v>
      </c>
      <c r="M112" s="231">
        <v>3306.8</v>
      </c>
      <c r="N112" s="231">
        <v>3418</v>
      </c>
      <c r="O112" s="228">
        <v>-111.2</v>
      </c>
      <c r="P112" s="229">
        <v>-3.2500000000000001E-2</v>
      </c>
      <c r="Q112" s="231">
        <v>3212.1</v>
      </c>
      <c r="R112" s="231">
        <v>3180.2</v>
      </c>
      <c r="S112" s="228">
        <v>31.9</v>
      </c>
      <c r="T112" s="229">
        <v>0.01</v>
      </c>
      <c r="U112" s="231">
        <v>3135</v>
      </c>
      <c r="V112" s="231">
        <v>3030.4</v>
      </c>
      <c r="W112" s="228">
        <v>104.6</v>
      </c>
      <c r="X112" s="229">
        <v>3.4500000000000003E-2</v>
      </c>
      <c r="Y112" s="228">
        <v>-86.9</v>
      </c>
      <c r="Z112" s="228">
        <v>17.600000000000001</v>
      </c>
      <c r="AA112" s="228">
        <v>-104.5</v>
      </c>
      <c r="AB112" s="229">
        <v>-2.63E-2</v>
      </c>
      <c r="AC112" s="228">
        <v>7.8</v>
      </c>
      <c r="AD112" s="228">
        <v>17.600000000000001</v>
      </c>
      <c r="AE112" s="228">
        <v>-9.8000000000000007</v>
      </c>
      <c r="AF112" s="229">
        <v>2.3999999999999998E-3</v>
      </c>
      <c r="AG112" s="228">
        <v>-86.9</v>
      </c>
      <c r="AH112" s="228">
        <v>-220.2</v>
      </c>
      <c r="AI112" s="228">
        <v>133.30000000000001</v>
      </c>
      <c r="AJ112" s="229">
        <v>-2.63E-2</v>
      </c>
      <c r="AK112" s="228">
        <v>-164</v>
      </c>
      <c r="AL112" s="228">
        <v>-370</v>
      </c>
      <c r="AM112" s="228">
        <v>206</v>
      </c>
      <c r="AN112" s="229">
        <v>-4.9700000000000001E-2</v>
      </c>
      <c r="AO112" s="231">
        <v>3344.35</v>
      </c>
      <c r="AP112" s="231">
        <v>3203.45</v>
      </c>
      <c r="AQ112" s="228">
        <v>0</v>
      </c>
      <c r="AR112" s="230">
        <v>5433000</v>
      </c>
      <c r="AS112" s="230">
        <v>2304100</v>
      </c>
      <c r="AT112" s="230">
        <v>3128900</v>
      </c>
      <c r="AU112" s="229">
        <v>1.3580000000000001</v>
      </c>
      <c r="AV112" s="230">
        <v>2332600</v>
      </c>
      <c r="AW112" s="230">
        <v>1393000</v>
      </c>
      <c r="AX112" s="230">
        <v>939600</v>
      </c>
      <c r="AY112" s="229">
        <v>0.67449999999999999</v>
      </c>
      <c r="AZ112" s="230">
        <v>2990000</v>
      </c>
      <c r="BA112" s="230">
        <v>911100</v>
      </c>
      <c r="BB112" s="230">
        <v>2078900</v>
      </c>
      <c r="BC112" s="229">
        <v>2.2816999999999998</v>
      </c>
      <c r="BD112" s="230">
        <v>110400</v>
      </c>
      <c r="BE112" s="228">
        <v>0</v>
      </c>
      <c r="BF112" s="230">
        <v>110400</v>
      </c>
      <c r="BG112" s="229">
        <v>0</v>
      </c>
      <c r="BH112" s="230">
        <v>6553300</v>
      </c>
      <c r="BI112" s="230">
        <v>697900</v>
      </c>
      <c r="BJ112" s="230">
        <v>5855400</v>
      </c>
      <c r="BK112" s="229">
        <v>8.39</v>
      </c>
      <c r="BL112" s="230">
        <v>3811500</v>
      </c>
      <c r="BM112" s="230">
        <v>340600</v>
      </c>
      <c r="BN112" s="230">
        <v>3470900</v>
      </c>
      <c r="BO112" s="229">
        <v>10.1905</v>
      </c>
      <c r="BP112" s="230">
        <v>15797800</v>
      </c>
      <c r="BQ112" s="230">
        <v>3342600</v>
      </c>
      <c r="BR112" s="230">
        <v>12455200</v>
      </c>
      <c r="BS112" s="229">
        <v>3.7262</v>
      </c>
      <c r="BT112" s="230">
        <v>2927656</v>
      </c>
      <c r="BU112" s="230">
        <v>1566747</v>
      </c>
      <c r="BV112" s="230">
        <v>1360909</v>
      </c>
      <c r="BW112" s="229">
        <v>0.86860000000000004</v>
      </c>
      <c r="BX112" s="230">
        <v>4070650</v>
      </c>
      <c r="BY112" s="230">
        <v>4112300</v>
      </c>
      <c r="BZ112" s="230">
        <v>-41650</v>
      </c>
      <c r="CA112" s="229">
        <v>-1.01E-2</v>
      </c>
      <c r="CB112" s="230">
        <v>349800</v>
      </c>
      <c r="CC112" s="230">
        <v>1297200</v>
      </c>
      <c r="CD112" s="230">
        <v>-947400</v>
      </c>
      <c r="CE112" s="229">
        <v>-0.73029999999999995</v>
      </c>
      <c r="CF112" s="230">
        <v>3793000</v>
      </c>
      <c r="CG112" s="230">
        <v>2603600</v>
      </c>
      <c r="CH112" s="230">
        <v>1189400</v>
      </c>
      <c r="CI112" s="229">
        <v>0.45679999999999998</v>
      </c>
      <c r="CJ112" s="230">
        <v>277650</v>
      </c>
      <c r="CK112" s="230">
        <v>211500</v>
      </c>
      <c r="CL112" s="230">
        <v>66150</v>
      </c>
      <c r="CM112" s="229">
        <v>0.31280000000000002</v>
      </c>
      <c r="CN112" s="230">
        <v>953800</v>
      </c>
      <c r="CO112" s="230">
        <v>3416150</v>
      </c>
      <c r="CP112" s="230">
        <v>-2462350</v>
      </c>
      <c r="CQ112" s="229">
        <v>-0.7208</v>
      </c>
      <c r="CR112" s="230">
        <v>625600</v>
      </c>
      <c r="CS112" s="230">
        <v>1721200</v>
      </c>
      <c r="CT112" s="230">
        <v>-1095600</v>
      </c>
      <c r="CU112" s="229">
        <v>-0.63649999999999995</v>
      </c>
      <c r="CV112" s="230">
        <v>5650050</v>
      </c>
      <c r="CW112" s="230">
        <v>9249650</v>
      </c>
      <c r="CX112" s="230">
        <v>-3599600</v>
      </c>
      <c r="CY112" s="229">
        <v>-0.38919999999999999</v>
      </c>
      <c r="CZ112" s="228">
        <v>46.34</v>
      </c>
      <c r="DA112" s="228">
        <v>56.38</v>
      </c>
      <c r="DB112" s="228">
        <v>-10.039999999999999</v>
      </c>
      <c r="DC112" s="228">
        <v>-10.039999999999999</v>
      </c>
      <c r="DD112" s="228">
        <v>69.83</v>
      </c>
      <c r="DE112" s="228">
        <v>69.989999999999995</v>
      </c>
      <c r="DF112" s="228">
        <v>-23.49</v>
      </c>
      <c r="DG112" s="228">
        <v>-0.16</v>
      </c>
      <c r="DH112" s="228">
        <v>46.42</v>
      </c>
      <c r="DI112" s="228">
        <v>55.38</v>
      </c>
      <c r="DJ112" s="228">
        <v>-8.9600000000000009</v>
      </c>
      <c r="DK112" s="228">
        <v>-8.9600000000000009</v>
      </c>
      <c r="DL112" s="228">
        <v>46.2</v>
      </c>
      <c r="DM112" s="228">
        <v>57.08</v>
      </c>
      <c r="DN112" s="228">
        <v>-10.88</v>
      </c>
      <c r="DO112" s="228">
        <v>-10.88</v>
      </c>
      <c r="DP112" s="228">
        <v>0.66</v>
      </c>
      <c r="DQ112" s="228">
        <v>0.5</v>
      </c>
      <c r="DR112" s="228">
        <v>0.16</v>
      </c>
      <c r="DS112" s="229">
        <v>0.32</v>
      </c>
      <c r="DT112" s="231">
        <v>3500</v>
      </c>
      <c r="DU112" s="231">
        <v>3000</v>
      </c>
      <c r="DV112" s="228">
        <v>0.57999999999999996</v>
      </c>
      <c r="DW112" s="228">
        <v>0.49</v>
      </c>
      <c r="DX112" s="228">
        <v>0.09</v>
      </c>
      <c r="DY112" s="229">
        <v>0.1837</v>
      </c>
      <c r="DZ112" s="229">
        <v>0.92090000000000005</v>
      </c>
      <c r="EA112" s="230">
        <v>2815100</v>
      </c>
      <c r="EB112" s="229">
        <v>-2.86E-2</v>
      </c>
      <c r="EC112" s="229">
        <v>0.92090000000000005</v>
      </c>
      <c r="ED112" s="228">
        <v>-140.9</v>
      </c>
      <c r="EE112" s="229">
        <v>-4.2099999999999999E-2</v>
      </c>
      <c r="EF112" s="230">
        <v>651916</v>
      </c>
      <c r="EG112" s="230">
        <v>565119</v>
      </c>
      <c r="EH112" s="229">
        <v>0.15359999999999999</v>
      </c>
      <c r="EI112" s="229">
        <v>0.22270000000000001</v>
      </c>
      <c r="EJ112" s="231">
        <v>241118</v>
      </c>
      <c r="EK112" s="231">
        <v>129294.7</v>
      </c>
      <c r="EL112" s="231">
        <v>178981.66</v>
      </c>
      <c r="EM112" s="231">
        <v>15593</v>
      </c>
      <c r="EN112" s="231">
        <v>549394.36</v>
      </c>
      <c r="EO112" s="231">
        <v>112551.64</v>
      </c>
      <c r="EP112" s="231">
        <v>436842.72</v>
      </c>
      <c r="EQ112" s="229">
        <v>3.8813</v>
      </c>
      <c r="ER112" s="231">
        <v>35124</v>
      </c>
      <c r="ES112" s="231">
        <v>20575</v>
      </c>
      <c r="ET112" s="231">
        <v>130539</v>
      </c>
      <c r="EU112" s="231">
        <v>4679418</v>
      </c>
      <c r="EV112" s="231">
        <v>186238</v>
      </c>
      <c r="EW112" s="231">
        <v>327646</v>
      </c>
      <c r="EX112" s="231">
        <v>-141408</v>
      </c>
      <c r="EY112" s="229">
        <v>-0.43159999999999998</v>
      </c>
      <c r="EZ112" s="229">
        <v>1.2074</v>
      </c>
      <c r="FA112" s="227" t="s">
        <v>691</v>
      </c>
      <c r="FB112" s="161">
        <f t="shared" si="1"/>
        <v>3720850</v>
      </c>
    </row>
    <row r="113" spans="1:158" ht="17.25" thickBot="1" x14ac:dyDescent="0.3">
      <c r="A113" s="226">
        <v>46168</v>
      </c>
      <c r="B113" s="227" t="s">
        <v>161</v>
      </c>
      <c r="C113" s="227" t="s">
        <v>609</v>
      </c>
      <c r="D113" s="228">
        <v>175</v>
      </c>
      <c r="E113" s="231">
        <v>5338.2</v>
      </c>
      <c r="F113" s="231">
        <v>5324.2</v>
      </c>
      <c r="G113" s="228">
        <v>14</v>
      </c>
      <c r="H113" s="229">
        <v>2.5999999999999999E-3</v>
      </c>
      <c r="I113" s="231">
        <v>5305.5</v>
      </c>
      <c r="J113" s="231">
        <v>5281.5</v>
      </c>
      <c r="K113" s="228">
        <v>24</v>
      </c>
      <c r="L113" s="229">
        <v>4.4999999999999997E-3</v>
      </c>
      <c r="M113" s="231">
        <v>5306.9</v>
      </c>
      <c r="N113" s="231">
        <v>5287.2</v>
      </c>
      <c r="O113" s="228">
        <v>19.7</v>
      </c>
      <c r="P113" s="229">
        <v>3.7000000000000002E-3</v>
      </c>
      <c r="Q113" s="231">
        <v>5338.2</v>
      </c>
      <c r="R113" s="231">
        <v>5324.2</v>
      </c>
      <c r="S113" s="228">
        <v>14</v>
      </c>
      <c r="T113" s="229">
        <v>2.5999999999999999E-3</v>
      </c>
      <c r="U113" s="231">
        <v>5328.9</v>
      </c>
      <c r="V113" s="231">
        <v>5304.4</v>
      </c>
      <c r="W113" s="228">
        <v>24.5</v>
      </c>
      <c r="X113" s="229">
        <v>4.5999999999999999E-3</v>
      </c>
      <c r="Y113" s="228">
        <v>32.700000000000003</v>
      </c>
      <c r="Z113" s="228">
        <v>5.7</v>
      </c>
      <c r="AA113" s="228">
        <v>27</v>
      </c>
      <c r="AB113" s="229">
        <v>6.1999999999999998E-3</v>
      </c>
      <c r="AC113" s="228">
        <v>1.4</v>
      </c>
      <c r="AD113" s="228">
        <v>5.7</v>
      </c>
      <c r="AE113" s="228">
        <v>-4.3</v>
      </c>
      <c r="AF113" s="229">
        <v>2.9999999999999997E-4</v>
      </c>
      <c r="AG113" s="228">
        <v>32.700000000000003</v>
      </c>
      <c r="AH113" s="228">
        <v>42.7</v>
      </c>
      <c r="AI113" s="228">
        <v>-10</v>
      </c>
      <c r="AJ113" s="229">
        <v>6.1999999999999998E-3</v>
      </c>
      <c r="AK113" s="228">
        <v>23.4</v>
      </c>
      <c r="AL113" s="228">
        <v>22.9</v>
      </c>
      <c r="AM113" s="228">
        <v>0.5</v>
      </c>
      <c r="AN113" s="229">
        <v>4.4000000000000003E-3</v>
      </c>
      <c r="AO113" s="231">
        <v>5303.08</v>
      </c>
      <c r="AP113" s="231">
        <v>5331.34</v>
      </c>
      <c r="AQ113" s="228">
        <v>0</v>
      </c>
      <c r="AR113" s="230">
        <v>509775</v>
      </c>
      <c r="AS113" s="230">
        <v>1113700</v>
      </c>
      <c r="AT113" s="230">
        <v>-603925</v>
      </c>
      <c r="AU113" s="229">
        <v>-0.5423</v>
      </c>
      <c r="AV113" s="230">
        <v>259875</v>
      </c>
      <c r="AW113" s="230">
        <v>533225</v>
      </c>
      <c r="AX113" s="230">
        <v>-273350</v>
      </c>
      <c r="AY113" s="229">
        <v>-0.51259999999999994</v>
      </c>
      <c r="AZ113" s="230">
        <v>246225</v>
      </c>
      <c r="BA113" s="230">
        <v>577850</v>
      </c>
      <c r="BB113" s="230">
        <v>-331625</v>
      </c>
      <c r="BC113" s="229">
        <v>-0.57389999999999997</v>
      </c>
      <c r="BD113" s="230">
        <v>3675</v>
      </c>
      <c r="BE113" s="230">
        <v>2625</v>
      </c>
      <c r="BF113" s="230">
        <v>1050</v>
      </c>
      <c r="BG113" s="229">
        <v>0.4</v>
      </c>
      <c r="BH113" s="230">
        <v>764925</v>
      </c>
      <c r="BI113" s="230">
        <v>1635725</v>
      </c>
      <c r="BJ113" s="230">
        <v>-870800</v>
      </c>
      <c r="BK113" s="229">
        <v>-0.53239999999999998</v>
      </c>
      <c r="BL113" s="230">
        <v>1173025</v>
      </c>
      <c r="BM113" s="230">
        <v>2518775</v>
      </c>
      <c r="BN113" s="230">
        <v>-1345750</v>
      </c>
      <c r="BO113" s="229">
        <v>-0.5343</v>
      </c>
      <c r="BP113" s="230">
        <v>2447725</v>
      </c>
      <c r="BQ113" s="230">
        <v>5268200</v>
      </c>
      <c r="BR113" s="230">
        <v>-2820475</v>
      </c>
      <c r="BS113" s="229">
        <v>-0.53539999999999999</v>
      </c>
      <c r="BT113" s="230">
        <v>244827</v>
      </c>
      <c r="BU113" s="230">
        <v>247329</v>
      </c>
      <c r="BV113" s="230">
        <v>-2502</v>
      </c>
      <c r="BW113" s="229">
        <v>-1.01E-2</v>
      </c>
      <c r="BX113" s="230">
        <v>1393175</v>
      </c>
      <c r="BY113" s="230">
        <v>1709225</v>
      </c>
      <c r="BZ113" s="230">
        <v>-316050</v>
      </c>
      <c r="CA113" s="229">
        <v>-0.18490000000000001</v>
      </c>
      <c r="CB113" s="230">
        <v>267400</v>
      </c>
      <c r="CC113" s="230">
        <v>374850</v>
      </c>
      <c r="CD113" s="230">
        <v>-107450</v>
      </c>
      <c r="CE113" s="229">
        <v>-0.28660000000000002</v>
      </c>
      <c r="CF113" s="230">
        <v>1384600</v>
      </c>
      <c r="CG113" s="230">
        <v>1326850</v>
      </c>
      <c r="CH113" s="230">
        <v>57750</v>
      </c>
      <c r="CI113" s="229">
        <v>4.3499999999999997E-2</v>
      </c>
      <c r="CJ113" s="230">
        <v>8575</v>
      </c>
      <c r="CK113" s="230">
        <v>7525</v>
      </c>
      <c r="CL113" s="230">
        <v>1050</v>
      </c>
      <c r="CM113" s="229">
        <v>0.13950000000000001</v>
      </c>
      <c r="CN113" s="230">
        <v>257075</v>
      </c>
      <c r="CO113" s="230">
        <v>741125</v>
      </c>
      <c r="CP113" s="230">
        <v>-484050</v>
      </c>
      <c r="CQ113" s="229">
        <v>-0.65310000000000001</v>
      </c>
      <c r="CR113" s="230">
        <v>149800</v>
      </c>
      <c r="CS113" s="230">
        <v>583975</v>
      </c>
      <c r="CT113" s="230">
        <v>-434175</v>
      </c>
      <c r="CU113" s="229">
        <v>-0.74350000000000005</v>
      </c>
      <c r="CV113" s="230">
        <v>1800050</v>
      </c>
      <c r="CW113" s="230">
        <v>3034325</v>
      </c>
      <c r="CX113" s="230">
        <v>-1234275</v>
      </c>
      <c r="CY113" s="229">
        <v>-0.40679999999999999</v>
      </c>
      <c r="CZ113" s="228">
        <v>32.04</v>
      </c>
      <c r="DA113" s="228">
        <v>32.840000000000003</v>
      </c>
      <c r="DB113" s="228">
        <v>-0.8</v>
      </c>
      <c r="DC113" s="228">
        <v>-0.8</v>
      </c>
      <c r="DD113" s="228">
        <v>45.09</v>
      </c>
      <c r="DE113" s="228">
        <v>45.2</v>
      </c>
      <c r="DF113" s="228">
        <v>-13.05</v>
      </c>
      <c r="DG113" s="228">
        <v>-0.11</v>
      </c>
      <c r="DH113" s="228">
        <v>31.5</v>
      </c>
      <c r="DI113" s="228">
        <v>32.65</v>
      </c>
      <c r="DJ113" s="228">
        <v>-1.1499999999999999</v>
      </c>
      <c r="DK113" s="228">
        <v>-1.1499999999999999</v>
      </c>
      <c r="DL113" s="228">
        <v>33.32</v>
      </c>
      <c r="DM113" s="228">
        <v>33.369999999999997</v>
      </c>
      <c r="DN113" s="228">
        <v>-0.05</v>
      </c>
      <c r="DO113" s="228">
        <v>-0.05</v>
      </c>
      <c r="DP113" s="228">
        <v>0.57999999999999996</v>
      </c>
      <c r="DQ113" s="228">
        <v>0.79</v>
      </c>
      <c r="DR113" s="228">
        <v>-0.21</v>
      </c>
      <c r="DS113" s="229">
        <v>-0.26579999999999998</v>
      </c>
      <c r="DT113" s="231">
        <v>5500</v>
      </c>
      <c r="DU113" s="231">
        <v>5200</v>
      </c>
      <c r="DV113" s="228">
        <v>1.53</v>
      </c>
      <c r="DW113" s="228">
        <v>1.54</v>
      </c>
      <c r="DX113" s="228">
        <v>-0.01</v>
      </c>
      <c r="DY113" s="229">
        <v>-6.4999999999999997E-3</v>
      </c>
      <c r="DZ113" s="229">
        <v>0.83899999999999997</v>
      </c>
      <c r="EA113" s="230">
        <v>1334375</v>
      </c>
      <c r="EB113" s="229">
        <v>5.8999999999999999E-3</v>
      </c>
      <c r="EC113" s="229">
        <v>0.83899999999999997</v>
      </c>
      <c r="ED113" s="228">
        <v>28.26</v>
      </c>
      <c r="EE113" s="229">
        <v>5.3E-3</v>
      </c>
      <c r="EF113" s="230">
        <v>95161</v>
      </c>
      <c r="EG113" s="230">
        <v>112083</v>
      </c>
      <c r="EH113" s="229">
        <v>-0.151</v>
      </c>
      <c r="EI113" s="229">
        <v>0.38869999999999999</v>
      </c>
      <c r="EJ113" s="231">
        <v>41363.129999999997</v>
      </c>
      <c r="EK113" s="231">
        <v>60071.97</v>
      </c>
      <c r="EL113" s="231">
        <v>27104.11</v>
      </c>
      <c r="EM113" s="231">
        <v>5506</v>
      </c>
      <c r="EN113" s="231">
        <v>128539.21</v>
      </c>
      <c r="EO113" s="231">
        <v>276335.35999999999</v>
      </c>
      <c r="EP113" s="231">
        <v>-147796.15</v>
      </c>
      <c r="EQ113" s="229">
        <v>-0.53480000000000005</v>
      </c>
      <c r="ER113" s="231">
        <v>13710</v>
      </c>
      <c r="ES113" s="231">
        <v>7578</v>
      </c>
      <c r="ET113" s="231">
        <v>74370</v>
      </c>
      <c r="EU113" s="231">
        <v>9320940</v>
      </c>
      <c r="EV113" s="231">
        <v>95657</v>
      </c>
      <c r="EW113" s="231">
        <v>158786</v>
      </c>
      <c r="EX113" s="231">
        <v>-63129</v>
      </c>
      <c r="EY113" s="229">
        <v>-0.39760000000000001</v>
      </c>
      <c r="EZ113" s="229">
        <v>0.19309999999999999</v>
      </c>
      <c r="FA113" s="227" t="s">
        <v>691</v>
      </c>
      <c r="FB113" s="161">
        <f t="shared" si="1"/>
        <v>1125775</v>
      </c>
    </row>
    <row r="114" spans="1:158" ht="17.25" thickBot="1" x14ac:dyDescent="0.3">
      <c r="A114" s="226">
        <v>46168</v>
      </c>
      <c r="B114" s="227" t="s">
        <v>175</v>
      </c>
      <c r="C114" s="227" t="s">
        <v>679</v>
      </c>
      <c r="D114" s="228">
        <v>500</v>
      </c>
      <c r="E114" s="228">
        <v>841.55</v>
      </c>
      <c r="F114" s="228">
        <v>828.05</v>
      </c>
      <c r="G114" s="228">
        <v>13.5</v>
      </c>
      <c r="H114" s="229">
        <v>1.6299999999999999E-2</v>
      </c>
      <c r="I114" s="228">
        <v>837.05</v>
      </c>
      <c r="J114" s="228">
        <v>829.4</v>
      </c>
      <c r="K114" s="228">
        <v>7.65</v>
      </c>
      <c r="L114" s="229">
        <v>9.1999999999999998E-3</v>
      </c>
      <c r="M114" s="228">
        <v>835.55</v>
      </c>
      <c r="N114" s="228">
        <v>830.2</v>
      </c>
      <c r="O114" s="228">
        <v>5.35</v>
      </c>
      <c r="P114" s="229">
        <v>6.4000000000000003E-3</v>
      </c>
      <c r="Q114" s="228">
        <v>841.55</v>
      </c>
      <c r="R114" s="228">
        <v>828.05</v>
      </c>
      <c r="S114" s="228">
        <v>13.5</v>
      </c>
      <c r="T114" s="229">
        <v>1.6299999999999999E-2</v>
      </c>
      <c r="U114" s="228">
        <v>841.8</v>
      </c>
      <c r="V114" s="228">
        <v>826.6</v>
      </c>
      <c r="W114" s="228">
        <v>15.2</v>
      </c>
      <c r="X114" s="229">
        <v>1.84E-2</v>
      </c>
      <c r="Y114" s="228">
        <v>4.5</v>
      </c>
      <c r="Z114" s="228">
        <v>0.8</v>
      </c>
      <c r="AA114" s="228">
        <v>3.7</v>
      </c>
      <c r="AB114" s="229">
        <v>5.4000000000000003E-3</v>
      </c>
      <c r="AC114" s="228">
        <v>-1.5</v>
      </c>
      <c r="AD114" s="228">
        <v>0.8</v>
      </c>
      <c r="AE114" s="228">
        <v>-2.2999999999999998</v>
      </c>
      <c r="AF114" s="229">
        <v>-1.8E-3</v>
      </c>
      <c r="AG114" s="228">
        <v>4.5</v>
      </c>
      <c r="AH114" s="228">
        <v>-1.35</v>
      </c>
      <c r="AI114" s="228">
        <v>5.85</v>
      </c>
      <c r="AJ114" s="229">
        <v>5.4000000000000003E-3</v>
      </c>
      <c r="AK114" s="228">
        <v>4.75</v>
      </c>
      <c r="AL114" s="228">
        <v>-2.8</v>
      </c>
      <c r="AM114" s="228">
        <v>7.55</v>
      </c>
      <c r="AN114" s="229">
        <v>5.7000000000000002E-3</v>
      </c>
      <c r="AO114" s="228">
        <v>832.2</v>
      </c>
      <c r="AP114" s="228">
        <v>836.18</v>
      </c>
      <c r="AQ114" s="228">
        <v>0</v>
      </c>
      <c r="AR114" s="230">
        <v>3093500</v>
      </c>
      <c r="AS114" s="230">
        <v>5276000</v>
      </c>
      <c r="AT114" s="230">
        <v>-2182500</v>
      </c>
      <c r="AU114" s="229">
        <v>-0.41370000000000001</v>
      </c>
      <c r="AV114" s="230">
        <v>1374500</v>
      </c>
      <c r="AW114" s="230">
        <v>2503500</v>
      </c>
      <c r="AX114" s="230">
        <v>-1129000</v>
      </c>
      <c r="AY114" s="229">
        <v>-0.45100000000000001</v>
      </c>
      <c r="AZ114" s="230">
        <v>1681000</v>
      </c>
      <c r="BA114" s="230">
        <v>2746000</v>
      </c>
      <c r="BB114" s="230">
        <v>-1065000</v>
      </c>
      <c r="BC114" s="229">
        <v>-0.38779999999999998</v>
      </c>
      <c r="BD114" s="230">
        <v>38000</v>
      </c>
      <c r="BE114" s="230">
        <v>26500</v>
      </c>
      <c r="BF114" s="230">
        <v>11500</v>
      </c>
      <c r="BG114" s="229">
        <v>0.434</v>
      </c>
      <c r="BH114" s="230">
        <v>1213000</v>
      </c>
      <c r="BI114" s="230">
        <v>2241000</v>
      </c>
      <c r="BJ114" s="230">
        <v>-1028000</v>
      </c>
      <c r="BK114" s="229">
        <v>-0.4587</v>
      </c>
      <c r="BL114" s="230">
        <v>824000</v>
      </c>
      <c r="BM114" s="230">
        <v>899000</v>
      </c>
      <c r="BN114" s="230">
        <v>-75000</v>
      </c>
      <c r="BO114" s="229">
        <v>-8.3400000000000002E-2</v>
      </c>
      <c r="BP114" s="230">
        <v>5130500</v>
      </c>
      <c r="BQ114" s="230">
        <v>8416000</v>
      </c>
      <c r="BR114" s="230">
        <v>-3285500</v>
      </c>
      <c r="BS114" s="229">
        <v>-0.39040000000000002</v>
      </c>
      <c r="BT114" s="230">
        <v>1354747</v>
      </c>
      <c r="BU114" s="230">
        <v>1403320</v>
      </c>
      <c r="BV114" s="230">
        <v>-48573</v>
      </c>
      <c r="BW114" s="229">
        <v>-3.4599999999999999E-2</v>
      </c>
      <c r="BX114" s="230">
        <v>4817125</v>
      </c>
      <c r="BY114" s="230">
        <v>5456450</v>
      </c>
      <c r="BZ114" s="230">
        <v>-639325</v>
      </c>
      <c r="CA114" s="229">
        <v>-0.1172</v>
      </c>
      <c r="CB114" s="230">
        <v>471000</v>
      </c>
      <c r="CC114" s="230">
        <v>1039000</v>
      </c>
      <c r="CD114" s="230">
        <v>-568000</v>
      </c>
      <c r="CE114" s="229">
        <v>-0.54669999999999996</v>
      </c>
      <c r="CF114" s="230">
        <v>4613000</v>
      </c>
      <c r="CG114" s="230">
        <v>4230000</v>
      </c>
      <c r="CH114" s="230">
        <v>383000</v>
      </c>
      <c r="CI114" s="229">
        <v>9.0499999999999997E-2</v>
      </c>
      <c r="CJ114" s="230">
        <v>204125</v>
      </c>
      <c r="CK114" s="230">
        <v>187450</v>
      </c>
      <c r="CL114" s="230">
        <v>16675</v>
      </c>
      <c r="CM114" s="229">
        <v>8.8999999999999996E-2</v>
      </c>
      <c r="CN114" s="230">
        <v>600500</v>
      </c>
      <c r="CO114" s="230">
        <v>4039500</v>
      </c>
      <c r="CP114" s="230">
        <v>-3439000</v>
      </c>
      <c r="CQ114" s="229">
        <v>-0.85129999999999995</v>
      </c>
      <c r="CR114" s="230">
        <v>625225</v>
      </c>
      <c r="CS114" s="230">
        <v>2710725</v>
      </c>
      <c r="CT114" s="230">
        <v>-2085500</v>
      </c>
      <c r="CU114" s="229">
        <v>-0.76939999999999997</v>
      </c>
      <c r="CV114" s="230">
        <v>6042850</v>
      </c>
      <c r="CW114" s="230">
        <v>12206675</v>
      </c>
      <c r="CX114" s="230">
        <v>-6163825</v>
      </c>
      <c r="CY114" s="229">
        <v>-0.505</v>
      </c>
      <c r="CZ114" s="228">
        <v>35.35</v>
      </c>
      <c r="DA114" s="228">
        <v>34.700000000000003</v>
      </c>
      <c r="DB114" s="228">
        <v>0.65</v>
      </c>
      <c r="DC114" s="228">
        <v>0.65</v>
      </c>
      <c r="DD114" s="228">
        <v>50.64</v>
      </c>
      <c r="DE114" s="228">
        <v>50.72</v>
      </c>
      <c r="DF114" s="228">
        <v>-15.29</v>
      </c>
      <c r="DG114" s="228">
        <v>-0.08</v>
      </c>
      <c r="DH114" s="228">
        <v>35.409999999999997</v>
      </c>
      <c r="DI114" s="228">
        <v>34.61</v>
      </c>
      <c r="DJ114" s="228">
        <v>0.8</v>
      </c>
      <c r="DK114" s="228">
        <v>0.8</v>
      </c>
      <c r="DL114" s="228">
        <v>35.24</v>
      </c>
      <c r="DM114" s="228">
        <v>34.78</v>
      </c>
      <c r="DN114" s="228">
        <v>0.46</v>
      </c>
      <c r="DO114" s="228">
        <v>0.46</v>
      </c>
      <c r="DP114" s="228">
        <v>1.04</v>
      </c>
      <c r="DQ114" s="228">
        <v>0.67</v>
      </c>
      <c r="DR114" s="228">
        <v>0.37</v>
      </c>
      <c r="DS114" s="229">
        <v>0.55220000000000002</v>
      </c>
      <c r="DT114" s="228">
        <v>870</v>
      </c>
      <c r="DU114" s="228">
        <v>760</v>
      </c>
      <c r="DV114" s="228">
        <v>0.68</v>
      </c>
      <c r="DW114" s="228">
        <v>0.4</v>
      </c>
      <c r="DX114" s="228">
        <v>0.28000000000000003</v>
      </c>
      <c r="DY114" s="229">
        <v>0.7</v>
      </c>
      <c r="DZ114" s="229">
        <v>0.91090000000000004</v>
      </c>
      <c r="EA114" s="230">
        <v>4417450</v>
      </c>
      <c r="EB114" s="229">
        <v>7.1999999999999998E-3</v>
      </c>
      <c r="EC114" s="229">
        <v>0.91090000000000004</v>
      </c>
      <c r="ED114" s="228">
        <v>3.98</v>
      </c>
      <c r="EE114" s="229">
        <v>4.7999999999999996E-3</v>
      </c>
      <c r="EF114" s="230">
        <v>649974</v>
      </c>
      <c r="EG114" s="230">
        <v>750803</v>
      </c>
      <c r="EH114" s="229">
        <v>-0.1343</v>
      </c>
      <c r="EI114" s="229">
        <v>0.4798</v>
      </c>
      <c r="EJ114" s="231">
        <v>10684.97</v>
      </c>
      <c r="EK114" s="231">
        <v>7173.02</v>
      </c>
      <c r="EL114" s="231">
        <v>25858.78</v>
      </c>
      <c r="EM114" s="231">
        <v>7636</v>
      </c>
      <c r="EN114" s="231">
        <v>43716.77</v>
      </c>
      <c r="EO114" s="231">
        <v>71011.34</v>
      </c>
      <c r="EP114" s="231">
        <v>-27294.57</v>
      </c>
      <c r="EQ114" s="229">
        <v>-0.38440000000000002</v>
      </c>
      <c r="ER114" s="231">
        <v>5217</v>
      </c>
      <c r="ES114" s="231">
        <v>5162</v>
      </c>
      <c r="ET114" s="231">
        <v>40539</v>
      </c>
      <c r="EU114" s="231">
        <v>19953342</v>
      </c>
      <c r="EV114" s="231">
        <v>50918</v>
      </c>
      <c r="EW114" s="231">
        <v>105250</v>
      </c>
      <c r="EX114" s="231">
        <v>-54332</v>
      </c>
      <c r="EY114" s="229">
        <v>-0.51619999999999999</v>
      </c>
      <c r="EZ114" s="229">
        <v>0.30280000000000001</v>
      </c>
      <c r="FA114" s="227" t="s">
        <v>691</v>
      </c>
      <c r="FB114" s="161">
        <f t="shared" si="1"/>
        <v>4346125</v>
      </c>
    </row>
    <row r="115" spans="1:158" ht="17.25" thickBot="1" x14ac:dyDescent="0.3">
      <c r="A115" s="226">
        <v>46168</v>
      </c>
      <c r="B115" s="227" t="s">
        <v>172</v>
      </c>
      <c r="C115" s="227" t="s">
        <v>246</v>
      </c>
      <c r="D115" s="228">
        <v>2000</v>
      </c>
      <c r="E115" s="228">
        <v>390.9</v>
      </c>
      <c r="F115" s="228">
        <v>396.2</v>
      </c>
      <c r="G115" s="228">
        <v>-5.3</v>
      </c>
      <c r="H115" s="229">
        <v>-1.34E-2</v>
      </c>
      <c r="I115" s="228">
        <v>388.65</v>
      </c>
      <c r="J115" s="228">
        <v>392.85</v>
      </c>
      <c r="K115" s="228">
        <v>-4.2</v>
      </c>
      <c r="L115" s="229">
        <v>-1.0699999999999999E-2</v>
      </c>
      <c r="M115" s="228">
        <v>388.45</v>
      </c>
      <c r="N115" s="228">
        <v>393.7</v>
      </c>
      <c r="O115" s="228">
        <v>-5.25</v>
      </c>
      <c r="P115" s="229">
        <v>-1.3299999999999999E-2</v>
      </c>
      <c r="Q115" s="228">
        <v>390.9</v>
      </c>
      <c r="R115" s="228">
        <v>396.2</v>
      </c>
      <c r="S115" s="228">
        <v>-5.3</v>
      </c>
      <c r="T115" s="229">
        <v>-1.34E-2</v>
      </c>
      <c r="U115" s="228">
        <v>392.25</v>
      </c>
      <c r="V115" s="228">
        <v>397.9</v>
      </c>
      <c r="W115" s="228">
        <v>-5.65</v>
      </c>
      <c r="X115" s="229">
        <v>-1.4200000000000001E-2</v>
      </c>
      <c r="Y115" s="228">
        <v>2.25</v>
      </c>
      <c r="Z115" s="228">
        <v>0.85</v>
      </c>
      <c r="AA115" s="228">
        <v>1.4</v>
      </c>
      <c r="AB115" s="229">
        <v>5.7999999999999996E-3</v>
      </c>
      <c r="AC115" s="228">
        <v>-0.2</v>
      </c>
      <c r="AD115" s="228">
        <v>0.85</v>
      </c>
      <c r="AE115" s="228">
        <v>-1.05</v>
      </c>
      <c r="AF115" s="229">
        <v>-5.0000000000000001E-4</v>
      </c>
      <c r="AG115" s="228">
        <v>2.25</v>
      </c>
      <c r="AH115" s="228">
        <v>3.35</v>
      </c>
      <c r="AI115" s="228">
        <v>-1.1000000000000001</v>
      </c>
      <c r="AJ115" s="229">
        <v>5.7999999999999996E-3</v>
      </c>
      <c r="AK115" s="228">
        <v>3.6</v>
      </c>
      <c r="AL115" s="228">
        <v>5.05</v>
      </c>
      <c r="AM115" s="228">
        <v>-1.45</v>
      </c>
      <c r="AN115" s="229">
        <v>9.2999999999999992E-3</v>
      </c>
      <c r="AO115" s="228">
        <v>389.36</v>
      </c>
      <c r="AP115" s="228">
        <v>391.71</v>
      </c>
      <c r="AQ115" s="228">
        <v>0</v>
      </c>
      <c r="AR115" s="230">
        <v>39684000</v>
      </c>
      <c r="AS115" s="230">
        <v>85156000</v>
      </c>
      <c r="AT115" s="230">
        <v>-45472000</v>
      </c>
      <c r="AU115" s="229">
        <v>-0.53400000000000003</v>
      </c>
      <c r="AV115" s="230">
        <v>14824000</v>
      </c>
      <c r="AW115" s="230">
        <v>42476000</v>
      </c>
      <c r="AX115" s="230">
        <v>-27652000</v>
      </c>
      <c r="AY115" s="229">
        <v>-0.65100000000000002</v>
      </c>
      <c r="AZ115" s="230">
        <v>24408000</v>
      </c>
      <c r="BA115" s="230">
        <v>42260000</v>
      </c>
      <c r="BB115" s="230">
        <v>-17852000</v>
      </c>
      <c r="BC115" s="229">
        <v>-0.4224</v>
      </c>
      <c r="BD115" s="230">
        <v>452000</v>
      </c>
      <c r="BE115" s="230">
        <v>420000</v>
      </c>
      <c r="BF115" s="230">
        <v>32000</v>
      </c>
      <c r="BG115" s="229">
        <v>7.6200000000000004E-2</v>
      </c>
      <c r="BH115" s="230">
        <v>33014000</v>
      </c>
      <c r="BI115" s="230">
        <v>88244000</v>
      </c>
      <c r="BJ115" s="230">
        <v>-55230000</v>
      </c>
      <c r="BK115" s="229">
        <v>-0.62590000000000001</v>
      </c>
      <c r="BL115" s="230">
        <v>22066000</v>
      </c>
      <c r="BM115" s="230">
        <v>39706000</v>
      </c>
      <c r="BN115" s="230">
        <v>-17640000</v>
      </c>
      <c r="BO115" s="229">
        <v>-0.44429999999999997</v>
      </c>
      <c r="BP115" s="230">
        <v>94764000</v>
      </c>
      <c r="BQ115" s="230">
        <v>213106000</v>
      </c>
      <c r="BR115" s="230">
        <v>-118342000</v>
      </c>
      <c r="BS115" s="229">
        <v>-0.55530000000000002</v>
      </c>
      <c r="BT115" s="230">
        <v>15830485</v>
      </c>
      <c r="BU115" s="230">
        <v>17790308</v>
      </c>
      <c r="BV115" s="230">
        <v>-1959823</v>
      </c>
      <c r="BW115" s="229">
        <v>-0.11020000000000001</v>
      </c>
      <c r="BX115" s="230">
        <v>185406000</v>
      </c>
      <c r="BY115" s="230">
        <v>193952000</v>
      </c>
      <c r="BZ115" s="230">
        <v>-8546000</v>
      </c>
      <c r="CA115" s="229">
        <v>-4.41E-2</v>
      </c>
      <c r="CB115" s="230">
        <v>11930000</v>
      </c>
      <c r="CC115" s="230">
        <v>22114000</v>
      </c>
      <c r="CD115" s="230">
        <v>-10184000</v>
      </c>
      <c r="CE115" s="229">
        <v>-0.46050000000000002</v>
      </c>
      <c r="CF115" s="230">
        <v>174550000</v>
      </c>
      <c r="CG115" s="230">
        <v>161170000</v>
      </c>
      <c r="CH115" s="230">
        <v>13380000</v>
      </c>
      <c r="CI115" s="229">
        <v>8.3000000000000004E-2</v>
      </c>
      <c r="CJ115" s="230">
        <v>10856000</v>
      </c>
      <c r="CK115" s="230">
        <v>10668000</v>
      </c>
      <c r="CL115" s="230">
        <v>188000</v>
      </c>
      <c r="CM115" s="229">
        <v>1.7600000000000001E-2</v>
      </c>
      <c r="CN115" s="230">
        <v>16866000</v>
      </c>
      <c r="CO115" s="230">
        <v>42192000</v>
      </c>
      <c r="CP115" s="230">
        <v>-25326000</v>
      </c>
      <c r="CQ115" s="229">
        <v>-0.60029999999999994</v>
      </c>
      <c r="CR115" s="230">
        <v>14318000</v>
      </c>
      <c r="CS115" s="230">
        <v>34596000</v>
      </c>
      <c r="CT115" s="230">
        <v>-20278000</v>
      </c>
      <c r="CU115" s="229">
        <v>-0.58609999999999995</v>
      </c>
      <c r="CV115" s="230">
        <v>216590000</v>
      </c>
      <c r="CW115" s="230">
        <v>270740000</v>
      </c>
      <c r="CX115" s="230">
        <v>-54150000</v>
      </c>
      <c r="CY115" s="229">
        <v>-0.2</v>
      </c>
      <c r="CZ115" s="228">
        <v>21.84</v>
      </c>
      <c r="DA115" s="228">
        <v>22.07</v>
      </c>
      <c r="DB115" s="228">
        <v>-0.23</v>
      </c>
      <c r="DC115" s="228">
        <v>-0.23</v>
      </c>
      <c r="DD115" s="228">
        <v>27.04</v>
      </c>
      <c r="DE115" s="228">
        <v>27.06</v>
      </c>
      <c r="DF115" s="228">
        <v>-5.2</v>
      </c>
      <c r="DG115" s="228">
        <v>-0.02</v>
      </c>
      <c r="DH115" s="228">
        <v>21.51</v>
      </c>
      <c r="DI115" s="228">
        <v>22.09</v>
      </c>
      <c r="DJ115" s="228">
        <v>-0.57999999999999996</v>
      </c>
      <c r="DK115" s="228">
        <v>-0.57999999999999996</v>
      </c>
      <c r="DL115" s="228">
        <v>22.38</v>
      </c>
      <c r="DM115" s="228">
        <v>22.04</v>
      </c>
      <c r="DN115" s="228">
        <v>0.34</v>
      </c>
      <c r="DO115" s="228">
        <v>0.34</v>
      </c>
      <c r="DP115" s="228">
        <v>0.85</v>
      </c>
      <c r="DQ115" s="228">
        <v>0.82</v>
      </c>
      <c r="DR115" s="228">
        <v>0.03</v>
      </c>
      <c r="DS115" s="229">
        <v>3.6600000000000001E-2</v>
      </c>
      <c r="DT115" s="228">
        <v>405</v>
      </c>
      <c r="DU115" s="228">
        <v>370</v>
      </c>
      <c r="DV115" s="228">
        <v>0.67</v>
      </c>
      <c r="DW115" s="228">
        <v>0.45</v>
      </c>
      <c r="DX115" s="228">
        <v>0.22</v>
      </c>
      <c r="DY115" s="229">
        <v>0.4889</v>
      </c>
      <c r="DZ115" s="229">
        <v>0.9395</v>
      </c>
      <c r="EA115" s="230">
        <v>171838000</v>
      </c>
      <c r="EB115" s="229">
        <v>6.3E-3</v>
      </c>
      <c r="EC115" s="229">
        <v>0.9395</v>
      </c>
      <c r="ED115" s="228">
        <v>2.35</v>
      </c>
      <c r="EE115" s="229">
        <v>6.0000000000000001E-3</v>
      </c>
      <c r="EF115" s="230">
        <v>8997121</v>
      </c>
      <c r="EG115" s="230">
        <v>12589496</v>
      </c>
      <c r="EH115" s="229">
        <v>-0.2853</v>
      </c>
      <c r="EI115" s="229">
        <v>0.56830000000000003</v>
      </c>
      <c r="EJ115" s="231">
        <v>133150.16</v>
      </c>
      <c r="EK115" s="231">
        <v>85443.520000000004</v>
      </c>
      <c r="EL115" s="231">
        <v>155103.12</v>
      </c>
      <c r="EM115" s="231">
        <v>29549</v>
      </c>
      <c r="EN115" s="231">
        <v>373696.8</v>
      </c>
      <c r="EO115" s="231">
        <v>842793.11</v>
      </c>
      <c r="EP115" s="231">
        <v>-469096.31</v>
      </c>
      <c r="EQ115" s="229">
        <v>-0.55659999999999998</v>
      </c>
      <c r="ER115" s="231">
        <v>68396</v>
      </c>
      <c r="ES115" s="231">
        <v>54671</v>
      </c>
      <c r="ET115" s="231">
        <v>724899</v>
      </c>
      <c r="EU115" s="231">
        <v>882793124</v>
      </c>
      <c r="EV115" s="231">
        <v>847965</v>
      </c>
      <c r="EW115" s="231">
        <v>1065728</v>
      </c>
      <c r="EX115" s="231">
        <v>-217763</v>
      </c>
      <c r="EY115" s="229">
        <v>-0.20430000000000001</v>
      </c>
      <c r="EZ115" s="229">
        <v>0.24529999999999999</v>
      </c>
      <c r="FA115" s="227" t="s">
        <v>567</v>
      </c>
      <c r="FB115" s="161">
        <f t="shared" si="1"/>
        <v>173476000</v>
      </c>
    </row>
    <row r="116" spans="1:158" ht="17.25" thickBot="1" x14ac:dyDescent="0.3">
      <c r="A116" s="226">
        <v>46168</v>
      </c>
      <c r="B116" s="227" t="s">
        <v>221</v>
      </c>
      <c r="C116" s="227" t="s">
        <v>576</v>
      </c>
      <c r="D116" s="228">
        <v>425</v>
      </c>
      <c r="E116" s="228">
        <v>764.85</v>
      </c>
      <c r="F116" s="228">
        <v>745.35</v>
      </c>
      <c r="G116" s="228">
        <v>19.5</v>
      </c>
      <c r="H116" s="229">
        <v>2.6200000000000001E-2</v>
      </c>
      <c r="I116" s="228">
        <v>784.7</v>
      </c>
      <c r="J116" s="228">
        <v>756.6</v>
      </c>
      <c r="K116" s="228">
        <v>28.1</v>
      </c>
      <c r="L116" s="229">
        <v>3.7100000000000001E-2</v>
      </c>
      <c r="M116" s="228">
        <v>785.65</v>
      </c>
      <c r="N116" s="228">
        <v>759.9</v>
      </c>
      <c r="O116" s="228">
        <v>25.75</v>
      </c>
      <c r="P116" s="229">
        <v>3.39E-2</v>
      </c>
      <c r="Q116" s="228">
        <v>764.85</v>
      </c>
      <c r="R116" s="228">
        <v>745.35</v>
      </c>
      <c r="S116" s="228">
        <v>19.5</v>
      </c>
      <c r="T116" s="229">
        <v>2.6200000000000001E-2</v>
      </c>
      <c r="U116" s="228">
        <v>756.6</v>
      </c>
      <c r="V116" s="228">
        <v>741</v>
      </c>
      <c r="W116" s="228">
        <v>15.6</v>
      </c>
      <c r="X116" s="229">
        <v>2.1100000000000001E-2</v>
      </c>
      <c r="Y116" s="228">
        <v>-19.850000000000001</v>
      </c>
      <c r="Z116" s="228">
        <v>3.3</v>
      </c>
      <c r="AA116" s="228">
        <v>-23.15</v>
      </c>
      <c r="AB116" s="229">
        <v>-2.53E-2</v>
      </c>
      <c r="AC116" s="228">
        <v>0.95</v>
      </c>
      <c r="AD116" s="228">
        <v>3.3</v>
      </c>
      <c r="AE116" s="228">
        <v>-2.35</v>
      </c>
      <c r="AF116" s="229">
        <v>1.1999999999999999E-3</v>
      </c>
      <c r="AG116" s="228">
        <v>-19.850000000000001</v>
      </c>
      <c r="AH116" s="228">
        <v>-11.25</v>
      </c>
      <c r="AI116" s="228">
        <v>-8.6</v>
      </c>
      <c r="AJ116" s="229">
        <v>-2.53E-2</v>
      </c>
      <c r="AK116" s="228">
        <v>-28.1</v>
      </c>
      <c r="AL116" s="228">
        <v>-15.6</v>
      </c>
      <c r="AM116" s="228">
        <v>-12.5</v>
      </c>
      <c r="AN116" s="229">
        <v>-3.5799999999999998E-2</v>
      </c>
      <c r="AO116" s="228">
        <v>773.48</v>
      </c>
      <c r="AP116" s="228">
        <v>758.67</v>
      </c>
      <c r="AQ116" s="228">
        <v>0</v>
      </c>
      <c r="AR116" s="230">
        <v>5415350</v>
      </c>
      <c r="AS116" s="230">
        <v>7136600</v>
      </c>
      <c r="AT116" s="230">
        <v>-1721250</v>
      </c>
      <c r="AU116" s="229">
        <v>-0.2412</v>
      </c>
      <c r="AV116" s="230">
        <v>2477325</v>
      </c>
      <c r="AW116" s="230">
        <v>3341350</v>
      </c>
      <c r="AX116" s="230">
        <v>-864025</v>
      </c>
      <c r="AY116" s="229">
        <v>-0.2586</v>
      </c>
      <c r="AZ116" s="230">
        <v>2856425</v>
      </c>
      <c r="BA116" s="230">
        <v>3737875</v>
      </c>
      <c r="BB116" s="230">
        <v>-881450</v>
      </c>
      <c r="BC116" s="229">
        <v>-0.23580000000000001</v>
      </c>
      <c r="BD116" s="230">
        <v>81600</v>
      </c>
      <c r="BE116" s="230">
        <v>57375</v>
      </c>
      <c r="BF116" s="230">
        <v>24225</v>
      </c>
      <c r="BG116" s="229">
        <v>0.42220000000000002</v>
      </c>
      <c r="BH116" s="230">
        <v>9663225</v>
      </c>
      <c r="BI116" s="230">
        <v>12761900</v>
      </c>
      <c r="BJ116" s="230">
        <v>-3098675</v>
      </c>
      <c r="BK116" s="229">
        <v>-0.24279999999999999</v>
      </c>
      <c r="BL116" s="230">
        <v>2304775</v>
      </c>
      <c r="BM116" s="230">
        <v>3629500</v>
      </c>
      <c r="BN116" s="230">
        <v>-1324725</v>
      </c>
      <c r="BO116" s="229">
        <v>-0.36499999999999999</v>
      </c>
      <c r="BP116" s="230">
        <v>17383350</v>
      </c>
      <c r="BQ116" s="230">
        <v>23528000</v>
      </c>
      <c r="BR116" s="230">
        <v>-6144650</v>
      </c>
      <c r="BS116" s="229">
        <v>-0.26119999999999999</v>
      </c>
      <c r="BT116" s="230">
        <v>2321133</v>
      </c>
      <c r="BU116" s="230">
        <v>1645356</v>
      </c>
      <c r="BV116" s="230">
        <v>675777</v>
      </c>
      <c r="BW116" s="229">
        <v>0.41070000000000001</v>
      </c>
      <c r="BX116" s="230">
        <v>8131775</v>
      </c>
      <c r="BY116" s="230">
        <v>9246200</v>
      </c>
      <c r="BZ116" s="230">
        <v>-1114425</v>
      </c>
      <c r="CA116" s="229">
        <v>-0.1205</v>
      </c>
      <c r="CB116" s="230">
        <v>1160675</v>
      </c>
      <c r="CC116" s="230">
        <v>1252050</v>
      </c>
      <c r="CD116" s="230">
        <v>-91375</v>
      </c>
      <c r="CE116" s="229">
        <v>-7.2999999999999995E-2</v>
      </c>
      <c r="CF116" s="230">
        <v>7822550</v>
      </c>
      <c r="CG116" s="230">
        <v>7725225</v>
      </c>
      <c r="CH116" s="230">
        <v>97325</v>
      </c>
      <c r="CI116" s="229">
        <v>1.26E-2</v>
      </c>
      <c r="CJ116" s="230">
        <v>309225</v>
      </c>
      <c r="CK116" s="230">
        <v>268925</v>
      </c>
      <c r="CL116" s="230">
        <v>40300</v>
      </c>
      <c r="CM116" s="229">
        <v>0.14990000000000001</v>
      </c>
      <c r="CN116" s="230">
        <v>2195975</v>
      </c>
      <c r="CO116" s="230">
        <v>5780000</v>
      </c>
      <c r="CP116" s="230">
        <v>-3584025</v>
      </c>
      <c r="CQ116" s="229">
        <v>-0.62009999999999998</v>
      </c>
      <c r="CR116" s="230">
        <v>1405825</v>
      </c>
      <c r="CS116" s="230">
        <v>3195500</v>
      </c>
      <c r="CT116" s="230">
        <v>-1789675</v>
      </c>
      <c r="CU116" s="229">
        <v>-0.56010000000000004</v>
      </c>
      <c r="CV116" s="230">
        <v>11733575</v>
      </c>
      <c r="CW116" s="230">
        <v>18221700</v>
      </c>
      <c r="CX116" s="230">
        <v>-6488125</v>
      </c>
      <c r="CY116" s="229">
        <v>-0.35610000000000003</v>
      </c>
      <c r="CZ116" s="228">
        <v>39.06</v>
      </c>
      <c r="DA116" s="228">
        <v>40.840000000000003</v>
      </c>
      <c r="DB116" s="228">
        <v>-1.78</v>
      </c>
      <c r="DC116" s="228">
        <v>-1.78</v>
      </c>
      <c r="DD116" s="228">
        <v>44.58</v>
      </c>
      <c r="DE116" s="228">
        <v>44.56</v>
      </c>
      <c r="DF116" s="228">
        <v>-5.52</v>
      </c>
      <c r="DG116" s="228">
        <v>0.02</v>
      </c>
      <c r="DH116" s="228">
        <v>39.46</v>
      </c>
      <c r="DI116" s="228">
        <v>41.21</v>
      </c>
      <c r="DJ116" s="228">
        <v>-1.75</v>
      </c>
      <c r="DK116" s="228">
        <v>-1.75</v>
      </c>
      <c r="DL116" s="228">
        <v>38.08</v>
      </c>
      <c r="DM116" s="228">
        <v>39.46</v>
      </c>
      <c r="DN116" s="228">
        <v>-1.38</v>
      </c>
      <c r="DO116" s="228">
        <v>-1.38</v>
      </c>
      <c r="DP116" s="228">
        <v>0.64</v>
      </c>
      <c r="DQ116" s="228">
        <v>0.55000000000000004</v>
      </c>
      <c r="DR116" s="228">
        <v>0.09</v>
      </c>
      <c r="DS116" s="229">
        <v>0.1636</v>
      </c>
      <c r="DT116" s="228">
        <v>800</v>
      </c>
      <c r="DU116" s="228">
        <v>700</v>
      </c>
      <c r="DV116" s="228">
        <v>0.24</v>
      </c>
      <c r="DW116" s="228">
        <v>0.28000000000000003</v>
      </c>
      <c r="DX116" s="228">
        <v>-0.04</v>
      </c>
      <c r="DY116" s="229">
        <v>-0.1429</v>
      </c>
      <c r="DZ116" s="229">
        <v>0.87509999999999999</v>
      </c>
      <c r="EA116" s="230">
        <v>7994150</v>
      </c>
      <c r="EB116" s="229">
        <v>-2.6499999999999999E-2</v>
      </c>
      <c r="EC116" s="229">
        <v>0.87509999999999999</v>
      </c>
      <c r="ED116" s="228">
        <v>-14.81</v>
      </c>
      <c r="EE116" s="229">
        <v>-1.9099999999999999E-2</v>
      </c>
      <c r="EF116" s="230">
        <v>1001701</v>
      </c>
      <c r="EG116" s="230">
        <v>602872</v>
      </c>
      <c r="EH116" s="229">
        <v>0.66149999999999998</v>
      </c>
      <c r="EI116" s="229">
        <v>0.43159999999999998</v>
      </c>
      <c r="EJ116" s="231">
        <v>76927.45</v>
      </c>
      <c r="EK116" s="231">
        <v>17324.830000000002</v>
      </c>
      <c r="EL116" s="231">
        <v>41952.57</v>
      </c>
      <c r="EM116" s="231">
        <v>13735</v>
      </c>
      <c r="EN116" s="231">
        <v>136204.85</v>
      </c>
      <c r="EO116" s="231">
        <v>182175.71</v>
      </c>
      <c r="EP116" s="231">
        <v>-45970.86</v>
      </c>
      <c r="EQ116" s="229">
        <v>-0.25230000000000002</v>
      </c>
      <c r="ER116" s="231">
        <v>17335</v>
      </c>
      <c r="ES116" s="231">
        <v>10163</v>
      </c>
      <c r="ET116" s="231">
        <v>62170</v>
      </c>
      <c r="EU116" s="231">
        <v>24611073</v>
      </c>
      <c r="EV116" s="231">
        <v>89669</v>
      </c>
      <c r="EW116" s="231">
        <v>136949</v>
      </c>
      <c r="EX116" s="231">
        <v>-47280</v>
      </c>
      <c r="EY116" s="229">
        <v>-0.34520000000000001</v>
      </c>
      <c r="EZ116" s="229">
        <v>0.4768</v>
      </c>
      <c r="FA116" s="227" t="s">
        <v>691</v>
      </c>
      <c r="FB116" s="161">
        <f t="shared" si="1"/>
        <v>6971100</v>
      </c>
    </row>
    <row r="117" spans="1:158" ht="17.25" thickBot="1" x14ac:dyDescent="0.3">
      <c r="A117" s="226">
        <v>46168</v>
      </c>
      <c r="B117" s="227" t="s">
        <v>170</v>
      </c>
      <c r="C117" s="227" t="s">
        <v>535</v>
      </c>
      <c r="D117" s="228">
        <v>850</v>
      </c>
      <c r="E117" s="231">
        <v>1381</v>
      </c>
      <c r="F117" s="231">
        <v>1368.2</v>
      </c>
      <c r="G117" s="228">
        <v>12.8</v>
      </c>
      <c r="H117" s="229">
        <v>9.4000000000000004E-3</v>
      </c>
      <c r="I117" s="231">
        <v>1373.9</v>
      </c>
      <c r="J117" s="231">
        <v>1356.3</v>
      </c>
      <c r="K117" s="228">
        <v>17.600000000000001</v>
      </c>
      <c r="L117" s="229">
        <v>1.2999999999999999E-2</v>
      </c>
      <c r="M117" s="231">
        <v>1375.6</v>
      </c>
      <c r="N117" s="231">
        <v>1357.4</v>
      </c>
      <c r="O117" s="228">
        <v>18.2</v>
      </c>
      <c r="P117" s="229">
        <v>1.34E-2</v>
      </c>
      <c r="Q117" s="231">
        <v>1381</v>
      </c>
      <c r="R117" s="231">
        <v>1368.2</v>
      </c>
      <c r="S117" s="228">
        <v>12.8</v>
      </c>
      <c r="T117" s="229">
        <v>9.4000000000000004E-3</v>
      </c>
      <c r="U117" s="231">
        <v>1389.9</v>
      </c>
      <c r="V117" s="231">
        <v>1376</v>
      </c>
      <c r="W117" s="228">
        <v>13.9</v>
      </c>
      <c r="X117" s="229">
        <v>1.01E-2</v>
      </c>
      <c r="Y117" s="228">
        <v>7.1</v>
      </c>
      <c r="Z117" s="228">
        <v>1.1000000000000001</v>
      </c>
      <c r="AA117" s="228">
        <v>6</v>
      </c>
      <c r="AB117" s="229">
        <v>5.1999999999999998E-3</v>
      </c>
      <c r="AC117" s="228">
        <v>1.7</v>
      </c>
      <c r="AD117" s="228">
        <v>1.1000000000000001</v>
      </c>
      <c r="AE117" s="228">
        <v>0.6</v>
      </c>
      <c r="AF117" s="229">
        <v>1.1999999999999999E-3</v>
      </c>
      <c r="AG117" s="228">
        <v>7.1</v>
      </c>
      <c r="AH117" s="228">
        <v>11.9</v>
      </c>
      <c r="AI117" s="228">
        <v>-4.8</v>
      </c>
      <c r="AJ117" s="229">
        <v>5.1999999999999998E-3</v>
      </c>
      <c r="AK117" s="228">
        <v>16</v>
      </c>
      <c r="AL117" s="228">
        <v>19.7</v>
      </c>
      <c r="AM117" s="228">
        <v>-3.7</v>
      </c>
      <c r="AN117" s="229">
        <v>1.1599999999999999E-2</v>
      </c>
      <c r="AO117" s="231">
        <v>1367.4</v>
      </c>
      <c r="AP117" s="231">
        <v>1377.08</v>
      </c>
      <c r="AQ117" s="228">
        <v>0</v>
      </c>
      <c r="AR117" s="230">
        <v>7541200</v>
      </c>
      <c r="AS117" s="230">
        <v>11042350</v>
      </c>
      <c r="AT117" s="230">
        <v>-3501150</v>
      </c>
      <c r="AU117" s="229">
        <v>-0.31709999999999999</v>
      </c>
      <c r="AV117" s="230">
        <v>3145000</v>
      </c>
      <c r="AW117" s="230">
        <v>5340550</v>
      </c>
      <c r="AX117" s="230">
        <v>-2195550</v>
      </c>
      <c r="AY117" s="229">
        <v>-0.41110000000000002</v>
      </c>
      <c r="AZ117" s="230">
        <v>4328200</v>
      </c>
      <c r="BA117" s="230">
        <v>5544550</v>
      </c>
      <c r="BB117" s="230">
        <v>-1216350</v>
      </c>
      <c r="BC117" s="229">
        <v>-0.21940000000000001</v>
      </c>
      <c r="BD117" s="230">
        <v>68000</v>
      </c>
      <c r="BE117" s="230">
        <v>157250</v>
      </c>
      <c r="BF117" s="230">
        <v>-89250</v>
      </c>
      <c r="BG117" s="229">
        <v>-0.56759999999999999</v>
      </c>
      <c r="BH117" s="230">
        <v>7263250</v>
      </c>
      <c r="BI117" s="230">
        <v>6732000</v>
      </c>
      <c r="BJ117" s="230">
        <v>531250</v>
      </c>
      <c r="BK117" s="229">
        <v>7.8899999999999998E-2</v>
      </c>
      <c r="BL117" s="230">
        <v>5930450</v>
      </c>
      <c r="BM117" s="230">
        <v>6141250</v>
      </c>
      <c r="BN117" s="230">
        <v>-210800</v>
      </c>
      <c r="BO117" s="229">
        <v>-3.4299999999999997E-2</v>
      </c>
      <c r="BP117" s="230">
        <v>20734900</v>
      </c>
      <c r="BQ117" s="230">
        <v>23915600</v>
      </c>
      <c r="BR117" s="230">
        <v>-3180700</v>
      </c>
      <c r="BS117" s="229">
        <v>-0.13300000000000001</v>
      </c>
      <c r="BT117" s="230">
        <v>1815943</v>
      </c>
      <c r="BU117" s="230">
        <v>1660957</v>
      </c>
      <c r="BV117" s="230">
        <v>154986</v>
      </c>
      <c r="BW117" s="229">
        <v>9.3299999999999994E-2</v>
      </c>
      <c r="BX117" s="230">
        <v>18133900</v>
      </c>
      <c r="BY117" s="230">
        <v>19210850</v>
      </c>
      <c r="BZ117" s="230">
        <v>-1076950</v>
      </c>
      <c r="CA117" s="229">
        <v>-5.6099999999999997E-2</v>
      </c>
      <c r="CB117" s="230">
        <v>1123700</v>
      </c>
      <c r="CC117" s="230">
        <v>2258450</v>
      </c>
      <c r="CD117" s="230">
        <v>-1134750</v>
      </c>
      <c r="CE117" s="229">
        <v>-0.50239999999999996</v>
      </c>
      <c r="CF117" s="230">
        <v>17800700</v>
      </c>
      <c r="CG117" s="230">
        <v>16637050</v>
      </c>
      <c r="CH117" s="230">
        <v>1163650</v>
      </c>
      <c r="CI117" s="229">
        <v>6.9900000000000004E-2</v>
      </c>
      <c r="CJ117" s="230">
        <v>333200</v>
      </c>
      <c r="CK117" s="230">
        <v>315350</v>
      </c>
      <c r="CL117" s="230">
        <v>17850</v>
      </c>
      <c r="CM117" s="229">
        <v>5.6599999999999998E-2</v>
      </c>
      <c r="CN117" s="230">
        <v>3112700</v>
      </c>
      <c r="CO117" s="230">
        <v>7348250</v>
      </c>
      <c r="CP117" s="230">
        <v>-4235550</v>
      </c>
      <c r="CQ117" s="229">
        <v>-0.57640000000000002</v>
      </c>
      <c r="CR117" s="230">
        <v>3187500</v>
      </c>
      <c r="CS117" s="230">
        <v>7726500</v>
      </c>
      <c r="CT117" s="230">
        <v>-4539000</v>
      </c>
      <c r="CU117" s="229">
        <v>-0.58750000000000002</v>
      </c>
      <c r="CV117" s="230">
        <v>24434100</v>
      </c>
      <c r="CW117" s="230">
        <v>34285600</v>
      </c>
      <c r="CX117" s="230">
        <v>-9851500</v>
      </c>
      <c r="CY117" s="229">
        <v>-0.2873</v>
      </c>
      <c r="CZ117" s="228">
        <v>25.69</v>
      </c>
      <c r="DA117" s="228">
        <v>25.99</v>
      </c>
      <c r="DB117" s="228">
        <v>-0.3</v>
      </c>
      <c r="DC117" s="228">
        <v>-0.3</v>
      </c>
      <c r="DD117" s="228">
        <v>39.119999999999997</v>
      </c>
      <c r="DE117" s="228">
        <v>39.18</v>
      </c>
      <c r="DF117" s="228">
        <v>-13.43</v>
      </c>
      <c r="DG117" s="228">
        <v>-0.06</v>
      </c>
      <c r="DH117" s="228">
        <v>25.18</v>
      </c>
      <c r="DI117" s="228">
        <v>24.84</v>
      </c>
      <c r="DJ117" s="228">
        <v>0.34</v>
      </c>
      <c r="DK117" s="228">
        <v>0.34</v>
      </c>
      <c r="DL117" s="228">
        <v>26.47</v>
      </c>
      <c r="DM117" s="228">
        <v>27.71</v>
      </c>
      <c r="DN117" s="228">
        <v>-1.24</v>
      </c>
      <c r="DO117" s="228">
        <v>-1.24</v>
      </c>
      <c r="DP117" s="228">
        <v>1.02</v>
      </c>
      <c r="DQ117" s="228">
        <v>1.05</v>
      </c>
      <c r="DR117" s="228">
        <v>-0.03</v>
      </c>
      <c r="DS117" s="229">
        <v>-2.86E-2</v>
      </c>
      <c r="DT117" s="231">
        <v>1400</v>
      </c>
      <c r="DU117" s="231">
        <v>1300</v>
      </c>
      <c r="DV117" s="228">
        <v>0.82</v>
      </c>
      <c r="DW117" s="228">
        <v>0.91</v>
      </c>
      <c r="DX117" s="228">
        <v>-0.09</v>
      </c>
      <c r="DY117" s="229">
        <v>-9.8900000000000002E-2</v>
      </c>
      <c r="DZ117" s="229">
        <v>0.94159999999999999</v>
      </c>
      <c r="EA117" s="230">
        <v>16952400</v>
      </c>
      <c r="EB117" s="229">
        <v>3.8999999999999998E-3</v>
      </c>
      <c r="EC117" s="229">
        <v>0.94159999999999999</v>
      </c>
      <c r="ED117" s="228">
        <v>9.68</v>
      </c>
      <c r="EE117" s="229">
        <v>7.1000000000000004E-3</v>
      </c>
      <c r="EF117" s="230">
        <v>1008499</v>
      </c>
      <c r="EG117" s="230">
        <v>1139925</v>
      </c>
      <c r="EH117" s="229">
        <v>-0.1153</v>
      </c>
      <c r="EI117" s="229">
        <v>0.5554</v>
      </c>
      <c r="EJ117" s="231">
        <v>101664.79</v>
      </c>
      <c r="EK117" s="231">
        <v>77858.17</v>
      </c>
      <c r="EL117" s="231">
        <v>103548.28</v>
      </c>
      <c r="EM117" s="231">
        <v>10367</v>
      </c>
      <c r="EN117" s="231">
        <v>283071.24</v>
      </c>
      <c r="EO117" s="231">
        <v>323747.59000000003</v>
      </c>
      <c r="EP117" s="231">
        <v>-40676.35</v>
      </c>
      <c r="EQ117" s="229">
        <v>-0.12559999999999999</v>
      </c>
      <c r="ER117" s="231">
        <v>41715</v>
      </c>
      <c r="ES117" s="231">
        <v>41175</v>
      </c>
      <c r="ET117" s="231">
        <v>250459</v>
      </c>
      <c r="EU117" s="231">
        <v>58713729</v>
      </c>
      <c r="EV117" s="231">
        <v>333349</v>
      </c>
      <c r="EW117" s="231">
        <v>452604</v>
      </c>
      <c r="EX117" s="231">
        <v>-119255</v>
      </c>
      <c r="EY117" s="229">
        <v>-0.26350000000000001</v>
      </c>
      <c r="EZ117" s="229">
        <v>0.41620000000000001</v>
      </c>
      <c r="FA117" s="227" t="s">
        <v>691</v>
      </c>
      <c r="FB117" s="161">
        <f t="shared" si="1"/>
        <v>17010200</v>
      </c>
    </row>
    <row r="118" spans="1:158" ht="17.25" thickBot="1" x14ac:dyDescent="0.3">
      <c r="A118" s="226">
        <v>46168</v>
      </c>
      <c r="B118" s="227" t="s">
        <v>175</v>
      </c>
      <c r="C118" s="227" t="s">
        <v>248</v>
      </c>
      <c r="D118" s="228">
        <v>1000</v>
      </c>
      <c r="E118" s="228">
        <v>548.45000000000005</v>
      </c>
      <c r="F118" s="228">
        <v>547.15</v>
      </c>
      <c r="G118" s="228">
        <v>1.3</v>
      </c>
      <c r="H118" s="229">
        <v>2.3999999999999998E-3</v>
      </c>
      <c r="I118" s="228">
        <v>544.15</v>
      </c>
      <c r="J118" s="228">
        <v>543.45000000000005</v>
      </c>
      <c r="K118" s="228">
        <v>0.7</v>
      </c>
      <c r="L118" s="229">
        <v>1.2999999999999999E-3</v>
      </c>
      <c r="M118" s="228">
        <v>544.70000000000005</v>
      </c>
      <c r="N118" s="228">
        <v>543.4</v>
      </c>
      <c r="O118" s="228">
        <v>1.3</v>
      </c>
      <c r="P118" s="229">
        <v>2.3999999999999998E-3</v>
      </c>
      <c r="Q118" s="228">
        <v>548.45000000000005</v>
      </c>
      <c r="R118" s="228">
        <v>547.15</v>
      </c>
      <c r="S118" s="228">
        <v>1.3</v>
      </c>
      <c r="T118" s="229">
        <v>2.3999999999999998E-3</v>
      </c>
      <c r="U118" s="228">
        <v>552.20000000000005</v>
      </c>
      <c r="V118" s="228">
        <v>550.20000000000005</v>
      </c>
      <c r="W118" s="228">
        <v>2</v>
      </c>
      <c r="X118" s="229">
        <v>3.5999999999999999E-3</v>
      </c>
      <c r="Y118" s="228">
        <v>4.3</v>
      </c>
      <c r="Z118" s="228">
        <v>-0.05</v>
      </c>
      <c r="AA118" s="228">
        <v>4.3499999999999996</v>
      </c>
      <c r="AB118" s="229">
        <v>7.9000000000000008E-3</v>
      </c>
      <c r="AC118" s="228">
        <v>0.55000000000000004</v>
      </c>
      <c r="AD118" s="228">
        <v>-0.05</v>
      </c>
      <c r="AE118" s="228">
        <v>0.6</v>
      </c>
      <c r="AF118" s="229">
        <v>1E-3</v>
      </c>
      <c r="AG118" s="228">
        <v>4.3</v>
      </c>
      <c r="AH118" s="228">
        <v>3.7</v>
      </c>
      <c r="AI118" s="228">
        <v>0.6</v>
      </c>
      <c r="AJ118" s="229">
        <v>7.9000000000000008E-3</v>
      </c>
      <c r="AK118" s="228">
        <v>8.0500000000000007</v>
      </c>
      <c r="AL118" s="228">
        <v>6.75</v>
      </c>
      <c r="AM118" s="228">
        <v>1.3</v>
      </c>
      <c r="AN118" s="229">
        <v>1.4800000000000001E-2</v>
      </c>
      <c r="AO118" s="228">
        <v>543.66999999999996</v>
      </c>
      <c r="AP118" s="228">
        <v>547.27</v>
      </c>
      <c r="AQ118" s="228">
        <v>0</v>
      </c>
      <c r="AR118" s="230">
        <v>11094000</v>
      </c>
      <c r="AS118" s="230">
        <v>26421000</v>
      </c>
      <c r="AT118" s="230">
        <v>-15327000</v>
      </c>
      <c r="AU118" s="229">
        <v>-0.58009999999999995</v>
      </c>
      <c r="AV118" s="230">
        <v>5163000</v>
      </c>
      <c r="AW118" s="230">
        <v>12761000</v>
      </c>
      <c r="AX118" s="230">
        <v>-7598000</v>
      </c>
      <c r="AY118" s="229">
        <v>-0.59540000000000004</v>
      </c>
      <c r="AZ118" s="230">
        <v>5869000</v>
      </c>
      <c r="BA118" s="230">
        <v>13591000</v>
      </c>
      <c r="BB118" s="230">
        <v>-7722000</v>
      </c>
      <c r="BC118" s="229">
        <v>-0.56820000000000004</v>
      </c>
      <c r="BD118" s="230">
        <v>62000</v>
      </c>
      <c r="BE118" s="230">
        <v>69000</v>
      </c>
      <c r="BF118" s="230">
        <v>-7000</v>
      </c>
      <c r="BG118" s="229">
        <v>-0.1014</v>
      </c>
      <c r="BH118" s="230">
        <v>3776000</v>
      </c>
      <c r="BI118" s="230">
        <v>6473000</v>
      </c>
      <c r="BJ118" s="230">
        <v>-2697000</v>
      </c>
      <c r="BK118" s="229">
        <v>-0.41670000000000001</v>
      </c>
      <c r="BL118" s="230">
        <v>2549000</v>
      </c>
      <c r="BM118" s="230">
        <v>3354000</v>
      </c>
      <c r="BN118" s="230">
        <v>-805000</v>
      </c>
      <c r="BO118" s="229">
        <v>-0.24</v>
      </c>
      <c r="BP118" s="230">
        <v>17419000</v>
      </c>
      <c r="BQ118" s="230">
        <v>36248000</v>
      </c>
      <c r="BR118" s="230">
        <v>-18829000</v>
      </c>
      <c r="BS118" s="229">
        <v>-0.51939999999999997</v>
      </c>
      <c r="BT118" s="230">
        <v>693560</v>
      </c>
      <c r="BU118" s="230">
        <v>1117688</v>
      </c>
      <c r="BV118" s="230">
        <v>-424128</v>
      </c>
      <c r="BW118" s="229">
        <v>-0.3795</v>
      </c>
      <c r="BX118" s="230">
        <v>29159000</v>
      </c>
      <c r="BY118" s="230">
        <v>29971000</v>
      </c>
      <c r="BZ118" s="230">
        <v>-812000</v>
      </c>
      <c r="CA118" s="229">
        <v>-2.7099999999999999E-2</v>
      </c>
      <c r="CB118" s="230">
        <v>906000</v>
      </c>
      <c r="CC118" s="230">
        <v>5216000</v>
      </c>
      <c r="CD118" s="230">
        <v>-4310000</v>
      </c>
      <c r="CE118" s="229">
        <v>-0.82630000000000003</v>
      </c>
      <c r="CF118" s="230">
        <v>28939000</v>
      </c>
      <c r="CG118" s="230">
        <v>24579000</v>
      </c>
      <c r="CH118" s="230">
        <v>4360000</v>
      </c>
      <c r="CI118" s="229">
        <v>0.1774</v>
      </c>
      <c r="CJ118" s="230">
        <v>220000</v>
      </c>
      <c r="CK118" s="230">
        <v>176000</v>
      </c>
      <c r="CL118" s="230">
        <v>44000</v>
      </c>
      <c r="CM118" s="229">
        <v>0.25</v>
      </c>
      <c r="CN118" s="230">
        <v>3239000</v>
      </c>
      <c r="CO118" s="230">
        <v>9044000</v>
      </c>
      <c r="CP118" s="230">
        <v>-5805000</v>
      </c>
      <c r="CQ118" s="229">
        <v>-0.64190000000000003</v>
      </c>
      <c r="CR118" s="230">
        <v>3195000</v>
      </c>
      <c r="CS118" s="230">
        <v>6012000</v>
      </c>
      <c r="CT118" s="230">
        <v>-2817000</v>
      </c>
      <c r="CU118" s="229">
        <v>-0.46860000000000002</v>
      </c>
      <c r="CV118" s="230">
        <v>35593000</v>
      </c>
      <c r="CW118" s="230">
        <v>45027000</v>
      </c>
      <c r="CX118" s="230">
        <v>-9434000</v>
      </c>
      <c r="CY118" s="229">
        <v>-0.20949999999999999</v>
      </c>
      <c r="CZ118" s="228">
        <v>23.41</v>
      </c>
      <c r="DA118" s="228">
        <v>24.24</v>
      </c>
      <c r="DB118" s="228">
        <v>-0.83</v>
      </c>
      <c r="DC118" s="228">
        <v>-0.83</v>
      </c>
      <c r="DD118" s="228">
        <v>34.19</v>
      </c>
      <c r="DE118" s="228">
        <v>34.28</v>
      </c>
      <c r="DF118" s="228">
        <v>-10.78</v>
      </c>
      <c r="DG118" s="228">
        <v>-0.09</v>
      </c>
      <c r="DH118" s="228">
        <v>23.58</v>
      </c>
      <c r="DI118" s="228">
        <v>24.58</v>
      </c>
      <c r="DJ118" s="228">
        <v>-1</v>
      </c>
      <c r="DK118" s="228">
        <v>-1</v>
      </c>
      <c r="DL118" s="228">
        <v>23.19</v>
      </c>
      <c r="DM118" s="228">
        <v>23.67</v>
      </c>
      <c r="DN118" s="228">
        <v>-0.48</v>
      </c>
      <c r="DO118" s="228">
        <v>-0.48</v>
      </c>
      <c r="DP118" s="228">
        <v>0.99</v>
      </c>
      <c r="DQ118" s="228">
        <v>0.66</v>
      </c>
      <c r="DR118" s="228">
        <v>0.33</v>
      </c>
      <c r="DS118" s="229">
        <v>0.5</v>
      </c>
      <c r="DT118" s="228">
        <v>570</v>
      </c>
      <c r="DU118" s="228">
        <v>520</v>
      </c>
      <c r="DV118" s="228">
        <v>0.68</v>
      </c>
      <c r="DW118" s="228">
        <v>0.52</v>
      </c>
      <c r="DX118" s="228">
        <v>0.16</v>
      </c>
      <c r="DY118" s="229">
        <v>0.30769999999999997</v>
      </c>
      <c r="DZ118" s="229">
        <v>0.96989999999999998</v>
      </c>
      <c r="EA118" s="230">
        <v>24755000</v>
      </c>
      <c r="EB118" s="229">
        <v>6.8999999999999999E-3</v>
      </c>
      <c r="EC118" s="229">
        <v>0.96989999999999998</v>
      </c>
      <c r="ED118" s="228">
        <v>3.6</v>
      </c>
      <c r="EE118" s="229">
        <v>6.6E-3</v>
      </c>
      <c r="EF118" s="230">
        <v>281542</v>
      </c>
      <c r="EG118" s="230">
        <v>423354</v>
      </c>
      <c r="EH118" s="229">
        <v>-0.33500000000000002</v>
      </c>
      <c r="EI118" s="229">
        <v>0.40589999999999998</v>
      </c>
      <c r="EJ118" s="231">
        <v>21464.07</v>
      </c>
      <c r="EK118" s="231">
        <v>14052.16</v>
      </c>
      <c r="EL118" s="231">
        <v>60530.58</v>
      </c>
      <c r="EM118" s="231">
        <v>11968</v>
      </c>
      <c r="EN118" s="231">
        <v>96046.81</v>
      </c>
      <c r="EO118" s="231">
        <v>198951.08</v>
      </c>
      <c r="EP118" s="231">
        <v>-102904.27</v>
      </c>
      <c r="EQ118" s="229">
        <v>-0.51719999999999999</v>
      </c>
      <c r="ER118" s="231">
        <v>18529</v>
      </c>
      <c r="ES118" s="231">
        <v>17151</v>
      </c>
      <c r="ET118" s="231">
        <v>159931</v>
      </c>
      <c r="EU118" s="231">
        <v>45183075</v>
      </c>
      <c r="EV118" s="231">
        <v>195611</v>
      </c>
      <c r="EW118" s="231">
        <v>248379</v>
      </c>
      <c r="EX118" s="231">
        <v>-52768</v>
      </c>
      <c r="EY118" s="229">
        <v>-0.21240000000000001</v>
      </c>
      <c r="EZ118" s="229">
        <v>0.78779999999999994</v>
      </c>
      <c r="FA118" s="227" t="s">
        <v>691</v>
      </c>
      <c r="FB118" s="161">
        <f t="shared" si="1"/>
        <v>28253000</v>
      </c>
    </row>
    <row r="119" spans="1:158" ht="17.25" thickBot="1" x14ac:dyDescent="0.3">
      <c r="A119" s="226">
        <v>46168</v>
      </c>
      <c r="B119" s="227" t="s">
        <v>175</v>
      </c>
      <c r="C119" s="227" t="s">
        <v>606</v>
      </c>
      <c r="D119" s="228">
        <v>700</v>
      </c>
      <c r="E119" s="228">
        <v>861.25</v>
      </c>
      <c r="F119" s="228">
        <v>842.35</v>
      </c>
      <c r="G119" s="228">
        <v>18.899999999999999</v>
      </c>
      <c r="H119" s="229">
        <v>2.24E-2</v>
      </c>
      <c r="I119" s="228">
        <v>854.9</v>
      </c>
      <c r="J119" s="228">
        <v>837.35</v>
      </c>
      <c r="K119" s="228">
        <v>17.55</v>
      </c>
      <c r="L119" s="229">
        <v>2.1000000000000001E-2</v>
      </c>
      <c r="M119" s="228">
        <v>853.1</v>
      </c>
      <c r="N119" s="228">
        <v>837.35</v>
      </c>
      <c r="O119" s="228">
        <v>15.75</v>
      </c>
      <c r="P119" s="229">
        <v>1.8800000000000001E-2</v>
      </c>
      <c r="Q119" s="228">
        <v>861.25</v>
      </c>
      <c r="R119" s="228">
        <v>842.35</v>
      </c>
      <c r="S119" s="228">
        <v>18.899999999999999</v>
      </c>
      <c r="T119" s="229">
        <v>2.24E-2</v>
      </c>
      <c r="U119" s="228">
        <v>864.25</v>
      </c>
      <c r="V119" s="228">
        <v>845.75</v>
      </c>
      <c r="W119" s="228">
        <v>18.5</v>
      </c>
      <c r="X119" s="229">
        <v>2.1899999999999999E-2</v>
      </c>
      <c r="Y119" s="228">
        <v>6.35</v>
      </c>
      <c r="Z119" s="228">
        <v>0</v>
      </c>
      <c r="AA119" s="228">
        <v>6.35</v>
      </c>
      <c r="AB119" s="229">
        <v>7.4000000000000003E-3</v>
      </c>
      <c r="AC119" s="228">
        <v>-1.8</v>
      </c>
      <c r="AD119" s="228">
        <v>0</v>
      </c>
      <c r="AE119" s="228">
        <v>-1.8</v>
      </c>
      <c r="AF119" s="229">
        <v>-2.0999999999999999E-3</v>
      </c>
      <c r="AG119" s="228">
        <v>6.35</v>
      </c>
      <c r="AH119" s="228">
        <v>5</v>
      </c>
      <c r="AI119" s="228">
        <v>1.35</v>
      </c>
      <c r="AJ119" s="229">
        <v>7.4000000000000003E-3</v>
      </c>
      <c r="AK119" s="228">
        <v>9.35</v>
      </c>
      <c r="AL119" s="228">
        <v>8.4</v>
      </c>
      <c r="AM119" s="228">
        <v>0.95</v>
      </c>
      <c r="AN119" s="229">
        <v>1.09E-2</v>
      </c>
      <c r="AO119" s="228">
        <v>849.13</v>
      </c>
      <c r="AP119" s="228">
        <v>856.17</v>
      </c>
      <c r="AQ119" s="228">
        <v>0</v>
      </c>
      <c r="AR119" s="230">
        <v>6743800</v>
      </c>
      <c r="AS119" s="230">
        <v>12295500</v>
      </c>
      <c r="AT119" s="230">
        <v>-5551700</v>
      </c>
      <c r="AU119" s="229">
        <v>-0.45150000000000001</v>
      </c>
      <c r="AV119" s="230">
        <v>2306500</v>
      </c>
      <c r="AW119" s="230">
        <v>5465600</v>
      </c>
      <c r="AX119" s="230">
        <v>-3159100</v>
      </c>
      <c r="AY119" s="229">
        <v>-0.57799999999999996</v>
      </c>
      <c r="AZ119" s="230">
        <v>4309900</v>
      </c>
      <c r="BA119" s="230">
        <v>6566000</v>
      </c>
      <c r="BB119" s="230">
        <v>-2256100</v>
      </c>
      <c r="BC119" s="229">
        <v>-0.34360000000000002</v>
      </c>
      <c r="BD119" s="230">
        <v>127400</v>
      </c>
      <c r="BE119" s="230">
        <v>263900</v>
      </c>
      <c r="BF119" s="230">
        <v>-136500</v>
      </c>
      <c r="BG119" s="229">
        <v>-0.51719999999999999</v>
      </c>
      <c r="BH119" s="230">
        <v>16131500</v>
      </c>
      <c r="BI119" s="230">
        <v>37261000</v>
      </c>
      <c r="BJ119" s="230">
        <v>-21129500</v>
      </c>
      <c r="BK119" s="229">
        <v>-0.56710000000000005</v>
      </c>
      <c r="BL119" s="230">
        <v>5540500</v>
      </c>
      <c r="BM119" s="230">
        <v>12555900</v>
      </c>
      <c r="BN119" s="230">
        <v>-7015400</v>
      </c>
      <c r="BO119" s="229">
        <v>-0.55869999999999997</v>
      </c>
      <c r="BP119" s="230">
        <v>28415800</v>
      </c>
      <c r="BQ119" s="230">
        <v>62112400</v>
      </c>
      <c r="BR119" s="230">
        <v>-33696600</v>
      </c>
      <c r="BS119" s="229">
        <v>-0.54249999999999998</v>
      </c>
      <c r="BT119" s="230">
        <v>4331621</v>
      </c>
      <c r="BU119" s="230">
        <v>5353081</v>
      </c>
      <c r="BV119" s="230">
        <v>-1021460</v>
      </c>
      <c r="BW119" s="229">
        <v>-0.1908</v>
      </c>
      <c r="BX119" s="230">
        <v>10345300</v>
      </c>
      <c r="BY119" s="230">
        <v>11352600</v>
      </c>
      <c r="BZ119" s="230">
        <v>-1007300</v>
      </c>
      <c r="CA119" s="229">
        <v>-8.8700000000000001E-2</v>
      </c>
      <c r="CB119" s="230">
        <v>1148000</v>
      </c>
      <c r="CC119" s="230">
        <v>1960000</v>
      </c>
      <c r="CD119" s="230">
        <v>-812000</v>
      </c>
      <c r="CE119" s="229">
        <v>-0.4143</v>
      </c>
      <c r="CF119" s="230">
        <v>9851100</v>
      </c>
      <c r="CG119" s="230">
        <v>8906800</v>
      </c>
      <c r="CH119" s="230">
        <v>944300</v>
      </c>
      <c r="CI119" s="229">
        <v>0.106</v>
      </c>
      <c r="CJ119" s="230">
        <v>494200</v>
      </c>
      <c r="CK119" s="230">
        <v>485800</v>
      </c>
      <c r="CL119" s="230">
        <v>8400</v>
      </c>
      <c r="CM119" s="229">
        <v>1.7299999999999999E-2</v>
      </c>
      <c r="CN119" s="230">
        <v>4442200</v>
      </c>
      <c r="CO119" s="230">
        <v>9548000</v>
      </c>
      <c r="CP119" s="230">
        <v>-5105800</v>
      </c>
      <c r="CQ119" s="229">
        <v>-0.53480000000000005</v>
      </c>
      <c r="CR119" s="230">
        <v>3066000</v>
      </c>
      <c r="CS119" s="230">
        <v>5352200</v>
      </c>
      <c r="CT119" s="230">
        <v>-2286200</v>
      </c>
      <c r="CU119" s="229">
        <v>-0.42720000000000002</v>
      </c>
      <c r="CV119" s="230">
        <v>17853500</v>
      </c>
      <c r="CW119" s="230">
        <v>26252800</v>
      </c>
      <c r="CX119" s="230">
        <v>-8399300</v>
      </c>
      <c r="CY119" s="229">
        <v>-0.31990000000000002</v>
      </c>
      <c r="CZ119" s="228">
        <v>24.52</v>
      </c>
      <c r="DA119" s="228">
        <v>24.3</v>
      </c>
      <c r="DB119" s="228">
        <v>0.22</v>
      </c>
      <c r="DC119" s="228">
        <v>0.22</v>
      </c>
      <c r="DD119" s="228">
        <v>32.71</v>
      </c>
      <c r="DE119" s="228">
        <v>32.659999999999997</v>
      </c>
      <c r="DF119" s="228">
        <v>-8.19</v>
      </c>
      <c r="DG119" s="228">
        <v>0.05</v>
      </c>
      <c r="DH119" s="228">
        <v>24.46</v>
      </c>
      <c r="DI119" s="228">
        <v>24.35</v>
      </c>
      <c r="DJ119" s="228">
        <v>0.11</v>
      </c>
      <c r="DK119" s="228">
        <v>0.11</v>
      </c>
      <c r="DL119" s="228">
        <v>24.65</v>
      </c>
      <c r="DM119" s="228">
        <v>24.18</v>
      </c>
      <c r="DN119" s="228">
        <v>0.47</v>
      </c>
      <c r="DO119" s="228">
        <v>0.47</v>
      </c>
      <c r="DP119" s="228">
        <v>0.69</v>
      </c>
      <c r="DQ119" s="228">
        <v>0.56000000000000005</v>
      </c>
      <c r="DR119" s="228">
        <v>0.13</v>
      </c>
      <c r="DS119" s="229">
        <v>0.2321</v>
      </c>
      <c r="DT119" s="228">
        <v>900</v>
      </c>
      <c r="DU119" s="228">
        <v>800</v>
      </c>
      <c r="DV119" s="228">
        <v>0.34</v>
      </c>
      <c r="DW119" s="228">
        <v>0.34</v>
      </c>
      <c r="DX119" s="228">
        <v>0</v>
      </c>
      <c r="DY119" s="229">
        <v>0</v>
      </c>
      <c r="DZ119" s="229">
        <v>0.90010000000000001</v>
      </c>
      <c r="EA119" s="230">
        <v>9392600</v>
      </c>
      <c r="EB119" s="229">
        <v>9.5999999999999992E-3</v>
      </c>
      <c r="EC119" s="229">
        <v>0.90010000000000001</v>
      </c>
      <c r="ED119" s="228">
        <v>7.04</v>
      </c>
      <c r="EE119" s="229">
        <v>8.3000000000000001E-3</v>
      </c>
      <c r="EF119" s="230">
        <v>2008307</v>
      </c>
      <c r="EG119" s="230">
        <v>2357087</v>
      </c>
      <c r="EH119" s="229">
        <v>-0.14799999999999999</v>
      </c>
      <c r="EI119" s="229">
        <v>0.46360000000000001</v>
      </c>
      <c r="EJ119" s="231">
        <v>141569.92000000001</v>
      </c>
      <c r="EK119" s="231">
        <v>46099.32</v>
      </c>
      <c r="EL119" s="231">
        <v>57579.22</v>
      </c>
      <c r="EM119" s="231">
        <v>13380</v>
      </c>
      <c r="EN119" s="231">
        <v>245248.46</v>
      </c>
      <c r="EO119" s="231">
        <v>526327.36</v>
      </c>
      <c r="EP119" s="231">
        <v>-281078.90000000002</v>
      </c>
      <c r="EQ119" s="229">
        <v>-0.53400000000000003</v>
      </c>
      <c r="ER119" s="231">
        <v>38393</v>
      </c>
      <c r="ES119" s="231">
        <v>24419</v>
      </c>
      <c r="ET119" s="231">
        <v>89114</v>
      </c>
      <c r="EU119" s="231">
        <v>33206238</v>
      </c>
      <c r="EV119" s="231">
        <v>151926</v>
      </c>
      <c r="EW119" s="231">
        <v>219793</v>
      </c>
      <c r="EX119" s="231">
        <v>-67867</v>
      </c>
      <c r="EY119" s="229">
        <v>-0.30880000000000002</v>
      </c>
      <c r="EZ119" s="229">
        <v>0.53769999999999996</v>
      </c>
      <c r="FA119" s="227" t="s">
        <v>691</v>
      </c>
      <c r="FB119" s="161">
        <f t="shared" si="1"/>
        <v>9197300</v>
      </c>
    </row>
    <row r="120" spans="1:158" ht="17.25" thickBot="1" x14ac:dyDescent="0.3">
      <c r="A120" s="226">
        <v>46168</v>
      </c>
      <c r="B120" s="227" t="s">
        <v>206</v>
      </c>
      <c r="C120" s="227" t="s">
        <v>587</v>
      </c>
      <c r="D120" s="228">
        <v>450</v>
      </c>
      <c r="E120" s="228">
        <v>908.85</v>
      </c>
      <c r="F120" s="228">
        <v>911.4</v>
      </c>
      <c r="G120" s="228">
        <v>-2.5499999999999998</v>
      </c>
      <c r="H120" s="229">
        <v>-2.8E-3</v>
      </c>
      <c r="I120" s="228">
        <v>903.7</v>
      </c>
      <c r="J120" s="228">
        <v>906.85</v>
      </c>
      <c r="K120" s="228">
        <v>-3.15</v>
      </c>
      <c r="L120" s="229">
        <v>-3.5000000000000001E-3</v>
      </c>
      <c r="M120" s="228">
        <v>905.4</v>
      </c>
      <c r="N120" s="228">
        <v>906</v>
      </c>
      <c r="O120" s="228">
        <v>-0.6</v>
      </c>
      <c r="P120" s="229">
        <v>-6.9999999999999999E-4</v>
      </c>
      <c r="Q120" s="228">
        <v>908.85</v>
      </c>
      <c r="R120" s="228">
        <v>911.4</v>
      </c>
      <c r="S120" s="228">
        <v>-2.5499999999999998</v>
      </c>
      <c r="T120" s="229">
        <v>-2.8E-3</v>
      </c>
      <c r="U120" s="228">
        <v>915.3</v>
      </c>
      <c r="V120" s="228">
        <v>916.6</v>
      </c>
      <c r="W120" s="228">
        <v>-1.3</v>
      </c>
      <c r="X120" s="229">
        <v>-1.4E-3</v>
      </c>
      <c r="Y120" s="228">
        <v>5.15</v>
      </c>
      <c r="Z120" s="228">
        <v>-0.85</v>
      </c>
      <c r="AA120" s="228">
        <v>6</v>
      </c>
      <c r="AB120" s="229">
        <v>5.7000000000000002E-3</v>
      </c>
      <c r="AC120" s="228">
        <v>1.7</v>
      </c>
      <c r="AD120" s="228">
        <v>-0.85</v>
      </c>
      <c r="AE120" s="228">
        <v>2.5499999999999998</v>
      </c>
      <c r="AF120" s="229">
        <v>1.9E-3</v>
      </c>
      <c r="AG120" s="228">
        <v>5.15</v>
      </c>
      <c r="AH120" s="228">
        <v>4.55</v>
      </c>
      <c r="AI120" s="228">
        <v>0.6</v>
      </c>
      <c r="AJ120" s="229">
        <v>5.7000000000000002E-3</v>
      </c>
      <c r="AK120" s="228">
        <v>11.6</v>
      </c>
      <c r="AL120" s="228">
        <v>9.75</v>
      </c>
      <c r="AM120" s="228">
        <v>1.85</v>
      </c>
      <c r="AN120" s="229">
        <v>1.2800000000000001E-2</v>
      </c>
      <c r="AO120" s="228">
        <v>904.04</v>
      </c>
      <c r="AP120" s="228">
        <v>909.52</v>
      </c>
      <c r="AQ120" s="228">
        <v>0</v>
      </c>
      <c r="AR120" s="230">
        <v>4192200</v>
      </c>
      <c r="AS120" s="230">
        <v>9746550</v>
      </c>
      <c r="AT120" s="230">
        <v>-5554350</v>
      </c>
      <c r="AU120" s="229">
        <v>-0.56989999999999996</v>
      </c>
      <c r="AV120" s="230">
        <v>1562850</v>
      </c>
      <c r="AW120" s="230">
        <v>4909050</v>
      </c>
      <c r="AX120" s="230">
        <v>-3346200</v>
      </c>
      <c r="AY120" s="229">
        <v>-0.68159999999999998</v>
      </c>
      <c r="AZ120" s="230">
        <v>2603700</v>
      </c>
      <c r="BA120" s="230">
        <v>4820850</v>
      </c>
      <c r="BB120" s="230">
        <v>-2217150</v>
      </c>
      <c r="BC120" s="229">
        <v>-0.45989999999999998</v>
      </c>
      <c r="BD120" s="230">
        <v>25650</v>
      </c>
      <c r="BE120" s="230">
        <v>16650</v>
      </c>
      <c r="BF120" s="230">
        <v>9000</v>
      </c>
      <c r="BG120" s="229">
        <v>0.54049999999999998</v>
      </c>
      <c r="BH120" s="230">
        <v>2056500</v>
      </c>
      <c r="BI120" s="230">
        <v>5036400</v>
      </c>
      <c r="BJ120" s="230">
        <v>-2979900</v>
      </c>
      <c r="BK120" s="229">
        <v>-0.5917</v>
      </c>
      <c r="BL120" s="230">
        <v>771300</v>
      </c>
      <c r="BM120" s="230">
        <v>2607750</v>
      </c>
      <c r="BN120" s="230">
        <v>-1836450</v>
      </c>
      <c r="BO120" s="229">
        <v>-0.70420000000000005</v>
      </c>
      <c r="BP120" s="230">
        <v>7020000</v>
      </c>
      <c r="BQ120" s="230">
        <v>17390700</v>
      </c>
      <c r="BR120" s="230">
        <v>-10370700</v>
      </c>
      <c r="BS120" s="229">
        <v>-0.59630000000000005</v>
      </c>
      <c r="BT120" s="230">
        <v>2489687</v>
      </c>
      <c r="BU120" s="230">
        <v>1388043</v>
      </c>
      <c r="BV120" s="230">
        <v>1101644</v>
      </c>
      <c r="BW120" s="229">
        <v>0.79369999999999996</v>
      </c>
      <c r="BX120" s="230">
        <v>12373150</v>
      </c>
      <c r="BY120" s="230">
        <v>13365200</v>
      </c>
      <c r="BZ120" s="230">
        <v>-992050</v>
      </c>
      <c r="CA120" s="229">
        <v>-7.4200000000000002E-2</v>
      </c>
      <c r="CB120" s="230">
        <v>250650</v>
      </c>
      <c r="CC120" s="230">
        <v>1258200</v>
      </c>
      <c r="CD120" s="230">
        <v>-1007550</v>
      </c>
      <c r="CE120" s="229">
        <v>-0.80079999999999996</v>
      </c>
      <c r="CF120" s="230">
        <v>12299400</v>
      </c>
      <c r="CG120" s="230">
        <v>12053250</v>
      </c>
      <c r="CH120" s="230">
        <v>246150</v>
      </c>
      <c r="CI120" s="229">
        <v>2.0400000000000001E-2</v>
      </c>
      <c r="CJ120" s="230">
        <v>73750</v>
      </c>
      <c r="CK120" s="230">
        <v>53750</v>
      </c>
      <c r="CL120" s="230">
        <v>20000</v>
      </c>
      <c r="CM120" s="229">
        <v>0.37209999999999999</v>
      </c>
      <c r="CN120" s="230">
        <v>751500</v>
      </c>
      <c r="CO120" s="230">
        <v>3074400</v>
      </c>
      <c r="CP120" s="230">
        <v>-2322900</v>
      </c>
      <c r="CQ120" s="229">
        <v>-0.75560000000000005</v>
      </c>
      <c r="CR120" s="230">
        <v>694350</v>
      </c>
      <c r="CS120" s="230">
        <v>2795400</v>
      </c>
      <c r="CT120" s="230">
        <v>-2101050</v>
      </c>
      <c r="CU120" s="229">
        <v>-0.75160000000000005</v>
      </c>
      <c r="CV120" s="230">
        <v>13819000</v>
      </c>
      <c r="CW120" s="230">
        <v>19235000</v>
      </c>
      <c r="CX120" s="230">
        <v>-5416000</v>
      </c>
      <c r="CY120" s="229">
        <v>-0.28160000000000002</v>
      </c>
      <c r="CZ120" s="228">
        <v>36.94</v>
      </c>
      <c r="DA120" s="228">
        <v>37.58</v>
      </c>
      <c r="DB120" s="228">
        <v>-0.64</v>
      </c>
      <c r="DC120" s="228">
        <v>-0.64</v>
      </c>
      <c r="DD120" s="228">
        <v>47.84</v>
      </c>
      <c r="DE120" s="228">
        <v>47.96</v>
      </c>
      <c r="DF120" s="228">
        <v>-10.9</v>
      </c>
      <c r="DG120" s="228">
        <v>-0.12</v>
      </c>
      <c r="DH120" s="228">
        <v>36.200000000000003</v>
      </c>
      <c r="DI120" s="228">
        <v>37.49</v>
      </c>
      <c r="DJ120" s="228">
        <v>-1.29</v>
      </c>
      <c r="DK120" s="228">
        <v>-1.29</v>
      </c>
      <c r="DL120" s="228">
        <v>38.24</v>
      </c>
      <c r="DM120" s="228">
        <v>37.770000000000003</v>
      </c>
      <c r="DN120" s="228">
        <v>0.47</v>
      </c>
      <c r="DO120" s="228">
        <v>0.47</v>
      </c>
      <c r="DP120" s="228">
        <v>0.92</v>
      </c>
      <c r="DQ120" s="228">
        <v>0.91</v>
      </c>
      <c r="DR120" s="228">
        <v>0.01</v>
      </c>
      <c r="DS120" s="229">
        <v>1.0999999999999999E-2</v>
      </c>
      <c r="DT120" s="228">
        <v>930</v>
      </c>
      <c r="DU120" s="228">
        <v>860</v>
      </c>
      <c r="DV120" s="228">
        <v>0.38</v>
      </c>
      <c r="DW120" s="228">
        <v>0.52</v>
      </c>
      <c r="DX120" s="228">
        <v>-0.14000000000000001</v>
      </c>
      <c r="DY120" s="229">
        <v>-0.26919999999999999</v>
      </c>
      <c r="DZ120" s="229">
        <v>0.98009999999999997</v>
      </c>
      <c r="EA120" s="230">
        <v>12107000</v>
      </c>
      <c r="EB120" s="229">
        <v>3.8E-3</v>
      </c>
      <c r="EC120" s="229">
        <v>0.98009999999999997</v>
      </c>
      <c r="ED120" s="228">
        <v>5.48</v>
      </c>
      <c r="EE120" s="229">
        <v>6.1000000000000004E-3</v>
      </c>
      <c r="EF120" s="230">
        <v>1579989</v>
      </c>
      <c r="EG120" s="230">
        <v>790904</v>
      </c>
      <c r="EH120" s="229">
        <v>0.99770000000000003</v>
      </c>
      <c r="EI120" s="229">
        <v>0.63460000000000005</v>
      </c>
      <c r="EJ120" s="231">
        <v>19457.91</v>
      </c>
      <c r="EK120" s="231">
        <v>6849.59</v>
      </c>
      <c r="EL120" s="231">
        <v>38136.160000000003</v>
      </c>
      <c r="EM120" s="231">
        <v>13231</v>
      </c>
      <c r="EN120" s="231">
        <v>64443.66</v>
      </c>
      <c r="EO120" s="231">
        <v>157563.57999999999</v>
      </c>
      <c r="EP120" s="231">
        <v>-93119.92</v>
      </c>
      <c r="EQ120" s="229">
        <v>-0.59099999999999997</v>
      </c>
      <c r="ER120" s="231">
        <v>6918</v>
      </c>
      <c r="ES120" s="231">
        <v>6034</v>
      </c>
      <c r="ET120" s="231">
        <v>112458</v>
      </c>
      <c r="EU120" s="231">
        <v>42165698</v>
      </c>
      <c r="EV120" s="231">
        <v>125410</v>
      </c>
      <c r="EW120" s="231">
        <v>174233</v>
      </c>
      <c r="EX120" s="231">
        <v>-48823</v>
      </c>
      <c r="EY120" s="229">
        <v>-0.2802</v>
      </c>
      <c r="EZ120" s="229">
        <v>0.32769999999999999</v>
      </c>
      <c r="FA120" s="227" t="s">
        <v>567</v>
      </c>
      <c r="FB120" s="161">
        <f t="shared" si="1"/>
        <v>12122500</v>
      </c>
    </row>
    <row r="121" spans="1:158" ht="17.25" thickBot="1" x14ac:dyDescent="0.3">
      <c r="A121" s="226">
        <v>46168</v>
      </c>
      <c r="B121" s="227" t="s">
        <v>184</v>
      </c>
      <c r="C121" s="227" t="s">
        <v>249</v>
      </c>
      <c r="D121" s="228">
        <v>175</v>
      </c>
      <c r="E121" s="231">
        <v>4057.7</v>
      </c>
      <c r="F121" s="231">
        <v>4057.4</v>
      </c>
      <c r="G121" s="228">
        <v>0.3</v>
      </c>
      <c r="H121" s="229">
        <v>1E-4</v>
      </c>
      <c r="I121" s="231">
        <v>4037.8</v>
      </c>
      <c r="J121" s="231">
        <v>4033.4</v>
      </c>
      <c r="K121" s="228">
        <v>4.4000000000000004</v>
      </c>
      <c r="L121" s="229">
        <v>1.1000000000000001E-3</v>
      </c>
      <c r="M121" s="231">
        <v>4027.2</v>
      </c>
      <c r="N121" s="231">
        <v>4034.2</v>
      </c>
      <c r="O121" s="228">
        <v>-7</v>
      </c>
      <c r="P121" s="229">
        <v>-1.6999999999999999E-3</v>
      </c>
      <c r="Q121" s="231">
        <v>4057.7</v>
      </c>
      <c r="R121" s="231">
        <v>4057.4</v>
      </c>
      <c r="S121" s="228">
        <v>0.3</v>
      </c>
      <c r="T121" s="229">
        <v>1E-4</v>
      </c>
      <c r="U121" s="231">
        <v>4080.1</v>
      </c>
      <c r="V121" s="231">
        <v>4078.2</v>
      </c>
      <c r="W121" s="228">
        <v>1.9</v>
      </c>
      <c r="X121" s="229">
        <v>5.0000000000000001E-4</v>
      </c>
      <c r="Y121" s="228">
        <v>19.899999999999999</v>
      </c>
      <c r="Z121" s="228">
        <v>0.8</v>
      </c>
      <c r="AA121" s="228">
        <v>19.100000000000001</v>
      </c>
      <c r="AB121" s="229">
        <v>4.8999999999999998E-3</v>
      </c>
      <c r="AC121" s="228">
        <v>-10.6</v>
      </c>
      <c r="AD121" s="228">
        <v>0.8</v>
      </c>
      <c r="AE121" s="228">
        <v>-11.4</v>
      </c>
      <c r="AF121" s="229">
        <v>-2.5999999999999999E-3</v>
      </c>
      <c r="AG121" s="228">
        <v>19.899999999999999</v>
      </c>
      <c r="AH121" s="228">
        <v>24</v>
      </c>
      <c r="AI121" s="228">
        <v>-4.0999999999999996</v>
      </c>
      <c r="AJ121" s="229">
        <v>4.8999999999999998E-3</v>
      </c>
      <c r="AK121" s="228">
        <v>42.3</v>
      </c>
      <c r="AL121" s="228">
        <v>44.8</v>
      </c>
      <c r="AM121" s="228">
        <v>-2.5</v>
      </c>
      <c r="AN121" s="229">
        <v>1.0500000000000001E-2</v>
      </c>
      <c r="AO121" s="231">
        <v>4031.16</v>
      </c>
      <c r="AP121" s="231">
        <v>4056.37</v>
      </c>
      <c r="AQ121" s="228">
        <v>0</v>
      </c>
      <c r="AR121" s="230">
        <v>5566225</v>
      </c>
      <c r="AS121" s="230">
        <v>10315900</v>
      </c>
      <c r="AT121" s="230">
        <v>-4749675</v>
      </c>
      <c r="AU121" s="229">
        <v>-0.46039999999999998</v>
      </c>
      <c r="AV121" s="230">
        <v>2247525</v>
      </c>
      <c r="AW121" s="230">
        <v>4870250</v>
      </c>
      <c r="AX121" s="230">
        <v>-2622725</v>
      </c>
      <c r="AY121" s="229">
        <v>-0.53849999999999998</v>
      </c>
      <c r="AZ121" s="230">
        <v>3255175</v>
      </c>
      <c r="BA121" s="230">
        <v>5339775</v>
      </c>
      <c r="BB121" s="230">
        <v>-2084600</v>
      </c>
      <c r="BC121" s="229">
        <v>-0.39040000000000002</v>
      </c>
      <c r="BD121" s="230">
        <v>63525</v>
      </c>
      <c r="BE121" s="230">
        <v>105875</v>
      </c>
      <c r="BF121" s="230">
        <v>-42350</v>
      </c>
      <c r="BG121" s="229">
        <v>-0.4</v>
      </c>
      <c r="BH121" s="230">
        <v>8834000</v>
      </c>
      <c r="BI121" s="230">
        <v>19198025</v>
      </c>
      <c r="BJ121" s="230">
        <v>-10364025</v>
      </c>
      <c r="BK121" s="229">
        <v>-0.53979999999999995</v>
      </c>
      <c r="BL121" s="230">
        <v>4683000</v>
      </c>
      <c r="BM121" s="230">
        <v>9942450</v>
      </c>
      <c r="BN121" s="230">
        <v>-5259450</v>
      </c>
      <c r="BO121" s="229">
        <v>-0.52900000000000003</v>
      </c>
      <c r="BP121" s="230">
        <v>19083225</v>
      </c>
      <c r="BQ121" s="230">
        <v>39456375</v>
      </c>
      <c r="BR121" s="230">
        <v>-20373150</v>
      </c>
      <c r="BS121" s="229">
        <v>-0.51629999999999998</v>
      </c>
      <c r="BT121" s="230">
        <v>1601961</v>
      </c>
      <c r="BU121" s="230">
        <v>2272973</v>
      </c>
      <c r="BV121" s="230">
        <v>-671012</v>
      </c>
      <c r="BW121" s="229">
        <v>-0.29520000000000002</v>
      </c>
      <c r="BX121" s="230">
        <v>14581000</v>
      </c>
      <c r="BY121" s="230">
        <v>16130800</v>
      </c>
      <c r="BZ121" s="230">
        <v>-1549800</v>
      </c>
      <c r="CA121" s="229">
        <v>-9.6100000000000005E-2</v>
      </c>
      <c r="CB121" s="230">
        <v>882000</v>
      </c>
      <c r="CC121" s="230">
        <v>2343425</v>
      </c>
      <c r="CD121" s="230">
        <v>-1461425</v>
      </c>
      <c r="CE121" s="229">
        <v>-0.62360000000000004</v>
      </c>
      <c r="CF121" s="230">
        <v>13706175</v>
      </c>
      <c r="CG121" s="230">
        <v>12920425</v>
      </c>
      <c r="CH121" s="230">
        <v>785750</v>
      </c>
      <c r="CI121" s="229">
        <v>6.08E-2</v>
      </c>
      <c r="CJ121" s="230">
        <v>874825</v>
      </c>
      <c r="CK121" s="230">
        <v>866950</v>
      </c>
      <c r="CL121" s="230">
        <v>7875</v>
      </c>
      <c r="CM121" s="229">
        <v>9.1000000000000004E-3</v>
      </c>
      <c r="CN121" s="230">
        <v>2550625</v>
      </c>
      <c r="CO121" s="230">
        <v>7519400</v>
      </c>
      <c r="CP121" s="230">
        <v>-4968775</v>
      </c>
      <c r="CQ121" s="229">
        <v>-0.66080000000000005</v>
      </c>
      <c r="CR121" s="230">
        <v>3384325</v>
      </c>
      <c r="CS121" s="230">
        <v>5893825</v>
      </c>
      <c r="CT121" s="230">
        <v>-2509500</v>
      </c>
      <c r="CU121" s="229">
        <v>-0.42580000000000001</v>
      </c>
      <c r="CV121" s="230">
        <v>20515950</v>
      </c>
      <c r="CW121" s="230">
        <v>29544025</v>
      </c>
      <c r="CX121" s="230">
        <v>-9028075</v>
      </c>
      <c r="CY121" s="229">
        <v>-0.30559999999999998</v>
      </c>
      <c r="CZ121" s="228">
        <v>21.47</v>
      </c>
      <c r="DA121" s="228">
        <v>22.84</v>
      </c>
      <c r="DB121" s="228">
        <v>-1.37</v>
      </c>
      <c r="DC121" s="228">
        <v>-1.37</v>
      </c>
      <c r="DD121" s="228">
        <v>32.880000000000003</v>
      </c>
      <c r="DE121" s="228">
        <v>32.97</v>
      </c>
      <c r="DF121" s="228">
        <v>-11.41</v>
      </c>
      <c r="DG121" s="228">
        <v>-0.09</v>
      </c>
      <c r="DH121" s="228">
        <v>21.31</v>
      </c>
      <c r="DI121" s="228">
        <v>22.7</v>
      </c>
      <c r="DJ121" s="228">
        <v>-1.39</v>
      </c>
      <c r="DK121" s="228">
        <v>-1.39</v>
      </c>
      <c r="DL121" s="228">
        <v>21.74</v>
      </c>
      <c r="DM121" s="228">
        <v>23.09</v>
      </c>
      <c r="DN121" s="228">
        <v>-1.35</v>
      </c>
      <c r="DO121" s="228">
        <v>-1.35</v>
      </c>
      <c r="DP121" s="228">
        <v>1.33</v>
      </c>
      <c r="DQ121" s="228">
        <v>0.78</v>
      </c>
      <c r="DR121" s="228">
        <v>0.55000000000000004</v>
      </c>
      <c r="DS121" s="229">
        <v>0.70509999999999995</v>
      </c>
      <c r="DT121" s="231">
        <v>4000</v>
      </c>
      <c r="DU121" s="231">
        <v>4000</v>
      </c>
      <c r="DV121" s="228">
        <v>0.53</v>
      </c>
      <c r="DW121" s="228">
        <v>0.52</v>
      </c>
      <c r="DX121" s="228">
        <v>0.01</v>
      </c>
      <c r="DY121" s="229">
        <v>1.9199999999999998E-2</v>
      </c>
      <c r="DZ121" s="229">
        <v>0.94299999999999995</v>
      </c>
      <c r="EA121" s="230">
        <v>13787375</v>
      </c>
      <c r="EB121" s="229">
        <v>7.6E-3</v>
      </c>
      <c r="EC121" s="229">
        <v>0.94299999999999995</v>
      </c>
      <c r="ED121" s="228">
        <v>25.21</v>
      </c>
      <c r="EE121" s="229">
        <v>6.3E-3</v>
      </c>
      <c r="EF121" s="230">
        <v>871465</v>
      </c>
      <c r="EG121" s="230">
        <v>1366500</v>
      </c>
      <c r="EH121" s="229">
        <v>-0.36230000000000001</v>
      </c>
      <c r="EI121" s="229">
        <v>0.54400000000000004</v>
      </c>
      <c r="EJ121" s="231">
        <v>364893.43</v>
      </c>
      <c r="EK121" s="231">
        <v>187294.81</v>
      </c>
      <c r="EL121" s="231">
        <v>225233.51</v>
      </c>
      <c r="EM121" s="231">
        <v>35906</v>
      </c>
      <c r="EN121" s="231">
        <v>777421.75</v>
      </c>
      <c r="EO121" s="231">
        <v>1598754.73</v>
      </c>
      <c r="EP121" s="231">
        <v>-821332.98</v>
      </c>
      <c r="EQ121" s="229">
        <v>-0.51370000000000005</v>
      </c>
      <c r="ER121" s="231">
        <v>104966</v>
      </c>
      <c r="ES121" s="231">
        <v>132253</v>
      </c>
      <c r="ET121" s="231">
        <v>591849</v>
      </c>
      <c r="EU121" s="231">
        <v>136099497</v>
      </c>
      <c r="EV121" s="231">
        <v>829069</v>
      </c>
      <c r="EW121" s="231">
        <v>1194700</v>
      </c>
      <c r="EX121" s="231">
        <v>-365631</v>
      </c>
      <c r="EY121" s="229">
        <v>-0.30599999999999999</v>
      </c>
      <c r="EZ121" s="229">
        <v>0.1507</v>
      </c>
      <c r="FA121" s="227" t="s">
        <v>691</v>
      </c>
      <c r="FB121" s="161">
        <f t="shared" si="1"/>
        <v>13699000</v>
      </c>
    </row>
    <row r="122" spans="1:158" ht="17.25" thickBot="1" x14ac:dyDescent="0.3">
      <c r="A122" s="226">
        <v>46168</v>
      </c>
      <c r="B122" s="227" t="s">
        <v>175</v>
      </c>
      <c r="C122" s="227" t="s">
        <v>564</v>
      </c>
      <c r="D122" s="228">
        <v>2250</v>
      </c>
      <c r="E122" s="228">
        <v>283.64999999999998</v>
      </c>
      <c r="F122" s="228">
        <v>280.05</v>
      </c>
      <c r="G122" s="228">
        <v>3.6</v>
      </c>
      <c r="H122" s="229">
        <v>1.29E-2</v>
      </c>
      <c r="I122" s="228">
        <v>282.7</v>
      </c>
      <c r="J122" s="228">
        <v>279.35000000000002</v>
      </c>
      <c r="K122" s="228">
        <v>3.35</v>
      </c>
      <c r="L122" s="229">
        <v>1.2E-2</v>
      </c>
      <c r="M122" s="228">
        <v>282.3</v>
      </c>
      <c r="N122" s="228">
        <v>279.45</v>
      </c>
      <c r="O122" s="228">
        <v>2.85</v>
      </c>
      <c r="P122" s="229">
        <v>1.0200000000000001E-2</v>
      </c>
      <c r="Q122" s="228">
        <v>283.64999999999998</v>
      </c>
      <c r="R122" s="228">
        <v>280.05</v>
      </c>
      <c r="S122" s="228">
        <v>3.6</v>
      </c>
      <c r="T122" s="229">
        <v>1.29E-2</v>
      </c>
      <c r="U122" s="228">
        <v>283.7</v>
      </c>
      <c r="V122" s="228">
        <v>280.7</v>
      </c>
      <c r="W122" s="228">
        <v>3</v>
      </c>
      <c r="X122" s="229">
        <v>1.0699999999999999E-2</v>
      </c>
      <c r="Y122" s="228">
        <v>0.95</v>
      </c>
      <c r="Z122" s="228">
        <v>0.1</v>
      </c>
      <c r="AA122" s="228">
        <v>0.85</v>
      </c>
      <c r="AB122" s="229">
        <v>3.3999999999999998E-3</v>
      </c>
      <c r="AC122" s="228">
        <v>-0.4</v>
      </c>
      <c r="AD122" s="228">
        <v>0.1</v>
      </c>
      <c r="AE122" s="228">
        <v>-0.5</v>
      </c>
      <c r="AF122" s="229">
        <v>-1.4E-3</v>
      </c>
      <c r="AG122" s="228">
        <v>0.95</v>
      </c>
      <c r="AH122" s="228">
        <v>0.7</v>
      </c>
      <c r="AI122" s="228">
        <v>0.25</v>
      </c>
      <c r="AJ122" s="229">
        <v>3.3999999999999998E-3</v>
      </c>
      <c r="AK122" s="228">
        <v>1</v>
      </c>
      <c r="AL122" s="228">
        <v>1.35</v>
      </c>
      <c r="AM122" s="228">
        <v>-0.35</v>
      </c>
      <c r="AN122" s="229">
        <v>3.5000000000000001E-3</v>
      </c>
      <c r="AO122" s="228">
        <v>282.05</v>
      </c>
      <c r="AP122" s="228">
        <v>283.22000000000003</v>
      </c>
      <c r="AQ122" s="228">
        <v>0</v>
      </c>
      <c r="AR122" s="230">
        <v>16823250</v>
      </c>
      <c r="AS122" s="230">
        <v>34125750</v>
      </c>
      <c r="AT122" s="230">
        <v>-17302500</v>
      </c>
      <c r="AU122" s="229">
        <v>-0.50700000000000001</v>
      </c>
      <c r="AV122" s="230">
        <v>5699250</v>
      </c>
      <c r="AW122" s="230">
        <v>15066000</v>
      </c>
      <c r="AX122" s="230">
        <v>-9366750</v>
      </c>
      <c r="AY122" s="229">
        <v>-0.62170000000000003</v>
      </c>
      <c r="AZ122" s="230">
        <v>10982250</v>
      </c>
      <c r="BA122" s="230">
        <v>18877500</v>
      </c>
      <c r="BB122" s="230">
        <v>-7895250</v>
      </c>
      <c r="BC122" s="229">
        <v>-0.41820000000000002</v>
      </c>
      <c r="BD122" s="230">
        <v>141750</v>
      </c>
      <c r="BE122" s="230">
        <v>182250</v>
      </c>
      <c r="BF122" s="230">
        <v>-40500</v>
      </c>
      <c r="BG122" s="229">
        <v>-0.22220000000000001</v>
      </c>
      <c r="BH122" s="230">
        <v>21951000</v>
      </c>
      <c r="BI122" s="230">
        <v>31311000</v>
      </c>
      <c r="BJ122" s="230">
        <v>-9360000</v>
      </c>
      <c r="BK122" s="229">
        <v>-0.2989</v>
      </c>
      <c r="BL122" s="230">
        <v>7296750</v>
      </c>
      <c r="BM122" s="230">
        <v>19300500</v>
      </c>
      <c r="BN122" s="230">
        <v>-12003750</v>
      </c>
      <c r="BO122" s="229">
        <v>-0.62190000000000001</v>
      </c>
      <c r="BP122" s="230">
        <v>46071000</v>
      </c>
      <c r="BQ122" s="230">
        <v>84737250</v>
      </c>
      <c r="BR122" s="230">
        <v>-38666250</v>
      </c>
      <c r="BS122" s="229">
        <v>-0.45629999999999998</v>
      </c>
      <c r="BT122" s="230">
        <v>4767576</v>
      </c>
      <c r="BU122" s="230">
        <v>5600492</v>
      </c>
      <c r="BV122" s="230">
        <v>-832916</v>
      </c>
      <c r="BW122" s="229">
        <v>-0.1487</v>
      </c>
      <c r="BX122" s="230">
        <v>40785750</v>
      </c>
      <c r="BY122" s="230">
        <v>44793000</v>
      </c>
      <c r="BZ122" s="230">
        <v>-4007250</v>
      </c>
      <c r="CA122" s="229">
        <v>-8.9499999999999996E-2</v>
      </c>
      <c r="CB122" s="230">
        <v>4092750</v>
      </c>
      <c r="CC122" s="230">
        <v>7161750</v>
      </c>
      <c r="CD122" s="230">
        <v>-3069000</v>
      </c>
      <c r="CE122" s="229">
        <v>-0.42849999999999999</v>
      </c>
      <c r="CF122" s="230">
        <v>40302000</v>
      </c>
      <c r="CG122" s="230">
        <v>37149750</v>
      </c>
      <c r="CH122" s="230">
        <v>3152250</v>
      </c>
      <c r="CI122" s="229">
        <v>8.4900000000000003E-2</v>
      </c>
      <c r="CJ122" s="230">
        <v>483750</v>
      </c>
      <c r="CK122" s="230">
        <v>481500</v>
      </c>
      <c r="CL122" s="230">
        <v>2250</v>
      </c>
      <c r="CM122" s="229">
        <v>4.7000000000000002E-3</v>
      </c>
      <c r="CN122" s="230">
        <v>8498250</v>
      </c>
      <c r="CO122" s="230">
        <v>21964500</v>
      </c>
      <c r="CP122" s="230">
        <v>-13466250</v>
      </c>
      <c r="CQ122" s="229">
        <v>-0.61309999999999998</v>
      </c>
      <c r="CR122" s="230">
        <v>7791750</v>
      </c>
      <c r="CS122" s="230">
        <v>15205500</v>
      </c>
      <c r="CT122" s="230">
        <v>-7413750</v>
      </c>
      <c r="CU122" s="229">
        <v>-0.48759999999999998</v>
      </c>
      <c r="CV122" s="230">
        <v>57075750</v>
      </c>
      <c r="CW122" s="230">
        <v>81963000</v>
      </c>
      <c r="CX122" s="230">
        <v>-24887250</v>
      </c>
      <c r="CY122" s="229">
        <v>-0.30359999999999998</v>
      </c>
      <c r="CZ122" s="228">
        <v>32.590000000000003</v>
      </c>
      <c r="DA122" s="228">
        <v>32.67</v>
      </c>
      <c r="DB122" s="228">
        <v>-0.08</v>
      </c>
      <c r="DC122" s="228">
        <v>-0.08</v>
      </c>
      <c r="DD122" s="228">
        <v>40.880000000000003</v>
      </c>
      <c r="DE122" s="228">
        <v>40.94</v>
      </c>
      <c r="DF122" s="228">
        <v>-8.2899999999999991</v>
      </c>
      <c r="DG122" s="228">
        <v>-0.06</v>
      </c>
      <c r="DH122" s="228">
        <v>32.56</v>
      </c>
      <c r="DI122" s="228">
        <v>33.369999999999997</v>
      </c>
      <c r="DJ122" s="228">
        <v>-0.81</v>
      </c>
      <c r="DK122" s="228">
        <v>-0.81</v>
      </c>
      <c r="DL122" s="228">
        <v>32.72</v>
      </c>
      <c r="DM122" s="228">
        <v>31.75</v>
      </c>
      <c r="DN122" s="228">
        <v>0.97</v>
      </c>
      <c r="DO122" s="228">
        <v>0.97</v>
      </c>
      <c r="DP122" s="228">
        <v>0.92</v>
      </c>
      <c r="DQ122" s="228">
        <v>0.69</v>
      </c>
      <c r="DR122" s="228">
        <v>0.23</v>
      </c>
      <c r="DS122" s="229">
        <v>0.33329999999999999</v>
      </c>
      <c r="DT122" s="228">
        <v>300</v>
      </c>
      <c r="DU122" s="228">
        <v>290</v>
      </c>
      <c r="DV122" s="228">
        <v>0.33</v>
      </c>
      <c r="DW122" s="228">
        <v>0.62</v>
      </c>
      <c r="DX122" s="228">
        <v>-0.28999999999999998</v>
      </c>
      <c r="DY122" s="229">
        <v>-0.4677</v>
      </c>
      <c r="DZ122" s="229">
        <v>0.90880000000000005</v>
      </c>
      <c r="EA122" s="230">
        <v>37631250</v>
      </c>
      <c r="EB122" s="229">
        <v>4.7999999999999996E-3</v>
      </c>
      <c r="EC122" s="229">
        <v>0.90880000000000005</v>
      </c>
      <c r="ED122" s="228">
        <v>1.17</v>
      </c>
      <c r="EE122" s="229">
        <v>4.1000000000000003E-3</v>
      </c>
      <c r="EF122" s="230">
        <v>2543812</v>
      </c>
      <c r="EG122" s="230">
        <v>2632572</v>
      </c>
      <c r="EH122" s="229">
        <v>-3.3700000000000001E-2</v>
      </c>
      <c r="EI122" s="229">
        <v>0.53359999999999996</v>
      </c>
      <c r="EJ122" s="231">
        <v>64997.15</v>
      </c>
      <c r="EK122" s="231">
        <v>20376.09</v>
      </c>
      <c r="EL122" s="231">
        <v>47579.28</v>
      </c>
      <c r="EM122" s="231">
        <v>12089</v>
      </c>
      <c r="EN122" s="231">
        <v>132952.51999999999</v>
      </c>
      <c r="EO122" s="231">
        <v>240978.41</v>
      </c>
      <c r="EP122" s="231">
        <v>-108025.89</v>
      </c>
      <c r="EQ122" s="229">
        <v>-0.44829999999999998</v>
      </c>
      <c r="ER122" s="231">
        <v>24878</v>
      </c>
      <c r="ES122" s="231">
        <v>21659</v>
      </c>
      <c r="ET122" s="231">
        <v>115689</v>
      </c>
      <c r="EU122" s="231">
        <v>127514625</v>
      </c>
      <c r="EV122" s="231">
        <v>162225</v>
      </c>
      <c r="EW122" s="231">
        <v>232891</v>
      </c>
      <c r="EX122" s="231">
        <v>-70666</v>
      </c>
      <c r="EY122" s="229">
        <v>-0.3034</v>
      </c>
      <c r="EZ122" s="229">
        <v>0.4476</v>
      </c>
      <c r="FA122" s="227" t="s">
        <v>691</v>
      </c>
      <c r="FB122" s="161">
        <f t="shared" si="1"/>
        <v>36693000</v>
      </c>
    </row>
    <row r="123" spans="1:158" ht="17.25" thickBot="1" x14ac:dyDescent="0.3">
      <c r="A123" s="226">
        <v>46168</v>
      </c>
      <c r="B123" s="227" t="s">
        <v>221</v>
      </c>
      <c r="C123" s="227" t="s">
        <v>690</v>
      </c>
      <c r="D123" s="228">
        <v>150</v>
      </c>
      <c r="E123" s="231">
        <v>3972.6</v>
      </c>
      <c r="F123" s="231">
        <v>3934.4</v>
      </c>
      <c r="G123" s="228">
        <v>38.200000000000003</v>
      </c>
      <c r="H123" s="229">
        <v>9.7000000000000003E-3</v>
      </c>
      <c r="I123" s="231">
        <v>3970.4</v>
      </c>
      <c r="J123" s="231">
        <v>3991.6</v>
      </c>
      <c r="K123" s="228">
        <v>-21.2</v>
      </c>
      <c r="L123" s="229">
        <v>-5.3E-3</v>
      </c>
      <c r="M123" s="231">
        <v>3973.5</v>
      </c>
      <c r="N123" s="231">
        <v>3991.8</v>
      </c>
      <c r="O123" s="228">
        <v>-18.3</v>
      </c>
      <c r="P123" s="229">
        <v>-4.5999999999999999E-3</v>
      </c>
      <c r="Q123" s="231">
        <v>3972.6</v>
      </c>
      <c r="R123" s="231">
        <v>3934.4</v>
      </c>
      <c r="S123" s="228">
        <v>38.200000000000003</v>
      </c>
      <c r="T123" s="229">
        <v>9.7000000000000003E-3</v>
      </c>
      <c r="U123" s="231">
        <v>3957.2</v>
      </c>
      <c r="V123" s="231">
        <v>3922</v>
      </c>
      <c r="W123" s="228">
        <v>35.200000000000003</v>
      </c>
      <c r="X123" s="229">
        <v>8.9999999999999993E-3</v>
      </c>
      <c r="Y123" s="228">
        <v>2.2000000000000002</v>
      </c>
      <c r="Z123" s="228">
        <v>0.2</v>
      </c>
      <c r="AA123" s="228">
        <v>2</v>
      </c>
      <c r="AB123" s="229">
        <v>5.9999999999999995E-4</v>
      </c>
      <c r="AC123" s="228">
        <v>3.1</v>
      </c>
      <c r="AD123" s="228">
        <v>0.2</v>
      </c>
      <c r="AE123" s="228">
        <v>2.9</v>
      </c>
      <c r="AF123" s="229">
        <v>8.0000000000000004E-4</v>
      </c>
      <c r="AG123" s="228">
        <v>2.2000000000000002</v>
      </c>
      <c r="AH123" s="228">
        <v>-57.2</v>
      </c>
      <c r="AI123" s="228">
        <v>59.4</v>
      </c>
      <c r="AJ123" s="229">
        <v>5.9999999999999995E-4</v>
      </c>
      <c r="AK123" s="228">
        <v>-13.2</v>
      </c>
      <c r="AL123" s="228">
        <v>-69.599999999999994</v>
      </c>
      <c r="AM123" s="228">
        <v>56.4</v>
      </c>
      <c r="AN123" s="229">
        <v>-3.3E-3</v>
      </c>
      <c r="AO123" s="231">
        <v>4001.51</v>
      </c>
      <c r="AP123" s="231">
        <v>3964.54</v>
      </c>
      <c r="AQ123" s="228">
        <v>0</v>
      </c>
      <c r="AR123" s="230">
        <v>1403550</v>
      </c>
      <c r="AS123" s="230">
        <v>2344950</v>
      </c>
      <c r="AT123" s="230">
        <v>-941400</v>
      </c>
      <c r="AU123" s="229">
        <v>-0.40150000000000002</v>
      </c>
      <c r="AV123" s="230">
        <v>577950</v>
      </c>
      <c r="AW123" s="230">
        <v>972750</v>
      </c>
      <c r="AX123" s="230">
        <v>-394800</v>
      </c>
      <c r="AY123" s="229">
        <v>-0.40589999999999998</v>
      </c>
      <c r="AZ123" s="230">
        <v>794700</v>
      </c>
      <c r="BA123" s="230">
        <v>1333350</v>
      </c>
      <c r="BB123" s="230">
        <v>-538650</v>
      </c>
      <c r="BC123" s="229">
        <v>-0.40400000000000003</v>
      </c>
      <c r="BD123" s="230">
        <v>30900</v>
      </c>
      <c r="BE123" s="230">
        <v>38850</v>
      </c>
      <c r="BF123" s="230">
        <v>-7950</v>
      </c>
      <c r="BG123" s="229">
        <v>-0.2046</v>
      </c>
      <c r="BH123" s="230">
        <v>2221050</v>
      </c>
      <c r="BI123" s="230">
        <v>4545150</v>
      </c>
      <c r="BJ123" s="230">
        <v>-2324100</v>
      </c>
      <c r="BK123" s="229">
        <v>-0.51129999999999998</v>
      </c>
      <c r="BL123" s="230">
        <v>683550</v>
      </c>
      <c r="BM123" s="230">
        <v>1940700</v>
      </c>
      <c r="BN123" s="230">
        <v>-1257150</v>
      </c>
      <c r="BO123" s="229">
        <v>-0.64780000000000004</v>
      </c>
      <c r="BP123" s="230">
        <v>4308150</v>
      </c>
      <c r="BQ123" s="230">
        <v>8830800</v>
      </c>
      <c r="BR123" s="230">
        <v>-4522650</v>
      </c>
      <c r="BS123" s="229">
        <v>-0.5121</v>
      </c>
      <c r="BT123" s="230">
        <v>333239</v>
      </c>
      <c r="BU123" s="230">
        <v>541005</v>
      </c>
      <c r="BV123" s="230">
        <v>-207766</v>
      </c>
      <c r="BW123" s="229">
        <v>-0.38400000000000001</v>
      </c>
      <c r="BX123" s="230">
        <v>3776550</v>
      </c>
      <c r="BY123" s="230">
        <v>4472100</v>
      </c>
      <c r="BZ123" s="230">
        <v>-695550</v>
      </c>
      <c r="CA123" s="229">
        <v>-0.1555</v>
      </c>
      <c r="CB123" s="230">
        <v>368100</v>
      </c>
      <c r="CC123" s="230">
        <v>717150</v>
      </c>
      <c r="CD123" s="230">
        <v>-349050</v>
      </c>
      <c r="CE123" s="229">
        <v>-0.48670000000000002</v>
      </c>
      <c r="CF123" s="230">
        <v>3684750</v>
      </c>
      <c r="CG123" s="230">
        <v>3674700</v>
      </c>
      <c r="CH123" s="230">
        <v>10050</v>
      </c>
      <c r="CI123" s="229">
        <v>2.7000000000000001E-3</v>
      </c>
      <c r="CJ123" s="230">
        <v>91800</v>
      </c>
      <c r="CK123" s="230">
        <v>80250</v>
      </c>
      <c r="CL123" s="230">
        <v>11550</v>
      </c>
      <c r="CM123" s="229">
        <v>0.1439</v>
      </c>
      <c r="CN123" s="230">
        <v>641100</v>
      </c>
      <c r="CO123" s="230">
        <v>1790700</v>
      </c>
      <c r="CP123" s="230">
        <v>-1149600</v>
      </c>
      <c r="CQ123" s="229">
        <v>-0.64200000000000002</v>
      </c>
      <c r="CR123" s="230">
        <v>463650</v>
      </c>
      <c r="CS123" s="230">
        <v>959850</v>
      </c>
      <c r="CT123" s="230">
        <v>-496200</v>
      </c>
      <c r="CU123" s="229">
        <v>-0.51700000000000002</v>
      </c>
      <c r="CV123" s="230">
        <v>4881300</v>
      </c>
      <c r="CW123" s="230">
        <v>7222650</v>
      </c>
      <c r="CX123" s="230">
        <v>-2341350</v>
      </c>
      <c r="CY123" s="229">
        <v>-0.32419999999999999</v>
      </c>
      <c r="CZ123" s="228">
        <v>31.52</v>
      </c>
      <c r="DA123" s="228">
        <v>32.89</v>
      </c>
      <c r="DB123" s="228">
        <v>-1.37</v>
      </c>
      <c r="DC123" s="228">
        <v>-1.37</v>
      </c>
      <c r="DD123" s="228">
        <v>37.42</v>
      </c>
      <c r="DE123" s="228">
        <v>37.5</v>
      </c>
      <c r="DF123" s="228">
        <v>-5.9</v>
      </c>
      <c r="DG123" s="228">
        <v>-0.08</v>
      </c>
      <c r="DH123" s="228">
        <v>31.76</v>
      </c>
      <c r="DI123" s="228">
        <v>33.270000000000003</v>
      </c>
      <c r="DJ123" s="228">
        <v>-1.51</v>
      </c>
      <c r="DK123" s="228">
        <v>-1.51</v>
      </c>
      <c r="DL123" s="228">
        <v>30.7</v>
      </c>
      <c r="DM123" s="228">
        <v>31.81</v>
      </c>
      <c r="DN123" s="228">
        <v>-1.1100000000000001</v>
      </c>
      <c r="DO123" s="228">
        <v>-1.1100000000000001</v>
      </c>
      <c r="DP123" s="228">
        <v>0.72</v>
      </c>
      <c r="DQ123" s="228">
        <v>0.54</v>
      </c>
      <c r="DR123" s="228">
        <v>0.18</v>
      </c>
      <c r="DS123" s="229">
        <v>0.33329999999999999</v>
      </c>
      <c r="DT123" s="231">
        <v>4000</v>
      </c>
      <c r="DU123" s="231">
        <v>4000</v>
      </c>
      <c r="DV123" s="228">
        <v>0.31</v>
      </c>
      <c r="DW123" s="228">
        <v>0.43</v>
      </c>
      <c r="DX123" s="228">
        <v>-0.12</v>
      </c>
      <c r="DY123" s="229">
        <v>-0.27910000000000001</v>
      </c>
      <c r="DZ123" s="229">
        <v>0.91120000000000001</v>
      </c>
      <c r="EA123" s="230">
        <v>3754950</v>
      </c>
      <c r="EB123" s="229">
        <v>-2.0000000000000001E-4</v>
      </c>
      <c r="EC123" s="229">
        <v>0.91120000000000001</v>
      </c>
      <c r="ED123" s="228">
        <v>-36.97</v>
      </c>
      <c r="EE123" s="229">
        <v>-9.1999999999999998E-3</v>
      </c>
      <c r="EF123" s="230">
        <v>110542</v>
      </c>
      <c r="EG123" s="230">
        <v>164031</v>
      </c>
      <c r="EH123" s="229">
        <v>-0.3261</v>
      </c>
      <c r="EI123" s="229">
        <v>0.33169999999999999</v>
      </c>
      <c r="EJ123" s="231">
        <v>93760.63</v>
      </c>
      <c r="EK123" s="231">
        <v>27920.42</v>
      </c>
      <c r="EL123" s="231">
        <v>55852.41</v>
      </c>
      <c r="EM123" s="231">
        <v>14229</v>
      </c>
      <c r="EN123" s="231">
        <v>177533.46</v>
      </c>
      <c r="EO123" s="231">
        <v>359397.82</v>
      </c>
      <c r="EP123" s="231">
        <v>-181864.36</v>
      </c>
      <c r="EQ123" s="229">
        <v>-0.50600000000000001</v>
      </c>
      <c r="ER123" s="231">
        <v>27054</v>
      </c>
      <c r="ES123" s="231">
        <v>18444</v>
      </c>
      <c r="ET123" s="231">
        <v>150013</v>
      </c>
      <c r="EU123" s="231">
        <v>12564965</v>
      </c>
      <c r="EV123" s="231">
        <v>195511</v>
      </c>
      <c r="EW123" s="231">
        <v>292351</v>
      </c>
      <c r="EX123" s="231">
        <v>-96840</v>
      </c>
      <c r="EY123" s="229">
        <v>-0.33119999999999999</v>
      </c>
      <c r="EZ123" s="229">
        <v>0.38850000000000001</v>
      </c>
      <c r="FA123" s="227" t="s">
        <v>691</v>
      </c>
      <c r="FB123" s="161">
        <f t="shared" si="1"/>
        <v>3408450</v>
      </c>
    </row>
    <row r="124" spans="1:158" ht="17.25" thickBot="1" x14ac:dyDescent="0.3">
      <c r="A124" s="226">
        <v>46168</v>
      </c>
      <c r="B124" s="227" t="s">
        <v>170</v>
      </c>
      <c r="C124" s="227" t="s">
        <v>250</v>
      </c>
      <c r="D124" s="228">
        <v>425</v>
      </c>
      <c r="E124" s="231">
        <v>2279.3000000000002</v>
      </c>
      <c r="F124" s="231">
        <v>2289.4</v>
      </c>
      <c r="G124" s="228">
        <v>-10.1</v>
      </c>
      <c r="H124" s="229">
        <v>-4.4000000000000003E-3</v>
      </c>
      <c r="I124" s="231">
        <v>2266</v>
      </c>
      <c r="J124" s="231">
        <v>2287.1999999999998</v>
      </c>
      <c r="K124" s="228">
        <v>-21.2</v>
      </c>
      <c r="L124" s="229">
        <v>-9.2999999999999992E-3</v>
      </c>
      <c r="M124" s="231">
        <v>2260.1999999999998</v>
      </c>
      <c r="N124" s="231">
        <v>2278.8000000000002</v>
      </c>
      <c r="O124" s="228">
        <v>-18.600000000000001</v>
      </c>
      <c r="P124" s="229">
        <v>-8.2000000000000007E-3</v>
      </c>
      <c r="Q124" s="231">
        <v>2279.3000000000002</v>
      </c>
      <c r="R124" s="231">
        <v>2289.4</v>
      </c>
      <c r="S124" s="228">
        <v>-10.1</v>
      </c>
      <c r="T124" s="229">
        <v>-4.4000000000000003E-3</v>
      </c>
      <c r="U124" s="231">
        <v>2275.1999999999998</v>
      </c>
      <c r="V124" s="231">
        <v>2284.6</v>
      </c>
      <c r="W124" s="228">
        <v>-9.4</v>
      </c>
      <c r="X124" s="229">
        <v>-4.1000000000000003E-3</v>
      </c>
      <c r="Y124" s="228">
        <v>13.3</v>
      </c>
      <c r="Z124" s="228">
        <v>-8.4</v>
      </c>
      <c r="AA124" s="228">
        <v>21.7</v>
      </c>
      <c r="AB124" s="229">
        <v>5.8999999999999999E-3</v>
      </c>
      <c r="AC124" s="228">
        <v>-5.8</v>
      </c>
      <c r="AD124" s="228">
        <v>-8.4</v>
      </c>
      <c r="AE124" s="228">
        <v>2.6</v>
      </c>
      <c r="AF124" s="229">
        <v>-2.5999999999999999E-3</v>
      </c>
      <c r="AG124" s="228">
        <v>13.3</v>
      </c>
      <c r="AH124" s="228">
        <v>2.2000000000000002</v>
      </c>
      <c r="AI124" s="228">
        <v>11.1</v>
      </c>
      <c r="AJ124" s="229">
        <v>5.8999999999999999E-3</v>
      </c>
      <c r="AK124" s="228">
        <v>9.1999999999999993</v>
      </c>
      <c r="AL124" s="228">
        <v>-2.6</v>
      </c>
      <c r="AM124" s="228">
        <v>11.8</v>
      </c>
      <c r="AN124" s="229">
        <v>4.1000000000000003E-3</v>
      </c>
      <c r="AO124" s="231">
        <v>2257.58</v>
      </c>
      <c r="AP124" s="231">
        <v>2276.3200000000002</v>
      </c>
      <c r="AQ124" s="228">
        <v>0</v>
      </c>
      <c r="AR124" s="230">
        <v>4420000</v>
      </c>
      <c r="AS124" s="230">
        <v>4159475</v>
      </c>
      <c r="AT124" s="230">
        <v>260525</v>
      </c>
      <c r="AU124" s="229">
        <v>6.2600000000000003E-2</v>
      </c>
      <c r="AV124" s="230">
        <v>2154750</v>
      </c>
      <c r="AW124" s="230">
        <v>1922275</v>
      </c>
      <c r="AX124" s="230">
        <v>232475</v>
      </c>
      <c r="AY124" s="229">
        <v>0.12089999999999999</v>
      </c>
      <c r="AZ124" s="230">
        <v>2226575</v>
      </c>
      <c r="BA124" s="230">
        <v>2093125</v>
      </c>
      <c r="BB124" s="230">
        <v>133450</v>
      </c>
      <c r="BC124" s="229">
        <v>6.3799999999999996E-2</v>
      </c>
      <c r="BD124" s="230">
        <v>38675</v>
      </c>
      <c r="BE124" s="230">
        <v>144075</v>
      </c>
      <c r="BF124" s="230">
        <v>-105400</v>
      </c>
      <c r="BG124" s="229">
        <v>-0.73160000000000003</v>
      </c>
      <c r="BH124" s="230">
        <v>3868350</v>
      </c>
      <c r="BI124" s="230">
        <v>7437925</v>
      </c>
      <c r="BJ124" s="230">
        <v>-3569575</v>
      </c>
      <c r="BK124" s="229">
        <v>-0.47989999999999999</v>
      </c>
      <c r="BL124" s="230">
        <v>1559325</v>
      </c>
      <c r="BM124" s="230">
        <v>2658375</v>
      </c>
      <c r="BN124" s="230">
        <v>-1099050</v>
      </c>
      <c r="BO124" s="229">
        <v>-0.41339999999999999</v>
      </c>
      <c r="BP124" s="230">
        <v>9847675</v>
      </c>
      <c r="BQ124" s="230">
        <v>14255775</v>
      </c>
      <c r="BR124" s="230">
        <v>-4408100</v>
      </c>
      <c r="BS124" s="229">
        <v>-0.30919999999999997</v>
      </c>
      <c r="BT124" s="230">
        <v>918809</v>
      </c>
      <c r="BU124" s="230">
        <v>788284</v>
      </c>
      <c r="BV124" s="230">
        <v>130525</v>
      </c>
      <c r="BW124" s="229">
        <v>0.1656</v>
      </c>
      <c r="BX124" s="230">
        <v>6936000</v>
      </c>
      <c r="BY124" s="230">
        <v>8194000</v>
      </c>
      <c r="BZ124" s="230">
        <v>-1258000</v>
      </c>
      <c r="CA124" s="229">
        <v>-0.1535</v>
      </c>
      <c r="CB124" s="230">
        <v>2181950</v>
      </c>
      <c r="CC124" s="230">
        <v>2215950</v>
      </c>
      <c r="CD124" s="230">
        <v>-34000</v>
      </c>
      <c r="CE124" s="229">
        <v>-1.5299999999999999E-2</v>
      </c>
      <c r="CF124" s="230">
        <v>6687800</v>
      </c>
      <c r="CG124" s="230">
        <v>5748975</v>
      </c>
      <c r="CH124" s="230">
        <v>938825</v>
      </c>
      <c r="CI124" s="229">
        <v>0.1633</v>
      </c>
      <c r="CJ124" s="230">
        <v>248200</v>
      </c>
      <c r="CK124" s="230">
        <v>229075</v>
      </c>
      <c r="CL124" s="230">
        <v>19125</v>
      </c>
      <c r="CM124" s="229">
        <v>8.3500000000000005E-2</v>
      </c>
      <c r="CN124" s="230">
        <v>1155150</v>
      </c>
      <c r="CO124" s="230">
        <v>7243700</v>
      </c>
      <c r="CP124" s="230">
        <v>-6088550</v>
      </c>
      <c r="CQ124" s="229">
        <v>-0.84050000000000002</v>
      </c>
      <c r="CR124" s="230">
        <v>937550</v>
      </c>
      <c r="CS124" s="230">
        <v>3612925</v>
      </c>
      <c r="CT124" s="230">
        <v>-2675375</v>
      </c>
      <c r="CU124" s="229">
        <v>-0.74050000000000005</v>
      </c>
      <c r="CV124" s="230">
        <v>9028700</v>
      </c>
      <c r="CW124" s="230">
        <v>19050625</v>
      </c>
      <c r="CX124" s="230">
        <v>-10021925</v>
      </c>
      <c r="CY124" s="229">
        <v>-0.52610000000000001</v>
      </c>
      <c r="CZ124" s="228">
        <v>22.78</v>
      </c>
      <c r="DA124" s="228">
        <v>23.13</v>
      </c>
      <c r="DB124" s="228">
        <v>-0.35</v>
      </c>
      <c r="DC124" s="228">
        <v>-0.35</v>
      </c>
      <c r="DD124" s="228">
        <v>28.82</v>
      </c>
      <c r="DE124" s="228">
        <v>28.88</v>
      </c>
      <c r="DF124" s="228">
        <v>-6.04</v>
      </c>
      <c r="DG124" s="228">
        <v>-0.06</v>
      </c>
      <c r="DH124" s="228">
        <v>22.61</v>
      </c>
      <c r="DI124" s="228">
        <v>22.95</v>
      </c>
      <c r="DJ124" s="228">
        <v>-0.34</v>
      </c>
      <c r="DK124" s="228">
        <v>-0.34</v>
      </c>
      <c r="DL124" s="228">
        <v>23.02</v>
      </c>
      <c r="DM124" s="228">
        <v>23.38</v>
      </c>
      <c r="DN124" s="228">
        <v>-0.36</v>
      </c>
      <c r="DO124" s="228">
        <v>-0.36</v>
      </c>
      <c r="DP124" s="228">
        <v>0.81</v>
      </c>
      <c r="DQ124" s="228">
        <v>0.5</v>
      </c>
      <c r="DR124" s="228">
        <v>0.31</v>
      </c>
      <c r="DS124" s="229">
        <v>0.62</v>
      </c>
      <c r="DT124" s="231">
        <v>2500</v>
      </c>
      <c r="DU124" s="231">
        <v>2400</v>
      </c>
      <c r="DV124" s="228">
        <v>0.4</v>
      </c>
      <c r="DW124" s="228">
        <v>0.36</v>
      </c>
      <c r="DX124" s="228">
        <v>0.04</v>
      </c>
      <c r="DY124" s="229">
        <v>0.1111</v>
      </c>
      <c r="DZ124" s="229">
        <v>0.76070000000000004</v>
      </c>
      <c r="EA124" s="230">
        <v>5978050</v>
      </c>
      <c r="EB124" s="229">
        <v>8.5000000000000006E-3</v>
      </c>
      <c r="EC124" s="229">
        <v>0.76070000000000004</v>
      </c>
      <c r="ED124" s="228">
        <v>18.739999999999998</v>
      </c>
      <c r="EE124" s="229">
        <v>8.3000000000000001E-3</v>
      </c>
      <c r="EF124" s="230">
        <v>492078</v>
      </c>
      <c r="EG124" s="230">
        <v>394301</v>
      </c>
      <c r="EH124" s="229">
        <v>0.248</v>
      </c>
      <c r="EI124" s="229">
        <v>0.53559999999999997</v>
      </c>
      <c r="EJ124" s="231">
        <v>92966.03</v>
      </c>
      <c r="EK124" s="231">
        <v>35838.99</v>
      </c>
      <c r="EL124" s="231">
        <v>100207.79</v>
      </c>
      <c r="EM124" s="231">
        <v>9603</v>
      </c>
      <c r="EN124" s="231">
        <v>229012.81</v>
      </c>
      <c r="EO124" s="231">
        <v>331143.26</v>
      </c>
      <c r="EP124" s="231">
        <v>-102130.45</v>
      </c>
      <c r="EQ124" s="229">
        <v>-0.30840000000000001</v>
      </c>
      <c r="ER124" s="231">
        <v>27441</v>
      </c>
      <c r="ES124" s="231">
        <v>20851</v>
      </c>
      <c r="ET124" s="231">
        <v>158082</v>
      </c>
      <c r="EU124" s="231">
        <v>32222448</v>
      </c>
      <c r="EV124" s="231">
        <v>206374</v>
      </c>
      <c r="EW124" s="231">
        <v>446040</v>
      </c>
      <c r="EX124" s="231">
        <v>-239666</v>
      </c>
      <c r="EY124" s="229">
        <v>-0.5373</v>
      </c>
      <c r="EZ124" s="229">
        <v>0.2802</v>
      </c>
      <c r="FA124" s="227" t="s">
        <v>567</v>
      </c>
      <c r="FB124" s="161">
        <f t="shared" si="1"/>
        <v>4754050</v>
      </c>
    </row>
    <row r="125" spans="1:158" ht="17.25" thickBot="1" x14ac:dyDescent="0.3">
      <c r="A125" s="226">
        <v>46168</v>
      </c>
      <c r="B125" s="227" t="s">
        <v>162</v>
      </c>
      <c r="C125" s="227" t="s">
        <v>251</v>
      </c>
      <c r="D125" s="228">
        <v>200</v>
      </c>
      <c r="E125" s="231">
        <v>3127.8</v>
      </c>
      <c r="F125" s="231">
        <v>3163.9</v>
      </c>
      <c r="G125" s="228">
        <v>-36.1</v>
      </c>
      <c r="H125" s="229">
        <v>-1.14E-2</v>
      </c>
      <c r="I125" s="231">
        <v>3107.3</v>
      </c>
      <c r="J125" s="231">
        <v>3139</v>
      </c>
      <c r="K125" s="228">
        <v>-31.7</v>
      </c>
      <c r="L125" s="229">
        <v>-1.01E-2</v>
      </c>
      <c r="M125" s="231">
        <v>3102.4</v>
      </c>
      <c r="N125" s="231">
        <v>3145.6</v>
      </c>
      <c r="O125" s="228">
        <v>-43.2</v>
      </c>
      <c r="P125" s="229">
        <v>-1.37E-2</v>
      </c>
      <c r="Q125" s="231">
        <v>3127.8</v>
      </c>
      <c r="R125" s="231">
        <v>3163.9</v>
      </c>
      <c r="S125" s="228">
        <v>-36.1</v>
      </c>
      <c r="T125" s="229">
        <v>-1.14E-2</v>
      </c>
      <c r="U125" s="231">
        <v>3114.2</v>
      </c>
      <c r="V125" s="231">
        <v>3149.6</v>
      </c>
      <c r="W125" s="228">
        <v>-35.4</v>
      </c>
      <c r="X125" s="229">
        <v>-1.12E-2</v>
      </c>
      <c r="Y125" s="228">
        <v>20.5</v>
      </c>
      <c r="Z125" s="228">
        <v>6.6</v>
      </c>
      <c r="AA125" s="228">
        <v>13.9</v>
      </c>
      <c r="AB125" s="229">
        <v>6.6E-3</v>
      </c>
      <c r="AC125" s="228">
        <v>-4.9000000000000004</v>
      </c>
      <c r="AD125" s="228">
        <v>6.6</v>
      </c>
      <c r="AE125" s="228">
        <v>-11.5</v>
      </c>
      <c r="AF125" s="229">
        <v>-1.6000000000000001E-3</v>
      </c>
      <c r="AG125" s="228">
        <v>20.5</v>
      </c>
      <c r="AH125" s="228">
        <v>24.9</v>
      </c>
      <c r="AI125" s="228">
        <v>-4.4000000000000004</v>
      </c>
      <c r="AJ125" s="229">
        <v>6.6E-3</v>
      </c>
      <c r="AK125" s="228">
        <v>6.9</v>
      </c>
      <c r="AL125" s="228">
        <v>10.6</v>
      </c>
      <c r="AM125" s="228">
        <v>-3.7</v>
      </c>
      <c r="AN125" s="229">
        <v>2.2000000000000001E-3</v>
      </c>
      <c r="AO125" s="231">
        <v>3124.23</v>
      </c>
      <c r="AP125" s="231">
        <v>3144.29</v>
      </c>
      <c r="AQ125" s="228">
        <v>0</v>
      </c>
      <c r="AR125" s="230">
        <v>3878200</v>
      </c>
      <c r="AS125" s="230">
        <v>9149600</v>
      </c>
      <c r="AT125" s="230">
        <v>-5271400</v>
      </c>
      <c r="AU125" s="229">
        <v>-0.57609999999999995</v>
      </c>
      <c r="AV125" s="230">
        <v>1529200</v>
      </c>
      <c r="AW125" s="230">
        <v>4224800</v>
      </c>
      <c r="AX125" s="230">
        <v>-2695600</v>
      </c>
      <c r="AY125" s="229">
        <v>-0.63800000000000001</v>
      </c>
      <c r="AZ125" s="230">
        <v>2190000</v>
      </c>
      <c r="BA125" s="230">
        <v>4722600</v>
      </c>
      <c r="BB125" s="230">
        <v>-2532600</v>
      </c>
      <c r="BC125" s="229">
        <v>-0.5363</v>
      </c>
      <c r="BD125" s="230">
        <v>159000</v>
      </c>
      <c r="BE125" s="230">
        <v>202200</v>
      </c>
      <c r="BF125" s="230">
        <v>-43200</v>
      </c>
      <c r="BG125" s="229">
        <v>-0.21360000000000001</v>
      </c>
      <c r="BH125" s="230">
        <v>6581400</v>
      </c>
      <c r="BI125" s="230">
        <v>12551000</v>
      </c>
      <c r="BJ125" s="230">
        <v>-5969600</v>
      </c>
      <c r="BK125" s="229">
        <v>-0.47560000000000002</v>
      </c>
      <c r="BL125" s="230">
        <v>3574800</v>
      </c>
      <c r="BM125" s="230">
        <v>6155200</v>
      </c>
      <c r="BN125" s="230">
        <v>-2580400</v>
      </c>
      <c r="BO125" s="229">
        <v>-0.41920000000000002</v>
      </c>
      <c r="BP125" s="230">
        <v>14034400</v>
      </c>
      <c r="BQ125" s="230">
        <v>27855800</v>
      </c>
      <c r="BR125" s="230">
        <v>-13821400</v>
      </c>
      <c r="BS125" s="229">
        <v>-0.49619999999999997</v>
      </c>
      <c r="BT125" s="230">
        <v>1894297</v>
      </c>
      <c r="BU125" s="230">
        <v>2792449</v>
      </c>
      <c r="BV125" s="230">
        <v>-898152</v>
      </c>
      <c r="BW125" s="229">
        <v>-0.3216</v>
      </c>
      <c r="BX125" s="230">
        <v>18404800</v>
      </c>
      <c r="BY125" s="230">
        <v>18867400</v>
      </c>
      <c r="BZ125" s="230">
        <v>-462600</v>
      </c>
      <c r="CA125" s="229">
        <v>-2.4500000000000001E-2</v>
      </c>
      <c r="CB125" s="230">
        <v>615600</v>
      </c>
      <c r="CC125" s="230">
        <v>1510400</v>
      </c>
      <c r="CD125" s="230">
        <v>-894800</v>
      </c>
      <c r="CE125" s="229">
        <v>-0.59240000000000004</v>
      </c>
      <c r="CF125" s="230">
        <v>15988400</v>
      </c>
      <c r="CG125" s="230">
        <v>15050400</v>
      </c>
      <c r="CH125" s="230">
        <v>938000</v>
      </c>
      <c r="CI125" s="229">
        <v>6.2300000000000001E-2</v>
      </c>
      <c r="CJ125" s="230">
        <v>2416400</v>
      </c>
      <c r="CK125" s="230">
        <v>2306600</v>
      </c>
      <c r="CL125" s="230">
        <v>109800</v>
      </c>
      <c r="CM125" s="229">
        <v>4.7600000000000003E-2</v>
      </c>
      <c r="CN125" s="230">
        <v>2809200</v>
      </c>
      <c r="CO125" s="230">
        <v>5832600</v>
      </c>
      <c r="CP125" s="230">
        <v>-3023400</v>
      </c>
      <c r="CQ125" s="229">
        <v>-0.51839999999999997</v>
      </c>
      <c r="CR125" s="230">
        <v>2369600</v>
      </c>
      <c r="CS125" s="230">
        <v>5147000</v>
      </c>
      <c r="CT125" s="230">
        <v>-2777400</v>
      </c>
      <c r="CU125" s="229">
        <v>-0.53959999999999997</v>
      </c>
      <c r="CV125" s="230">
        <v>23583600</v>
      </c>
      <c r="CW125" s="230">
        <v>29847000</v>
      </c>
      <c r="CX125" s="230">
        <v>-6263400</v>
      </c>
      <c r="CY125" s="229">
        <v>-0.2099</v>
      </c>
      <c r="CZ125" s="228">
        <v>26.62</v>
      </c>
      <c r="DA125" s="228">
        <v>27.54</v>
      </c>
      <c r="DB125" s="228">
        <v>-0.92</v>
      </c>
      <c r="DC125" s="228">
        <v>-0.92</v>
      </c>
      <c r="DD125" s="228">
        <v>35.54</v>
      </c>
      <c r="DE125" s="228">
        <v>35.61</v>
      </c>
      <c r="DF125" s="228">
        <v>-8.92</v>
      </c>
      <c r="DG125" s="228">
        <v>-7.0000000000000007E-2</v>
      </c>
      <c r="DH125" s="228">
        <v>26.54</v>
      </c>
      <c r="DI125" s="228">
        <v>27.5</v>
      </c>
      <c r="DJ125" s="228">
        <v>-0.96</v>
      </c>
      <c r="DK125" s="228">
        <v>-0.96</v>
      </c>
      <c r="DL125" s="228">
        <v>26.8</v>
      </c>
      <c r="DM125" s="228">
        <v>27.61</v>
      </c>
      <c r="DN125" s="228">
        <v>-0.81</v>
      </c>
      <c r="DO125" s="228">
        <v>-0.81</v>
      </c>
      <c r="DP125" s="228">
        <v>0.84</v>
      </c>
      <c r="DQ125" s="228">
        <v>0.88</v>
      </c>
      <c r="DR125" s="228">
        <v>-0.04</v>
      </c>
      <c r="DS125" s="229">
        <v>-4.5499999999999999E-2</v>
      </c>
      <c r="DT125" s="231">
        <v>3200</v>
      </c>
      <c r="DU125" s="231">
        <v>3100</v>
      </c>
      <c r="DV125" s="228">
        <v>0.54</v>
      </c>
      <c r="DW125" s="228">
        <v>0.49</v>
      </c>
      <c r="DX125" s="228">
        <v>0.05</v>
      </c>
      <c r="DY125" s="229">
        <v>0.10199999999999999</v>
      </c>
      <c r="DZ125" s="229">
        <v>0.96760000000000002</v>
      </c>
      <c r="EA125" s="230">
        <v>17357000</v>
      </c>
      <c r="EB125" s="229">
        <v>8.2000000000000007E-3</v>
      </c>
      <c r="EC125" s="229">
        <v>0.96760000000000002</v>
      </c>
      <c r="ED125" s="228">
        <v>20.059999999999999</v>
      </c>
      <c r="EE125" s="229">
        <v>6.4000000000000003E-3</v>
      </c>
      <c r="EF125" s="230">
        <v>1015098</v>
      </c>
      <c r="EG125" s="230">
        <v>1525819</v>
      </c>
      <c r="EH125" s="229">
        <v>-0.3347</v>
      </c>
      <c r="EI125" s="229">
        <v>0.53590000000000004</v>
      </c>
      <c r="EJ125" s="231">
        <v>215137.84</v>
      </c>
      <c r="EK125" s="231">
        <v>112259.76</v>
      </c>
      <c r="EL125" s="231">
        <v>121613.38</v>
      </c>
      <c r="EM125" s="231">
        <v>34337</v>
      </c>
      <c r="EN125" s="231">
        <v>449010.98</v>
      </c>
      <c r="EO125" s="231">
        <v>893783.68</v>
      </c>
      <c r="EP125" s="231">
        <v>-444772.7</v>
      </c>
      <c r="EQ125" s="229">
        <v>-0.49759999999999999</v>
      </c>
      <c r="ER125" s="231">
        <v>91322</v>
      </c>
      <c r="ES125" s="231">
        <v>74936</v>
      </c>
      <c r="ET125" s="231">
        <v>575337</v>
      </c>
      <c r="EU125" s="231">
        <v>120808308</v>
      </c>
      <c r="EV125" s="231">
        <v>741595</v>
      </c>
      <c r="EW125" s="231">
        <v>949222</v>
      </c>
      <c r="EX125" s="231">
        <v>-207627</v>
      </c>
      <c r="EY125" s="229">
        <v>-0.21870000000000001</v>
      </c>
      <c r="EZ125" s="229">
        <v>0.19520000000000001</v>
      </c>
      <c r="FA125" s="227" t="s">
        <v>567</v>
      </c>
      <c r="FB125" s="161">
        <f t="shared" si="1"/>
        <v>17789200</v>
      </c>
    </row>
    <row r="126" spans="1:158" ht="17.25" thickBot="1" x14ac:dyDescent="0.3">
      <c r="A126" s="226">
        <v>46168</v>
      </c>
      <c r="B126" s="227" t="s">
        <v>175</v>
      </c>
      <c r="C126" s="227" t="s">
        <v>253</v>
      </c>
      <c r="D126" s="228">
        <v>3000</v>
      </c>
      <c r="E126" s="228">
        <v>332.65</v>
      </c>
      <c r="F126" s="228">
        <v>328.2</v>
      </c>
      <c r="G126" s="228">
        <v>4.45</v>
      </c>
      <c r="H126" s="229">
        <v>1.3599999999999999E-2</v>
      </c>
      <c r="I126" s="228">
        <v>330.25</v>
      </c>
      <c r="J126" s="228">
        <v>325.64999999999998</v>
      </c>
      <c r="K126" s="228">
        <v>4.5999999999999996</v>
      </c>
      <c r="L126" s="229">
        <v>1.41E-2</v>
      </c>
      <c r="M126" s="228">
        <v>330.9</v>
      </c>
      <c r="N126" s="228">
        <v>326.14999999999998</v>
      </c>
      <c r="O126" s="228">
        <v>4.75</v>
      </c>
      <c r="P126" s="229">
        <v>1.46E-2</v>
      </c>
      <c r="Q126" s="228">
        <v>332.65</v>
      </c>
      <c r="R126" s="228">
        <v>328.2</v>
      </c>
      <c r="S126" s="228">
        <v>4.45</v>
      </c>
      <c r="T126" s="229">
        <v>1.3599999999999999E-2</v>
      </c>
      <c r="U126" s="228">
        <v>333.85</v>
      </c>
      <c r="V126" s="228">
        <v>329.85</v>
      </c>
      <c r="W126" s="228">
        <v>4</v>
      </c>
      <c r="X126" s="229">
        <v>1.21E-2</v>
      </c>
      <c r="Y126" s="228">
        <v>2.4</v>
      </c>
      <c r="Z126" s="228">
        <v>0.5</v>
      </c>
      <c r="AA126" s="228">
        <v>1.9</v>
      </c>
      <c r="AB126" s="229">
        <v>7.3000000000000001E-3</v>
      </c>
      <c r="AC126" s="228">
        <v>0.65</v>
      </c>
      <c r="AD126" s="228">
        <v>0.5</v>
      </c>
      <c r="AE126" s="228">
        <v>0.15</v>
      </c>
      <c r="AF126" s="229">
        <v>2E-3</v>
      </c>
      <c r="AG126" s="228">
        <v>2.4</v>
      </c>
      <c r="AH126" s="228">
        <v>2.5499999999999998</v>
      </c>
      <c r="AI126" s="228">
        <v>-0.15</v>
      </c>
      <c r="AJ126" s="229">
        <v>7.3000000000000001E-3</v>
      </c>
      <c r="AK126" s="228">
        <v>3.6</v>
      </c>
      <c r="AL126" s="228">
        <v>4.2</v>
      </c>
      <c r="AM126" s="228">
        <v>-0.6</v>
      </c>
      <c r="AN126" s="229">
        <v>1.09E-2</v>
      </c>
      <c r="AO126" s="228">
        <v>328.38</v>
      </c>
      <c r="AP126" s="228">
        <v>330.96</v>
      </c>
      <c r="AQ126" s="228">
        <v>0</v>
      </c>
      <c r="AR126" s="230">
        <v>19521000</v>
      </c>
      <c r="AS126" s="230">
        <v>24801000</v>
      </c>
      <c r="AT126" s="230">
        <v>-5280000</v>
      </c>
      <c r="AU126" s="229">
        <v>-0.21290000000000001</v>
      </c>
      <c r="AV126" s="230">
        <v>7437000</v>
      </c>
      <c r="AW126" s="230">
        <v>12081000</v>
      </c>
      <c r="AX126" s="230">
        <v>-4644000</v>
      </c>
      <c r="AY126" s="229">
        <v>-0.38440000000000002</v>
      </c>
      <c r="AZ126" s="230">
        <v>11940000</v>
      </c>
      <c r="BA126" s="230">
        <v>12627000</v>
      </c>
      <c r="BB126" s="230">
        <v>-687000</v>
      </c>
      <c r="BC126" s="229">
        <v>-5.4399999999999997E-2</v>
      </c>
      <c r="BD126" s="230">
        <v>144000</v>
      </c>
      <c r="BE126" s="230">
        <v>93000</v>
      </c>
      <c r="BF126" s="230">
        <v>51000</v>
      </c>
      <c r="BG126" s="229">
        <v>0.5484</v>
      </c>
      <c r="BH126" s="230">
        <v>14664000</v>
      </c>
      <c r="BI126" s="230">
        <v>22245000</v>
      </c>
      <c r="BJ126" s="230">
        <v>-7581000</v>
      </c>
      <c r="BK126" s="229">
        <v>-0.34079999999999999</v>
      </c>
      <c r="BL126" s="230">
        <v>6528000</v>
      </c>
      <c r="BM126" s="230">
        <v>10038000</v>
      </c>
      <c r="BN126" s="230">
        <v>-3510000</v>
      </c>
      <c r="BO126" s="229">
        <v>-0.34970000000000001</v>
      </c>
      <c r="BP126" s="230">
        <v>40713000</v>
      </c>
      <c r="BQ126" s="230">
        <v>57084000</v>
      </c>
      <c r="BR126" s="230">
        <v>-16371000</v>
      </c>
      <c r="BS126" s="229">
        <v>-0.2868</v>
      </c>
      <c r="BT126" s="230">
        <v>1980911</v>
      </c>
      <c r="BU126" s="230">
        <v>3315109</v>
      </c>
      <c r="BV126" s="230">
        <v>-1334198</v>
      </c>
      <c r="BW126" s="229">
        <v>-0.40250000000000002</v>
      </c>
      <c r="BX126" s="230">
        <v>47553000</v>
      </c>
      <c r="BY126" s="230">
        <v>53814000</v>
      </c>
      <c r="BZ126" s="230">
        <v>-6261000</v>
      </c>
      <c r="CA126" s="229">
        <v>-0.1163</v>
      </c>
      <c r="CB126" s="230">
        <v>6606000</v>
      </c>
      <c r="CC126" s="230">
        <v>10278000</v>
      </c>
      <c r="CD126" s="230">
        <v>-3672000</v>
      </c>
      <c r="CE126" s="229">
        <v>-0.35730000000000001</v>
      </c>
      <c r="CF126" s="230">
        <v>47358000</v>
      </c>
      <c r="CG126" s="230">
        <v>43398000</v>
      </c>
      <c r="CH126" s="230">
        <v>3960000</v>
      </c>
      <c r="CI126" s="229">
        <v>9.1200000000000003E-2</v>
      </c>
      <c r="CJ126" s="230">
        <v>195000</v>
      </c>
      <c r="CK126" s="230">
        <v>138000</v>
      </c>
      <c r="CL126" s="230">
        <v>57000</v>
      </c>
      <c r="CM126" s="229">
        <v>0.41299999999999998</v>
      </c>
      <c r="CN126" s="230">
        <v>7455000</v>
      </c>
      <c r="CO126" s="230">
        <v>11466000</v>
      </c>
      <c r="CP126" s="230">
        <v>-4011000</v>
      </c>
      <c r="CQ126" s="229">
        <v>-0.3498</v>
      </c>
      <c r="CR126" s="230">
        <v>3507000</v>
      </c>
      <c r="CS126" s="230">
        <v>10179000</v>
      </c>
      <c r="CT126" s="230">
        <v>-6672000</v>
      </c>
      <c r="CU126" s="229">
        <v>-0.65549999999999997</v>
      </c>
      <c r="CV126" s="230">
        <v>58515000</v>
      </c>
      <c r="CW126" s="230">
        <v>75459000</v>
      </c>
      <c r="CX126" s="230">
        <v>-16944000</v>
      </c>
      <c r="CY126" s="229">
        <v>-0.22450000000000001</v>
      </c>
      <c r="CZ126" s="228">
        <v>30.03</v>
      </c>
      <c r="DA126" s="228">
        <v>33.21</v>
      </c>
      <c r="DB126" s="228">
        <v>-3.18</v>
      </c>
      <c r="DC126" s="228">
        <v>-3.18</v>
      </c>
      <c r="DD126" s="228">
        <v>42.75</v>
      </c>
      <c r="DE126" s="228">
        <v>42.82</v>
      </c>
      <c r="DF126" s="228">
        <v>-12.72</v>
      </c>
      <c r="DG126" s="228">
        <v>-7.0000000000000007E-2</v>
      </c>
      <c r="DH126" s="228">
        <v>29.11</v>
      </c>
      <c r="DI126" s="228">
        <v>33.229999999999997</v>
      </c>
      <c r="DJ126" s="228">
        <v>-4.12</v>
      </c>
      <c r="DK126" s="228">
        <v>-4.12</v>
      </c>
      <c r="DL126" s="228">
        <v>32.61</v>
      </c>
      <c r="DM126" s="228">
        <v>33.15</v>
      </c>
      <c r="DN126" s="228">
        <v>-0.54</v>
      </c>
      <c r="DO126" s="228">
        <v>-0.54</v>
      </c>
      <c r="DP126" s="228">
        <v>0.47</v>
      </c>
      <c r="DQ126" s="228">
        <v>0.89</v>
      </c>
      <c r="DR126" s="228">
        <v>-0.42</v>
      </c>
      <c r="DS126" s="229">
        <v>-0.47189999999999999</v>
      </c>
      <c r="DT126" s="228">
        <v>360</v>
      </c>
      <c r="DU126" s="228">
        <v>270</v>
      </c>
      <c r="DV126" s="228">
        <v>0.45</v>
      </c>
      <c r="DW126" s="228">
        <v>0.45</v>
      </c>
      <c r="DX126" s="228">
        <v>0</v>
      </c>
      <c r="DY126" s="229">
        <v>0</v>
      </c>
      <c r="DZ126" s="229">
        <v>0.878</v>
      </c>
      <c r="EA126" s="230">
        <v>43536000</v>
      </c>
      <c r="EB126" s="229">
        <v>5.3E-3</v>
      </c>
      <c r="EC126" s="229">
        <v>0.878</v>
      </c>
      <c r="ED126" s="228">
        <v>2.58</v>
      </c>
      <c r="EE126" s="229">
        <v>7.9000000000000008E-3</v>
      </c>
      <c r="EF126" s="230">
        <v>656349</v>
      </c>
      <c r="EG126" s="230">
        <v>1202642</v>
      </c>
      <c r="EH126" s="229">
        <v>-0.45419999999999999</v>
      </c>
      <c r="EI126" s="229">
        <v>0.33129999999999998</v>
      </c>
      <c r="EJ126" s="231">
        <v>50788.56</v>
      </c>
      <c r="EK126" s="231">
        <v>20384.93</v>
      </c>
      <c r="EL126" s="231">
        <v>64416.2</v>
      </c>
      <c r="EM126" s="231">
        <v>8483</v>
      </c>
      <c r="EN126" s="231">
        <v>135589.69</v>
      </c>
      <c r="EO126" s="231">
        <v>188952.38</v>
      </c>
      <c r="EP126" s="231">
        <v>-53362.69</v>
      </c>
      <c r="EQ126" s="229">
        <v>-0.28239999999999998</v>
      </c>
      <c r="ER126" s="231">
        <v>25343</v>
      </c>
      <c r="ES126" s="231">
        <v>10828</v>
      </c>
      <c r="ET126" s="231">
        <v>158187</v>
      </c>
      <c r="EU126" s="231">
        <v>82205057</v>
      </c>
      <c r="EV126" s="231">
        <v>194359</v>
      </c>
      <c r="EW126" s="231">
        <v>243171</v>
      </c>
      <c r="EX126" s="231">
        <v>-48812</v>
      </c>
      <c r="EY126" s="229">
        <v>-0.20069999999999999</v>
      </c>
      <c r="EZ126" s="229">
        <v>0.71179999999999999</v>
      </c>
      <c r="FA126" s="227" t="s">
        <v>691</v>
      </c>
      <c r="FB126" s="161">
        <f t="shared" si="1"/>
        <v>40947000</v>
      </c>
    </row>
    <row r="127" spans="1:158" ht="17.25" thickBot="1" x14ac:dyDescent="0.3">
      <c r="A127" s="226">
        <v>46168</v>
      </c>
      <c r="B127" s="227" t="s">
        <v>170</v>
      </c>
      <c r="C127" s="227" t="s">
        <v>669</v>
      </c>
      <c r="D127" s="228">
        <v>225</v>
      </c>
      <c r="E127" s="231">
        <v>2440.6</v>
      </c>
      <c r="F127" s="231">
        <v>2473.5</v>
      </c>
      <c r="G127" s="228">
        <v>-32.9</v>
      </c>
      <c r="H127" s="229">
        <v>-1.3299999999999999E-2</v>
      </c>
      <c r="I127" s="231">
        <v>2423.6</v>
      </c>
      <c r="J127" s="231">
        <v>2457.5</v>
      </c>
      <c r="K127" s="228">
        <v>-33.9</v>
      </c>
      <c r="L127" s="229">
        <v>-1.38E-2</v>
      </c>
      <c r="M127" s="231">
        <v>2424.9</v>
      </c>
      <c r="N127" s="231">
        <v>2461.4</v>
      </c>
      <c r="O127" s="228">
        <v>-36.5</v>
      </c>
      <c r="P127" s="229">
        <v>-1.4800000000000001E-2</v>
      </c>
      <c r="Q127" s="231">
        <v>2440.6</v>
      </c>
      <c r="R127" s="231">
        <v>2473.5</v>
      </c>
      <c r="S127" s="228">
        <v>-32.9</v>
      </c>
      <c r="T127" s="229">
        <v>-1.3299999999999999E-2</v>
      </c>
      <c r="U127" s="231">
        <v>2438.1</v>
      </c>
      <c r="V127" s="231">
        <v>2463</v>
      </c>
      <c r="W127" s="228">
        <v>-24.9</v>
      </c>
      <c r="X127" s="229">
        <v>-1.01E-2</v>
      </c>
      <c r="Y127" s="228">
        <v>17</v>
      </c>
      <c r="Z127" s="228">
        <v>3.9</v>
      </c>
      <c r="AA127" s="228">
        <v>13.1</v>
      </c>
      <c r="AB127" s="229">
        <v>7.0000000000000001E-3</v>
      </c>
      <c r="AC127" s="228">
        <v>1.3</v>
      </c>
      <c r="AD127" s="228">
        <v>3.9</v>
      </c>
      <c r="AE127" s="228">
        <v>-2.6</v>
      </c>
      <c r="AF127" s="229">
        <v>5.0000000000000001E-4</v>
      </c>
      <c r="AG127" s="228">
        <v>17</v>
      </c>
      <c r="AH127" s="228">
        <v>16</v>
      </c>
      <c r="AI127" s="228">
        <v>1</v>
      </c>
      <c r="AJ127" s="229">
        <v>7.0000000000000001E-3</v>
      </c>
      <c r="AK127" s="228">
        <v>14.5</v>
      </c>
      <c r="AL127" s="228">
        <v>5.5</v>
      </c>
      <c r="AM127" s="228">
        <v>9</v>
      </c>
      <c r="AN127" s="229">
        <v>6.0000000000000001E-3</v>
      </c>
      <c r="AO127" s="231">
        <v>2427.09</v>
      </c>
      <c r="AP127" s="231">
        <v>2443.85</v>
      </c>
      <c r="AQ127" s="228">
        <v>0</v>
      </c>
      <c r="AR127" s="230">
        <v>1105875</v>
      </c>
      <c r="AS127" s="230">
        <v>2328975</v>
      </c>
      <c r="AT127" s="230">
        <v>-1223100</v>
      </c>
      <c r="AU127" s="229">
        <v>-0.5252</v>
      </c>
      <c r="AV127" s="230">
        <v>457650</v>
      </c>
      <c r="AW127" s="230">
        <v>999450</v>
      </c>
      <c r="AX127" s="230">
        <v>-541800</v>
      </c>
      <c r="AY127" s="229">
        <v>-0.54210000000000003</v>
      </c>
      <c r="AZ127" s="230">
        <v>645300</v>
      </c>
      <c r="BA127" s="230">
        <v>1325925</v>
      </c>
      <c r="BB127" s="230">
        <v>-680625</v>
      </c>
      <c r="BC127" s="229">
        <v>-0.51329999999999998</v>
      </c>
      <c r="BD127" s="230">
        <v>2925</v>
      </c>
      <c r="BE127" s="230">
        <v>3600</v>
      </c>
      <c r="BF127" s="228">
        <v>-675</v>
      </c>
      <c r="BG127" s="229">
        <v>-0.1875</v>
      </c>
      <c r="BH127" s="230">
        <v>937575</v>
      </c>
      <c r="BI127" s="230">
        <v>1753650</v>
      </c>
      <c r="BJ127" s="230">
        <v>-816075</v>
      </c>
      <c r="BK127" s="229">
        <v>-0.46539999999999998</v>
      </c>
      <c r="BL127" s="230">
        <v>915525</v>
      </c>
      <c r="BM127" s="230">
        <v>1294650</v>
      </c>
      <c r="BN127" s="230">
        <v>-379125</v>
      </c>
      <c r="BO127" s="229">
        <v>-0.2928</v>
      </c>
      <c r="BP127" s="230">
        <v>2958975</v>
      </c>
      <c r="BQ127" s="230">
        <v>5377275</v>
      </c>
      <c r="BR127" s="230">
        <v>-2418300</v>
      </c>
      <c r="BS127" s="229">
        <v>-0.44969999999999999</v>
      </c>
      <c r="BT127" s="230">
        <v>1769252</v>
      </c>
      <c r="BU127" s="230">
        <v>666514</v>
      </c>
      <c r="BV127" s="230">
        <v>1102738</v>
      </c>
      <c r="BW127" s="229">
        <v>1.6545000000000001</v>
      </c>
      <c r="BX127" s="230">
        <v>3632675</v>
      </c>
      <c r="BY127" s="230">
        <v>3975250</v>
      </c>
      <c r="BZ127" s="230">
        <v>-342575</v>
      </c>
      <c r="CA127" s="229">
        <v>-8.6199999999999999E-2</v>
      </c>
      <c r="CB127" s="230">
        <v>256500</v>
      </c>
      <c r="CC127" s="230">
        <v>468225</v>
      </c>
      <c r="CD127" s="230">
        <v>-211725</v>
      </c>
      <c r="CE127" s="229">
        <v>-0.45219999999999999</v>
      </c>
      <c r="CF127" s="230">
        <v>3616425</v>
      </c>
      <c r="CG127" s="230">
        <v>3494025</v>
      </c>
      <c r="CH127" s="230">
        <v>122400</v>
      </c>
      <c r="CI127" s="229">
        <v>3.5000000000000003E-2</v>
      </c>
      <c r="CJ127" s="230">
        <v>16250</v>
      </c>
      <c r="CK127" s="230">
        <v>13000</v>
      </c>
      <c r="CL127" s="230">
        <v>3250</v>
      </c>
      <c r="CM127" s="229">
        <v>0.25</v>
      </c>
      <c r="CN127" s="230">
        <v>320850</v>
      </c>
      <c r="CO127" s="230">
        <v>1298475</v>
      </c>
      <c r="CP127" s="230">
        <v>-977625</v>
      </c>
      <c r="CQ127" s="229">
        <v>-0.75290000000000001</v>
      </c>
      <c r="CR127" s="230">
        <v>207600</v>
      </c>
      <c r="CS127" s="230">
        <v>748725</v>
      </c>
      <c r="CT127" s="230">
        <v>-541125</v>
      </c>
      <c r="CU127" s="229">
        <v>-0.72270000000000001</v>
      </c>
      <c r="CV127" s="230">
        <v>4161125</v>
      </c>
      <c r="CW127" s="230">
        <v>6022450</v>
      </c>
      <c r="CX127" s="230">
        <v>-1861325</v>
      </c>
      <c r="CY127" s="229">
        <v>-0.30909999999999999</v>
      </c>
      <c r="CZ127" s="228">
        <v>29.61</v>
      </c>
      <c r="DA127" s="228">
        <v>30.53</v>
      </c>
      <c r="DB127" s="228">
        <v>-0.92</v>
      </c>
      <c r="DC127" s="228">
        <v>-0.92</v>
      </c>
      <c r="DD127" s="228">
        <v>33.9</v>
      </c>
      <c r="DE127" s="228">
        <v>33.93</v>
      </c>
      <c r="DF127" s="228">
        <v>-4.29</v>
      </c>
      <c r="DG127" s="228">
        <v>-0.03</v>
      </c>
      <c r="DH127" s="228">
        <v>29.77</v>
      </c>
      <c r="DI127" s="228">
        <v>30.81</v>
      </c>
      <c r="DJ127" s="228">
        <v>-1.04</v>
      </c>
      <c r="DK127" s="228">
        <v>-1.04</v>
      </c>
      <c r="DL127" s="228">
        <v>29.36</v>
      </c>
      <c r="DM127" s="228">
        <v>30.08</v>
      </c>
      <c r="DN127" s="228">
        <v>-0.72</v>
      </c>
      <c r="DO127" s="228">
        <v>-0.72</v>
      </c>
      <c r="DP127" s="228">
        <v>0.65</v>
      </c>
      <c r="DQ127" s="228">
        <v>0.57999999999999996</v>
      </c>
      <c r="DR127" s="228">
        <v>7.0000000000000007E-2</v>
      </c>
      <c r="DS127" s="229">
        <v>0.1207</v>
      </c>
      <c r="DT127" s="231">
        <v>2600</v>
      </c>
      <c r="DU127" s="231">
        <v>2300</v>
      </c>
      <c r="DV127" s="228">
        <v>0.98</v>
      </c>
      <c r="DW127" s="228">
        <v>0.74</v>
      </c>
      <c r="DX127" s="228">
        <v>0.24</v>
      </c>
      <c r="DY127" s="229">
        <v>0.32429999999999998</v>
      </c>
      <c r="DZ127" s="229">
        <v>0.93400000000000005</v>
      </c>
      <c r="EA127" s="230">
        <v>3507025</v>
      </c>
      <c r="EB127" s="229">
        <v>6.4999999999999997E-3</v>
      </c>
      <c r="EC127" s="229">
        <v>0.93400000000000005</v>
      </c>
      <c r="ED127" s="228">
        <v>16.760000000000002</v>
      </c>
      <c r="EE127" s="229">
        <v>6.8999999999999999E-3</v>
      </c>
      <c r="EF127" s="230">
        <v>1543040</v>
      </c>
      <c r="EG127" s="230">
        <v>370060</v>
      </c>
      <c r="EH127" s="229">
        <v>3.1697000000000002</v>
      </c>
      <c r="EI127" s="229">
        <v>0.87209999999999999</v>
      </c>
      <c r="EJ127" s="231">
        <v>23755.439999999999</v>
      </c>
      <c r="EK127" s="231">
        <v>22250.9</v>
      </c>
      <c r="EL127" s="231">
        <v>26957.17</v>
      </c>
      <c r="EM127" s="231">
        <v>15463</v>
      </c>
      <c r="EN127" s="231">
        <v>72963.509999999995</v>
      </c>
      <c r="EO127" s="231">
        <v>134290.38</v>
      </c>
      <c r="EP127" s="231">
        <v>-61326.87</v>
      </c>
      <c r="EQ127" s="229">
        <v>-0.45669999999999999</v>
      </c>
      <c r="ER127" s="231">
        <v>8317</v>
      </c>
      <c r="ES127" s="231">
        <v>4983</v>
      </c>
      <c r="ET127" s="231">
        <v>88659</v>
      </c>
      <c r="EU127" s="231">
        <v>16926669</v>
      </c>
      <c r="EV127" s="231">
        <v>101959</v>
      </c>
      <c r="EW127" s="231">
        <v>149362</v>
      </c>
      <c r="EX127" s="231">
        <v>-47403</v>
      </c>
      <c r="EY127" s="229">
        <v>-0.31740000000000002</v>
      </c>
      <c r="EZ127" s="229">
        <v>0.24579999999999999</v>
      </c>
      <c r="FA127" s="227" t="s">
        <v>567</v>
      </c>
      <c r="FB127" s="161">
        <f t="shared" si="1"/>
        <v>3376175</v>
      </c>
    </row>
    <row r="128" spans="1:158" ht="17.25" thickBot="1" x14ac:dyDescent="0.3">
      <c r="A128" s="226">
        <v>46168</v>
      </c>
      <c r="B128" s="227" t="s">
        <v>168</v>
      </c>
      <c r="C128" s="227" t="s">
        <v>254</v>
      </c>
      <c r="D128" s="228">
        <v>1200</v>
      </c>
      <c r="E128" s="228">
        <v>834.35</v>
      </c>
      <c r="F128" s="228">
        <v>827.8</v>
      </c>
      <c r="G128" s="228">
        <v>6.55</v>
      </c>
      <c r="H128" s="229">
        <v>7.9000000000000008E-3</v>
      </c>
      <c r="I128" s="228">
        <v>830</v>
      </c>
      <c r="J128" s="228">
        <v>823.35</v>
      </c>
      <c r="K128" s="228">
        <v>6.65</v>
      </c>
      <c r="L128" s="229">
        <v>8.0999999999999996E-3</v>
      </c>
      <c r="M128" s="228">
        <v>830.35</v>
      </c>
      <c r="N128" s="228">
        <v>822.35</v>
      </c>
      <c r="O128" s="228">
        <v>8</v>
      </c>
      <c r="P128" s="229">
        <v>9.7000000000000003E-3</v>
      </c>
      <c r="Q128" s="228">
        <v>834.35</v>
      </c>
      <c r="R128" s="228">
        <v>827.8</v>
      </c>
      <c r="S128" s="228">
        <v>6.55</v>
      </c>
      <c r="T128" s="229">
        <v>7.9000000000000008E-3</v>
      </c>
      <c r="U128" s="228">
        <v>839.3</v>
      </c>
      <c r="V128" s="228">
        <v>831.75</v>
      </c>
      <c r="W128" s="228">
        <v>7.55</v>
      </c>
      <c r="X128" s="229">
        <v>9.1000000000000004E-3</v>
      </c>
      <c r="Y128" s="228">
        <v>4.3499999999999996</v>
      </c>
      <c r="Z128" s="228">
        <v>-1</v>
      </c>
      <c r="AA128" s="228">
        <v>5.35</v>
      </c>
      <c r="AB128" s="229">
        <v>5.1999999999999998E-3</v>
      </c>
      <c r="AC128" s="228">
        <v>0.35</v>
      </c>
      <c r="AD128" s="228">
        <v>-1</v>
      </c>
      <c r="AE128" s="228">
        <v>1.35</v>
      </c>
      <c r="AF128" s="229">
        <v>4.0000000000000002E-4</v>
      </c>
      <c r="AG128" s="228">
        <v>4.3499999999999996</v>
      </c>
      <c r="AH128" s="228">
        <v>4.45</v>
      </c>
      <c r="AI128" s="228">
        <v>-0.1</v>
      </c>
      <c r="AJ128" s="229">
        <v>5.1999999999999998E-3</v>
      </c>
      <c r="AK128" s="228">
        <v>9.3000000000000007</v>
      </c>
      <c r="AL128" s="228">
        <v>8.4</v>
      </c>
      <c r="AM128" s="228">
        <v>0.9</v>
      </c>
      <c r="AN128" s="229">
        <v>1.12E-2</v>
      </c>
      <c r="AO128" s="228">
        <v>829.19</v>
      </c>
      <c r="AP128" s="228">
        <v>833.11</v>
      </c>
      <c r="AQ128" s="228">
        <v>0</v>
      </c>
      <c r="AR128" s="230">
        <v>6564000</v>
      </c>
      <c r="AS128" s="230">
        <v>10527600</v>
      </c>
      <c r="AT128" s="230">
        <v>-3963600</v>
      </c>
      <c r="AU128" s="229">
        <v>-0.3765</v>
      </c>
      <c r="AV128" s="230">
        <v>3346800</v>
      </c>
      <c r="AW128" s="230">
        <v>5420400</v>
      </c>
      <c r="AX128" s="230">
        <v>-2073600</v>
      </c>
      <c r="AY128" s="229">
        <v>-0.3826</v>
      </c>
      <c r="AZ128" s="230">
        <v>3206400</v>
      </c>
      <c r="BA128" s="230">
        <v>5080800</v>
      </c>
      <c r="BB128" s="230">
        <v>-1874400</v>
      </c>
      <c r="BC128" s="229">
        <v>-0.36890000000000001</v>
      </c>
      <c r="BD128" s="230">
        <v>10800</v>
      </c>
      <c r="BE128" s="230">
        <v>26400</v>
      </c>
      <c r="BF128" s="230">
        <v>-15600</v>
      </c>
      <c r="BG128" s="229">
        <v>-0.59089999999999998</v>
      </c>
      <c r="BH128" s="230">
        <v>2107200</v>
      </c>
      <c r="BI128" s="230">
        <v>3541200</v>
      </c>
      <c r="BJ128" s="230">
        <v>-1434000</v>
      </c>
      <c r="BK128" s="229">
        <v>-0.40489999999999998</v>
      </c>
      <c r="BL128" s="230">
        <v>1563600</v>
      </c>
      <c r="BM128" s="230">
        <v>3074400</v>
      </c>
      <c r="BN128" s="230">
        <v>-1510800</v>
      </c>
      <c r="BO128" s="229">
        <v>-0.4914</v>
      </c>
      <c r="BP128" s="230">
        <v>10234800</v>
      </c>
      <c r="BQ128" s="230">
        <v>17143200</v>
      </c>
      <c r="BR128" s="230">
        <v>-6908400</v>
      </c>
      <c r="BS128" s="229">
        <v>-0.40300000000000002</v>
      </c>
      <c r="BT128" s="230">
        <v>2592553</v>
      </c>
      <c r="BU128" s="230">
        <v>1160606</v>
      </c>
      <c r="BV128" s="230">
        <v>1431947</v>
      </c>
      <c r="BW128" s="229">
        <v>1.2338</v>
      </c>
      <c r="BX128" s="230">
        <v>17654400</v>
      </c>
      <c r="BY128" s="230">
        <v>18086400</v>
      </c>
      <c r="BZ128" s="230">
        <v>-432000</v>
      </c>
      <c r="CA128" s="229">
        <v>-2.3900000000000001E-2</v>
      </c>
      <c r="CB128" s="230">
        <v>645600</v>
      </c>
      <c r="CC128" s="230">
        <v>1429200</v>
      </c>
      <c r="CD128" s="230">
        <v>-783600</v>
      </c>
      <c r="CE128" s="229">
        <v>-0.54830000000000001</v>
      </c>
      <c r="CF128" s="230">
        <v>17550000</v>
      </c>
      <c r="CG128" s="230">
        <v>16558800</v>
      </c>
      <c r="CH128" s="230">
        <v>991200</v>
      </c>
      <c r="CI128" s="229">
        <v>5.9900000000000002E-2</v>
      </c>
      <c r="CJ128" s="230">
        <v>104400</v>
      </c>
      <c r="CK128" s="230">
        <v>98400</v>
      </c>
      <c r="CL128" s="230">
        <v>6000</v>
      </c>
      <c r="CM128" s="229">
        <v>6.0999999999999999E-2</v>
      </c>
      <c r="CN128" s="230">
        <v>746400</v>
      </c>
      <c r="CO128" s="230">
        <v>5624400</v>
      </c>
      <c r="CP128" s="230">
        <v>-4878000</v>
      </c>
      <c r="CQ128" s="229">
        <v>-0.86729999999999996</v>
      </c>
      <c r="CR128" s="230">
        <v>663600</v>
      </c>
      <c r="CS128" s="230">
        <v>3884400</v>
      </c>
      <c r="CT128" s="230">
        <v>-3220800</v>
      </c>
      <c r="CU128" s="229">
        <v>-0.82920000000000005</v>
      </c>
      <c r="CV128" s="230">
        <v>19064400</v>
      </c>
      <c r="CW128" s="230">
        <v>27595200</v>
      </c>
      <c r="CX128" s="230">
        <v>-8530800</v>
      </c>
      <c r="CY128" s="229">
        <v>-0.30909999999999999</v>
      </c>
      <c r="CZ128" s="228">
        <v>19.440000000000001</v>
      </c>
      <c r="DA128" s="228">
        <v>20.07</v>
      </c>
      <c r="DB128" s="228">
        <v>-0.63</v>
      </c>
      <c r="DC128" s="228">
        <v>-0.63</v>
      </c>
      <c r="DD128" s="228">
        <v>24.22</v>
      </c>
      <c r="DE128" s="228">
        <v>24.26</v>
      </c>
      <c r="DF128" s="228">
        <v>-4.78</v>
      </c>
      <c r="DG128" s="228">
        <v>-0.04</v>
      </c>
      <c r="DH128" s="228">
        <v>19.239999999999998</v>
      </c>
      <c r="DI128" s="228">
        <v>20.100000000000001</v>
      </c>
      <c r="DJ128" s="228">
        <v>-0.86</v>
      </c>
      <c r="DK128" s="228">
        <v>-0.86</v>
      </c>
      <c r="DL128" s="228">
        <v>19.71</v>
      </c>
      <c r="DM128" s="228">
        <v>20.04</v>
      </c>
      <c r="DN128" s="228">
        <v>-0.33</v>
      </c>
      <c r="DO128" s="228">
        <v>-0.33</v>
      </c>
      <c r="DP128" s="228">
        <v>0.89</v>
      </c>
      <c r="DQ128" s="228">
        <v>0.69</v>
      </c>
      <c r="DR128" s="228">
        <v>0.2</v>
      </c>
      <c r="DS128" s="229">
        <v>0.28989999999999999</v>
      </c>
      <c r="DT128" s="228">
        <v>870</v>
      </c>
      <c r="DU128" s="228">
        <v>790</v>
      </c>
      <c r="DV128" s="228">
        <v>0.74</v>
      </c>
      <c r="DW128" s="228">
        <v>0.87</v>
      </c>
      <c r="DX128" s="228">
        <v>-0.13</v>
      </c>
      <c r="DY128" s="229">
        <v>-0.14940000000000001</v>
      </c>
      <c r="DZ128" s="229">
        <v>0.9647</v>
      </c>
      <c r="EA128" s="230">
        <v>16657200</v>
      </c>
      <c r="EB128" s="229">
        <v>4.7999999999999996E-3</v>
      </c>
      <c r="EC128" s="229">
        <v>0.9647</v>
      </c>
      <c r="ED128" s="228">
        <v>3.92</v>
      </c>
      <c r="EE128" s="229">
        <v>4.7000000000000002E-3</v>
      </c>
      <c r="EF128" s="230">
        <v>1722825</v>
      </c>
      <c r="EG128" s="230">
        <v>647606</v>
      </c>
      <c r="EH128" s="229">
        <v>1.6603000000000001</v>
      </c>
      <c r="EI128" s="229">
        <v>0.66449999999999998</v>
      </c>
      <c r="EJ128" s="231">
        <v>18062.72</v>
      </c>
      <c r="EK128" s="231">
        <v>12733.79</v>
      </c>
      <c r="EL128" s="231">
        <v>54554.6</v>
      </c>
      <c r="EM128" s="231">
        <v>6722</v>
      </c>
      <c r="EN128" s="231">
        <v>85351.11</v>
      </c>
      <c r="EO128" s="231">
        <v>141348.97</v>
      </c>
      <c r="EP128" s="231">
        <v>-55997.86</v>
      </c>
      <c r="EQ128" s="229">
        <v>-0.3962</v>
      </c>
      <c r="ER128" s="231">
        <v>6394</v>
      </c>
      <c r="ES128" s="231">
        <v>5319</v>
      </c>
      <c r="ET128" s="231">
        <v>147305</v>
      </c>
      <c r="EU128" s="231">
        <v>77572761</v>
      </c>
      <c r="EV128" s="231">
        <v>159018</v>
      </c>
      <c r="EW128" s="231">
        <v>227836</v>
      </c>
      <c r="EX128" s="231">
        <v>-68818</v>
      </c>
      <c r="EY128" s="229">
        <v>-0.30209999999999998</v>
      </c>
      <c r="EZ128" s="229">
        <v>0.24579999999999999</v>
      </c>
      <c r="FA128" s="227" t="s">
        <v>691</v>
      </c>
      <c r="FB128" s="161">
        <f t="shared" si="1"/>
        <v>17008800</v>
      </c>
    </row>
    <row r="129" spans="1:158" ht="17.25" thickBot="1" x14ac:dyDescent="0.3">
      <c r="A129" s="226">
        <v>46168</v>
      </c>
      <c r="B129" s="227" t="s">
        <v>162</v>
      </c>
      <c r="C129" s="227" t="s">
        <v>255</v>
      </c>
      <c r="D129" s="228">
        <v>50</v>
      </c>
      <c r="E129" s="231">
        <v>13279</v>
      </c>
      <c r="F129" s="231">
        <v>13270</v>
      </c>
      <c r="G129" s="228">
        <v>9</v>
      </c>
      <c r="H129" s="229">
        <v>6.9999999999999999E-4</v>
      </c>
      <c r="I129" s="231">
        <v>13208</v>
      </c>
      <c r="J129" s="231">
        <v>13170</v>
      </c>
      <c r="K129" s="228">
        <v>38</v>
      </c>
      <c r="L129" s="229">
        <v>2.8999999999999998E-3</v>
      </c>
      <c r="M129" s="231">
        <v>13176</v>
      </c>
      <c r="N129" s="231">
        <v>13181</v>
      </c>
      <c r="O129" s="228">
        <v>-5</v>
      </c>
      <c r="P129" s="229">
        <v>-4.0000000000000002E-4</v>
      </c>
      <c r="Q129" s="231">
        <v>13279</v>
      </c>
      <c r="R129" s="231">
        <v>13270</v>
      </c>
      <c r="S129" s="228">
        <v>9</v>
      </c>
      <c r="T129" s="229">
        <v>6.9999999999999999E-4</v>
      </c>
      <c r="U129" s="231">
        <v>13366</v>
      </c>
      <c r="V129" s="231">
        <v>13348</v>
      </c>
      <c r="W129" s="228">
        <v>18</v>
      </c>
      <c r="X129" s="229">
        <v>1.2999999999999999E-3</v>
      </c>
      <c r="Y129" s="228">
        <v>71</v>
      </c>
      <c r="Z129" s="228">
        <v>11</v>
      </c>
      <c r="AA129" s="228">
        <v>60</v>
      </c>
      <c r="AB129" s="229">
        <v>5.4000000000000003E-3</v>
      </c>
      <c r="AC129" s="228">
        <v>-32</v>
      </c>
      <c r="AD129" s="228">
        <v>11</v>
      </c>
      <c r="AE129" s="228">
        <v>-43</v>
      </c>
      <c r="AF129" s="229">
        <v>-2.3999999999999998E-3</v>
      </c>
      <c r="AG129" s="228">
        <v>71</v>
      </c>
      <c r="AH129" s="228">
        <v>100</v>
      </c>
      <c r="AI129" s="228">
        <v>-29</v>
      </c>
      <c r="AJ129" s="229">
        <v>5.4000000000000003E-3</v>
      </c>
      <c r="AK129" s="228">
        <v>158</v>
      </c>
      <c r="AL129" s="228">
        <v>178</v>
      </c>
      <c r="AM129" s="228">
        <v>-20</v>
      </c>
      <c r="AN129" s="229">
        <v>1.2E-2</v>
      </c>
      <c r="AO129" s="231">
        <v>13223.23</v>
      </c>
      <c r="AP129" s="231">
        <v>13331.49</v>
      </c>
      <c r="AQ129" s="228">
        <v>0</v>
      </c>
      <c r="AR129" s="230">
        <v>668350</v>
      </c>
      <c r="AS129" s="230">
        <v>1722300</v>
      </c>
      <c r="AT129" s="230">
        <v>-1053950</v>
      </c>
      <c r="AU129" s="229">
        <v>-0.6119</v>
      </c>
      <c r="AV129" s="230">
        <v>275350</v>
      </c>
      <c r="AW129" s="230">
        <v>808200</v>
      </c>
      <c r="AX129" s="230">
        <v>-532850</v>
      </c>
      <c r="AY129" s="229">
        <v>-0.6593</v>
      </c>
      <c r="AZ129" s="230">
        <v>386200</v>
      </c>
      <c r="BA129" s="230">
        <v>904700</v>
      </c>
      <c r="BB129" s="230">
        <v>-518500</v>
      </c>
      <c r="BC129" s="229">
        <v>-0.57310000000000005</v>
      </c>
      <c r="BD129" s="230">
        <v>6800</v>
      </c>
      <c r="BE129" s="230">
        <v>9400</v>
      </c>
      <c r="BF129" s="230">
        <v>-2600</v>
      </c>
      <c r="BG129" s="229">
        <v>-0.27660000000000001</v>
      </c>
      <c r="BH129" s="230">
        <v>2940300</v>
      </c>
      <c r="BI129" s="230">
        <v>4502150</v>
      </c>
      <c r="BJ129" s="230">
        <v>-1561850</v>
      </c>
      <c r="BK129" s="229">
        <v>-0.34689999999999999</v>
      </c>
      <c r="BL129" s="230">
        <v>1322400</v>
      </c>
      <c r="BM129" s="230">
        <v>2141300</v>
      </c>
      <c r="BN129" s="230">
        <v>-818900</v>
      </c>
      <c r="BO129" s="229">
        <v>-0.38240000000000002</v>
      </c>
      <c r="BP129" s="230">
        <v>4931050</v>
      </c>
      <c r="BQ129" s="230">
        <v>8365750</v>
      </c>
      <c r="BR129" s="230">
        <v>-3434700</v>
      </c>
      <c r="BS129" s="229">
        <v>-0.41060000000000002</v>
      </c>
      <c r="BT129" s="230">
        <v>272017</v>
      </c>
      <c r="BU129" s="230">
        <v>305602</v>
      </c>
      <c r="BV129" s="230">
        <v>-33585</v>
      </c>
      <c r="BW129" s="229">
        <v>-0.1099</v>
      </c>
      <c r="BX129" s="230">
        <v>3112850</v>
      </c>
      <c r="BY129" s="230">
        <v>3237100</v>
      </c>
      <c r="BZ129" s="230">
        <v>-124250</v>
      </c>
      <c r="CA129" s="229">
        <v>-3.8399999999999997E-2</v>
      </c>
      <c r="CB129" s="230">
        <v>182600</v>
      </c>
      <c r="CC129" s="230">
        <v>272250</v>
      </c>
      <c r="CD129" s="230">
        <v>-89650</v>
      </c>
      <c r="CE129" s="229">
        <v>-0.32929999999999998</v>
      </c>
      <c r="CF129" s="230">
        <v>2848450</v>
      </c>
      <c r="CG129" s="230">
        <v>2701900</v>
      </c>
      <c r="CH129" s="230">
        <v>146550</v>
      </c>
      <c r="CI129" s="229">
        <v>5.4199999999999998E-2</v>
      </c>
      <c r="CJ129" s="230">
        <v>264400</v>
      </c>
      <c r="CK129" s="230">
        <v>262950</v>
      </c>
      <c r="CL129" s="230">
        <v>1450</v>
      </c>
      <c r="CM129" s="229">
        <v>5.4999999999999997E-3</v>
      </c>
      <c r="CN129" s="230">
        <v>539500</v>
      </c>
      <c r="CO129" s="230">
        <v>2499800</v>
      </c>
      <c r="CP129" s="230">
        <v>-1960300</v>
      </c>
      <c r="CQ129" s="229">
        <v>-0.78420000000000001</v>
      </c>
      <c r="CR129" s="230">
        <v>387400</v>
      </c>
      <c r="CS129" s="230">
        <v>1064100</v>
      </c>
      <c r="CT129" s="230">
        <v>-676700</v>
      </c>
      <c r="CU129" s="229">
        <v>-0.63590000000000002</v>
      </c>
      <c r="CV129" s="230">
        <v>4039750</v>
      </c>
      <c r="CW129" s="230">
        <v>6801000</v>
      </c>
      <c r="CX129" s="230">
        <v>-2761250</v>
      </c>
      <c r="CY129" s="229">
        <v>-0.40600000000000003</v>
      </c>
      <c r="CZ129" s="228">
        <v>22.99</v>
      </c>
      <c r="DA129" s="228">
        <v>23.75</v>
      </c>
      <c r="DB129" s="228">
        <v>-0.76</v>
      </c>
      <c r="DC129" s="228">
        <v>-0.76</v>
      </c>
      <c r="DD129" s="228">
        <v>28.52</v>
      </c>
      <c r="DE129" s="228">
        <v>28.59</v>
      </c>
      <c r="DF129" s="228">
        <v>-5.53</v>
      </c>
      <c r="DG129" s="228">
        <v>-7.0000000000000007E-2</v>
      </c>
      <c r="DH129" s="228">
        <v>22.54</v>
      </c>
      <c r="DI129" s="228">
        <v>23.68</v>
      </c>
      <c r="DJ129" s="228">
        <v>-1.1399999999999999</v>
      </c>
      <c r="DK129" s="228">
        <v>-1.1399999999999999</v>
      </c>
      <c r="DL129" s="228">
        <v>23.96</v>
      </c>
      <c r="DM129" s="228">
        <v>23.89</v>
      </c>
      <c r="DN129" s="228">
        <v>7.0000000000000007E-2</v>
      </c>
      <c r="DO129" s="228">
        <v>7.0000000000000007E-2</v>
      </c>
      <c r="DP129" s="228">
        <v>0.72</v>
      </c>
      <c r="DQ129" s="228">
        <v>0.43</v>
      </c>
      <c r="DR129" s="228">
        <v>0.28999999999999998</v>
      </c>
      <c r="DS129" s="229">
        <v>0.6744</v>
      </c>
      <c r="DT129" s="231">
        <v>13500</v>
      </c>
      <c r="DU129" s="231">
        <v>12500</v>
      </c>
      <c r="DV129" s="228">
        <v>0.45</v>
      </c>
      <c r="DW129" s="228">
        <v>0.48</v>
      </c>
      <c r="DX129" s="228">
        <v>-0.03</v>
      </c>
      <c r="DY129" s="229">
        <v>-6.25E-2</v>
      </c>
      <c r="DZ129" s="229">
        <v>0.9446</v>
      </c>
      <c r="EA129" s="230">
        <v>2964850</v>
      </c>
      <c r="EB129" s="229">
        <v>7.7999999999999996E-3</v>
      </c>
      <c r="EC129" s="229">
        <v>0.9446</v>
      </c>
      <c r="ED129" s="228">
        <v>108.26</v>
      </c>
      <c r="EE129" s="229">
        <v>8.2000000000000007E-3</v>
      </c>
      <c r="EF129" s="230">
        <v>136287</v>
      </c>
      <c r="EG129" s="230">
        <v>161508</v>
      </c>
      <c r="EH129" s="229">
        <v>-0.15620000000000001</v>
      </c>
      <c r="EI129" s="229">
        <v>0.501</v>
      </c>
      <c r="EJ129" s="231">
        <v>401709.38</v>
      </c>
      <c r="EK129" s="231">
        <v>172506.76</v>
      </c>
      <c r="EL129" s="231">
        <v>88808.61</v>
      </c>
      <c r="EM129" s="231">
        <v>22372</v>
      </c>
      <c r="EN129" s="231">
        <v>663024.75</v>
      </c>
      <c r="EO129" s="231">
        <v>1117779.94</v>
      </c>
      <c r="EP129" s="231">
        <v>-454755.19</v>
      </c>
      <c r="EQ129" s="229">
        <v>-0.40679999999999999</v>
      </c>
      <c r="ER129" s="231">
        <v>74535</v>
      </c>
      <c r="ES129" s="231">
        <v>50150</v>
      </c>
      <c r="ET129" s="231">
        <v>413585</v>
      </c>
      <c r="EU129" s="231">
        <v>19673414</v>
      </c>
      <c r="EV129" s="231">
        <v>538271</v>
      </c>
      <c r="EW129" s="231">
        <v>914107</v>
      </c>
      <c r="EX129" s="231">
        <v>-375836</v>
      </c>
      <c r="EY129" s="229">
        <v>-0.41120000000000001</v>
      </c>
      <c r="EZ129" s="229">
        <v>0.20530000000000001</v>
      </c>
      <c r="FA129" s="227" t="s">
        <v>691</v>
      </c>
      <c r="FB129" s="161">
        <f t="shared" si="1"/>
        <v>2930250</v>
      </c>
    </row>
    <row r="130" spans="1:158" ht="17.25" thickBot="1" x14ac:dyDescent="0.3">
      <c r="A130" s="226">
        <v>46168</v>
      </c>
      <c r="B130" s="227" t="s">
        <v>170</v>
      </c>
      <c r="C130" s="227" t="s">
        <v>602</v>
      </c>
      <c r="D130" s="228">
        <v>525</v>
      </c>
      <c r="E130" s="231">
        <v>1000</v>
      </c>
      <c r="F130" s="231">
        <v>1008.25</v>
      </c>
      <c r="G130" s="228">
        <v>-8.25</v>
      </c>
      <c r="H130" s="229">
        <v>-8.2000000000000007E-3</v>
      </c>
      <c r="I130" s="228">
        <v>993.95</v>
      </c>
      <c r="J130" s="231">
        <v>1000.85</v>
      </c>
      <c r="K130" s="228">
        <v>-6.9</v>
      </c>
      <c r="L130" s="229">
        <v>-6.8999999999999999E-3</v>
      </c>
      <c r="M130" s="228">
        <v>996.9</v>
      </c>
      <c r="N130" s="231">
        <v>1004.35</v>
      </c>
      <c r="O130" s="228">
        <v>-7.45</v>
      </c>
      <c r="P130" s="229">
        <v>-7.4000000000000003E-3</v>
      </c>
      <c r="Q130" s="231">
        <v>1000</v>
      </c>
      <c r="R130" s="231">
        <v>1008.25</v>
      </c>
      <c r="S130" s="228">
        <v>-8.25</v>
      </c>
      <c r="T130" s="229">
        <v>-8.2000000000000007E-3</v>
      </c>
      <c r="U130" s="231">
        <v>1004.15</v>
      </c>
      <c r="V130" s="231">
        <v>1012.35</v>
      </c>
      <c r="W130" s="228">
        <v>-8.1999999999999993</v>
      </c>
      <c r="X130" s="229">
        <v>-8.0999999999999996E-3</v>
      </c>
      <c r="Y130" s="228">
        <v>6.05</v>
      </c>
      <c r="Z130" s="228">
        <v>3.5</v>
      </c>
      <c r="AA130" s="228">
        <v>2.5499999999999998</v>
      </c>
      <c r="AB130" s="229">
        <v>6.1000000000000004E-3</v>
      </c>
      <c r="AC130" s="228">
        <v>2.95</v>
      </c>
      <c r="AD130" s="228">
        <v>3.5</v>
      </c>
      <c r="AE130" s="228">
        <v>-0.55000000000000004</v>
      </c>
      <c r="AF130" s="229">
        <v>3.0000000000000001E-3</v>
      </c>
      <c r="AG130" s="228">
        <v>6.05</v>
      </c>
      <c r="AH130" s="228">
        <v>7.4</v>
      </c>
      <c r="AI130" s="228">
        <v>-1.35</v>
      </c>
      <c r="AJ130" s="229">
        <v>6.1000000000000004E-3</v>
      </c>
      <c r="AK130" s="228">
        <v>10.199999999999999</v>
      </c>
      <c r="AL130" s="228">
        <v>11.5</v>
      </c>
      <c r="AM130" s="228">
        <v>-1.3</v>
      </c>
      <c r="AN130" s="229">
        <v>1.03E-2</v>
      </c>
      <c r="AO130" s="228">
        <v>995.85</v>
      </c>
      <c r="AP130" s="231">
        <v>1001.54</v>
      </c>
      <c r="AQ130" s="228">
        <v>0</v>
      </c>
      <c r="AR130" s="230">
        <v>3991050</v>
      </c>
      <c r="AS130" s="230">
        <v>7945875</v>
      </c>
      <c r="AT130" s="230">
        <v>-3954825</v>
      </c>
      <c r="AU130" s="229">
        <v>-0.49769999999999998</v>
      </c>
      <c r="AV130" s="230">
        <v>1328250</v>
      </c>
      <c r="AW130" s="230">
        <v>3415650</v>
      </c>
      <c r="AX130" s="230">
        <v>-2087400</v>
      </c>
      <c r="AY130" s="229">
        <v>-0.61109999999999998</v>
      </c>
      <c r="AZ130" s="230">
        <v>2616600</v>
      </c>
      <c r="BA130" s="230">
        <v>4452000</v>
      </c>
      <c r="BB130" s="230">
        <v>-1835400</v>
      </c>
      <c r="BC130" s="229">
        <v>-0.4123</v>
      </c>
      <c r="BD130" s="230">
        <v>46200</v>
      </c>
      <c r="BE130" s="230">
        <v>78225</v>
      </c>
      <c r="BF130" s="230">
        <v>-32025</v>
      </c>
      <c r="BG130" s="229">
        <v>-0.40939999999999999</v>
      </c>
      <c r="BH130" s="230">
        <v>6965700</v>
      </c>
      <c r="BI130" s="230">
        <v>19580925</v>
      </c>
      <c r="BJ130" s="230">
        <v>-12615225</v>
      </c>
      <c r="BK130" s="229">
        <v>-0.64429999999999998</v>
      </c>
      <c r="BL130" s="230">
        <v>3838800</v>
      </c>
      <c r="BM130" s="230">
        <v>12133800</v>
      </c>
      <c r="BN130" s="230">
        <v>-8295000</v>
      </c>
      <c r="BO130" s="229">
        <v>-0.68359999999999999</v>
      </c>
      <c r="BP130" s="230">
        <v>14795550</v>
      </c>
      <c r="BQ130" s="230">
        <v>39660600</v>
      </c>
      <c r="BR130" s="230">
        <v>-24865050</v>
      </c>
      <c r="BS130" s="229">
        <v>-0.62690000000000001</v>
      </c>
      <c r="BT130" s="230">
        <v>2672933</v>
      </c>
      <c r="BU130" s="230">
        <v>4327985</v>
      </c>
      <c r="BV130" s="230">
        <v>-1655052</v>
      </c>
      <c r="BW130" s="229">
        <v>-0.38240000000000002</v>
      </c>
      <c r="BX130" s="230">
        <v>13741350</v>
      </c>
      <c r="BY130" s="230">
        <v>14692650</v>
      </c>
      <c r="BZ130" s="230">
        <v>-951300</v>
      </c>
      <c r="CA130" s="229">
        <v>-6.4699999999999994E-2</v>
      </c>
      <c r="CB130" s="230">
        <v>1240575</v>
      </c>
      <c r="CC130" s="230">
        <v>1895775</v>
      </c>
      <c r="CD130" s="230">
        <v>-655200</v>
      </c>
      <c r="CE130" s="229">
        <v>-0.34560000000000002</v>
      </c>
      <c r="CF130" s="230">
        <v>13585950</v>
      </c>
      <c r="CG130" s="230">
        <v>12661950</v>
      </c>
      <c r="CH130" s="230">
        <v>924000</v>
      </c>
      <c r="CI130" s="229">
        <v>7.2999999999999995E-2</v>
      </c>
      <c r="CJ130" s="230">
        <v>155400</v>
      </c>
      <c r="CK130" s="230">
        <v>134925</v>
      </c>
      <c r="CL130" s="230">
        <v>20475</v>
      </c>
      <c r="CM130" s="229">
        <v>0.15179999999999999</v>
      </c>
      <c r="CN130" s="230">
        <v>4542300</v>
      </c>
      <c r="CO130" s="230">
        <v>7932750</v>
      </c>
      <c r="CP130" s="230">
        <v>-3390450</v>
      </c>
      <c r="CQ130" s="229">
        <v>-0.4274</v>
      </c>
      <c r="CR130" s="230">
        <v>1927800</v>
      </c>
      <c r="CS130" s="230">
        <v>3675525</v>
      </c>
      <c r="CT130" s="230">
        <v>-1747725</v>
      </c>
      <c r="CU130" s="229">
        <v>-0.47549999999999998</v>
      </c>
      <c r="CV130" s="230">
        <v>20211450</v>
      </c>
      <c r="CW130" s="230">
        <v>26300925</v>
      </c>
      <c r="CX130" s="230">
        <v>-6089475</v>
      </c>
      <c r="CY130" s="229">
        <v>-0.23150000000000001</v>
      </c>
      <c r="CZ130" s="228">
        <v>27.78</v>
      </c>
      <c r="DA130" s="228">
        <v>29.08</v>
      </c>
      <c r="DB130" s="228">
        <v>-1.3</v>
      </c>
      <c r="DC130" s="228">
        <v>-1.3</v>
      </c>
      <c r="DD130" s="228">
        <v>36.04</v>
      </c>
      <c r="DE130" s="228">
        <v>36.119999999999997</v>
      </c>
      <c r="DF130" s="228">
        <v>-8.26</v>
      </c>
      <c r="DG130" s="228">
        <v>-0.08</v>
      </c>
      <c r="DH130" s="228">
        <v>27.61</v>
      </c>
      <c r="DI130" s="228">
        <v>28.98</v>
      </c>
      <c r="DJ130" s="228">
        <v>-1.37</v>
      </c>
      <c r="DK130" s="228">
        <v>-1.37</v>
      </c>
      <c r="DL130" s="228">
        <v>28.16</v>
      </c>
      <c r="DM130" s="228">
        <v>29.29</v>
      </c>
      <c r="DN130" s="228">
        <v>-1.1299999999999999</v>
      </c>
      <c r="DO130" s="228">
        <v>-1.1299999999999999</v>
      </c>
      <c r="DP130" s="228">
        <v>0.42</v>
      </c>
      <c r="DQ130" s="228">
        <v>0.46</v>
      </c>
      <c r="DR130" s="228">
        <v>-0.04</v>
      </c>
      <c r="DS130" s="229">
        <v>-8.6999999999999994E-2</v>
      </c>
      <c r="DT130" s="231">
        <v>1100</v>
      </c>
      <c r="DU130" s="231">
        <v>1000</v>
      </c>
      <c r="DV130" s="228">
        <v>0.55000000000000004</v>
      </c>
      <c r="DW130" s="228">
        <v>0.62</v>
      </c>
      <c r="DX130" s="228">
        <v>-7.0000000000000007E-2</v>
      </c>
      <c r="DY130" s="229">
        <v>-0.1129</v>
      </c>
      <c r="DZ130" s="229">
        <v>0.91720000000000002</v>
      </c>
      <c r="EA130" s="230">
        <v>12796875</v>
      </c>
      <c r="EB130" s="229">
        <v>3.0999999999999999E-3</v>
      </c>
      <c r="EC130" s="229">
        <v>0.91720000000000002</v>
      </c>
      <c r="ED130" s="228">
        <v>5.69</v>
      </c>
      <c r="EE130" s="229">
        <v>5.7000000000000002E-3</v>
      </c>
      <c r="EF130" s="230">
        <v>1336197</v>
      </c>
      <c r="EG130" s="230">
        <v>2093691</v>
      </c>
      <c r="EH130" s="229">
        <v>-0.36180000000000001</v>
      </c>
      <c r="EI130" s="229">
        <v>0.49990000000000001</v>
      </c>
      <c r="EJ130" s="231">
        <v>73681.91</v>
      </c>
      <c r="EK130" s="231">
        <v>38573.660000000003</v>
      </c>
      <c r="EL130" s="231">
        <v>39898.15</v>
      </c>
      <c r="EM130" s="231">
        <v>14875</v>
      </c>
      <c r="EN130" s="231">
        <v>152153.72</v>
      </c>
      <c r="EO130" s="231">
        <v>407832.71</v>
      </c>
      <c r="EP130" s="231">
        <v>-255678.99</v>
      </c>
      <c r="EQ130" s="229">
        <v>-0.62690000000000001</v>
      </c>
      <c r="ER130" s="231">
        <v>48556</v>
      </c>
      <c r="ES130" s="231">
        <v>19339</v>
      </c>
      <c r="ET130" s="231">
        <v>137420</v>
      </c>
      <c r="EU130" s="231">
        <v>111298748</v>
      </c>
      <c r="EV130" s="231">
        <v>205315</v>
      </c>
      <c r="EW130" s="231">
        <v>271004</v>
      </c>
      <c r="EX130" s="231">
        <v>-65689</v>
      </c>
      <c r="EY130" s="229">
        <v>-0.2424</v>
      </c>
      <c r="EZ130" s="229">
        <v>0.18160000000000001</v>
      </c>
      <c r="FA130" s="227" t="s">
        <v>567</v>
      </c>
      <c r="FB130" s="161">
        <f t="shared" si="1"/>
        <v>12500775</v>
      </c>
    </row>
    <row r="131" spans="1:158" ht="17.25" thickBot="1" x14ac:dyDescent="0.3">
      <c r="A131" s="226">
        <v>46168</v>
      </c>
      <c r="B131" s="227" t="s">
        <v>215</v>
      </c>
      <c r="C131" s="227" t="s">
        <v>670</v>
      </c>
      <c r="D131" s="228">
        <v>200</v>
      </c>
      <c r="E131" s="231">
        <v>2473.5</v>
      </c>
      <c r="F131" s="231">
        <v>2452</v>
      </c>
      <c r="G131" s="228">
        <v>21.5</v>
      </c>
      <c r="H131" s="229">
        <v>8.8000000000000005E-3</v>
      </c>
      <c r="I131" s="231">
        <v>2460.1</v>
      </c>
      <c r="J131" s="231">
        <v>2470.1999999999998</v>
      </c>
      <c r="K131" s="228">
        <v>-10.1</v>
      </c>
      <c r="L131" s="229">
        <v>-4.1000000000000003E-3</v>
      </c>
      <c r="M131" s="231">
        <v>2456.1999999999998</v>
      </c>
      <c r="N131" s="231">
        <v>2468.9</v>
      </c>
      <c r="O131" s="228">
        <v>-12.7</v>
      </c>
      <c r="P131" s="229">
        <v>-5.1000000000000004E-3</v>
      </c>
      <c r="Q131" s="231">
        <v>2473.5</v>
      </c>
      <c r="R131" s="231">
        <v>2452</v>
      </c>
      <c r="S131" s="228">
        <v>21.5</v>
      </c>
      <c r="T131" s="229">
        <v>8.8000000000000005E-3</v>
      </c>
      <c r="U131" s="231">
        <v>2481.8000000000002</v>
      </c>
      <c r="V131" s="231">
        <v>2458.9</v>
      </c>
      <c r="W131" s="228">
        <v>22.9</v>
      </c>
      <c r="X131" s="229">
        <v>9.2999999999999992E-3</v>
      </c>
      <c r="Y131" s="228">
        <v>13.4</v>
      </c>
      <c r="Z131" s="228">
        <v>-1.3</v>
      </c>
      <c r="AA131" s="228">
        <v>14.7</v>
      </c>
      <c r="AB131" s="229">
        <v>5.4000000000000003E-3</v>
      </c>
      <c r="AC131" s="228">
        <v>-3.9</v>
      </c>
      <c r="AD131" s="228">
        <v>-1.3</v>
      </c>
      <c r="AE131" s="228">
        <v>-2.6</v>
      </c>
      <c r="AF131" s="229">
        <v>-1.6000000000000001E-3</v>
      </c>
      <c r="AG131" s="228">
        <v>13.4</v>
      </c>
      <c r="AH131" s="228">
        <v>-18.2</v>
      </c>
      <c r="AI131" s="228">
        <v>31.6</v>
      </c>
      <c r="AJ131" s="229">
        <v>5.4000000000000003E-3</v>
      </c>
      <c r="AK131" s="228">
        <v>21.7</v>
      </c>
      <c r="AL131" s="228">
        <v>-11.3</v>
      </c>
      <c r="AM131" s="228">
        <v>33</v>
      </c>
      <c r="AN131" s="229">
        <v>8.8000000000000005E-3</v>
      </c>
      <c r="AO131" s="231">
        <v>2465.85</v>
      </c>
      <c r="AP131" s="231">
        <v>2469.65</v>
      </c>
      <c r="AQ131" s="228">
        <v>0</v>
      </c>
      <c r="AR131" s="230">
        <v>3006800</v>
      </c>
      <c r="AS131" s="230">
        <v>3855200</v>
      </c>
      <c r="AT131" s="230">
        <v>-848400</v>
      </c>
      <c r="AU131" s="229">
        <v>-0.22009999999999999</v>
      </c>
      <c r="AV131" s="230">
        <v>1460400</v>
      </c>
      <c r="AW131" s="230">
        <v>1850200</v>
      </c>
      <c r="AX131" s="230">
        <v>-389800</v>
      </c>
      <c r="AY131" s="229">
        <v>-0.2107</v>
      </c>
      <c r="AZ131" s="230">
        <v>1508600</v>
      </c>
      <c r="BA131" s="230">
        <v>1960800</v>
      </c>
      <c r="BB131" s="230">
        <v>-452200</v>
      </c>
      <c r="BC131" s="229">
        <v>-0.2306</v>
      </c>
      <c r="BD131" s="230">
        <v>37800</v>
      </c>
      <c r="BE131" s="230">
        <v>44200</v>
      </c>
      <c r="BF131" s="230">
        <v>-6400</v>
      </c>
      <c r="BG131" s="229">
        <v>-0.14480000000000001</v>
      </c>
      <c r="BH131" s="230">
        <v>3096000</v>
      </c>
      <c r="BI131" s="230">
        <v>3756600</v>
      </c>
      <c r="BJ131" s="230">
        <v>-660600</v>
      </c>
      <c r="BK131" s="229">
        <v>-0.1759</v>
      </c>
      <c r="BL131" s="230">
        <v>1533000</v>
      </c>
      <c r="BM131" s="230">
        <v>1254200</v>
      </c>
      <c r="BN131" s="230">
        <v>278800</v>
      </c>
      <c r="BO131" s="229">
        <v>0.2223</v>
      </c>
      <c r="BP131" s="230">
        <v>7635800</v>
      </c>
      <c r="BQ131" s="230">
        <v>8866000</v>
      </c>
      <c r="BR131" s="230">
        <v>-1230200</v>
      </c>
      <c r="BS131" s="229">
        <v>-0.13880000000000001</v>
      </c>
      <c r="BT131" s="230">
        <v>685792</v>
      </c>
      <c r="BU131" s="230">
        <v>850325</v>
      </c>
      <c r="BV131" s="230">
        <v>-164533</v>
      </c>
      <c r="BW131" s="229">
        <v>-0.19350000000000001</v>
      </c>
      <c r="BX131" s="230">
        <v>4216050</v>
      </c>
      <c r="BY131" s="230">
        <v>5051850</v>
      </c>
      <c r="BZ131" s="230">
        <v>-835800</v>
      </c>
      <c r="CA131" s="229">
        <v>-0.16539999999999999</v>
      </c>
      <c r="CB131" s="230">
        <v>442400</v>
      </c>
      <c r="CC131" s="230">
        <v>1143000</v>
      </c>
      <c r="CD131" s="230">
        <v>-700600</v>
      </c>
      <c r="CE131" s="229">
        <v>-0.6129</v>
      </c>
      <c r="CF131" s="230">
        <v>4062600</v>
      </c>
      <c r="CG131" s="230">
        <v>3775200</v>
      </c>
      <c r="CH131" s="230">
        <v>287400</v>
      </c>
      <c r="CI131" s="229">
        <v>7.6100000000000001E-2</v>
      </c>
      <c r="CJ131" s="230">
        <v>153450</v>
      </c>
      <c r="CK131" s="230">
        <v>133650</v>
      </c>
      <c r="CL131" s="230">
        <v>19800</v>
      </c>
      <c r="CM131" s="229">
        <v>0.14810000000000001</v>
      </c>
      <c r="CN131" s="230">
        <v>877800</v>
      </c>
      <c r="CO131" s="230">
        <v>4620600</v>
      </c>
      <c r="CP131" s="230">
        <v>-3742800</v>
      </c>
      <c r="CQ131" s="229">
        <v>-0.81</v>
      </c>
      <c r="CR131" s="230">
        <v>667400</v>
      </c>
      <c r="CS131" s="230">
        <v>2108000</v>
      </c>
      <c r="CT131" s="230">
        <v>-1440600</v>
      </c>
      <c r="CU131" s="229">
        <v>-0.68340000000000001</v>
      </c>
      <c r="CV131" s="230">
        <v>5761250</v>
      </c>
      <c r="CW131" s="230">
        <v>11780450</v>
      </c>
      <c r="CX131" s="230">
        <v>-6019200</v>
      </c>
      <c r="CY131" s="229">
        <v>-0.51090000000000002</v>
      </c>
      <c r="CZ131" s="228">
        <v>33.64</v>
      </c>
      <c r="DA131" s="228">
        <v>36.46</v>
      </c>
      <c r="DB131" s="228">
        <v>-2.82</v>
      </c>
      <c r="DC131" s="228">
        <v>-2.82</v>
      </c>
      <c r="DD131" s="228">
        <v>54.1</v>
      </c>
      <c r="DE131" s="228">
        <v>54.23</v>
      </c>
      <c r="DF131" s="228">
        <v>-20.46</v>
      </c>
      <c r="DG131" s="228">
        <v>-0.13</v>
      </c>
      <c r="DH131" s="228">
        <v>33.14</v>
      </c>
      <c r="DI131" s="228">
        <v>36.340000000000003</v>
      </c>
      <c r="DJ131" s="228">
        <v>-3.2</v>
      </c>
      <c r="DK131" s="228">
        <v>-3.2</v>
      </c>
      <c r="DL131" s="228">
        <v>34.590000000000003</v>
      </c>
      <c r="DM131" s="228">
        <v>36.659999999999997</v>
      </c>
      <c r="DN131" s="228">
        <v>-2.0699999999999998</v>
      </c>
      <c r="DO131" s="228">
        <v>-2.0699999999999998</v>
      </c>
      <c r="DP131" s="228">
        <v>0.76</v>
      </c>
      <c r="DQ131" s="228">
        <v>0.46</v>
      </c>
      <c r="DR131" s="228">
        <v>0.3</v>
      </c>
      <c r="DS131" s="229">
        <v>0.6522</v>
      </c>
      <c r="DT131" s="231">
        <v>2800</v>
      </c>
      <c r="DU131" s="231">
        <v>2400</v>
      </c>
      <c r="DV131" s="228">
        <v>0.5</v>
      </c>
      <c r="DW131" s="228">
        <v>0.33</v>
      </c>
      <c r="DX131" s="228">
        <v>0.17</v>
      </c>
      <c r="DY131" s="229">
        <v>0.51519999999999999</v>
      </c>
      <c r="DZ131" s="229">
        <v>0.90500000000000003</v>
      </c>
      <c r="EA131" s="230">
        <v>3908850</v>
      </c>
      <c r="EB131" s="229">
        <v>7.0000000000000001E-3</v>
      </c>
      <c r="EC131" s="229">
        <v>0.90500000000000003</v>
      </c>
      <c r="ED131" s="228">
        <v>3.8</v>
      </c>
      <c r="EE131" s="229">
        <v>1.5E-3</v>
      </c>
      <c r="EF131" s="230">
        <v>217697</v>
      </c>
      <c r="EG131" s="230">
        <v>327560</v>
      </c>
      <c r="EH131" s="229">
        <v>-0.33539999999999998</v>
      </c>
      <c r="EI131" s="229">
        <v>0.31740000000000002</v>
      </c>
      <c r="EJ131" s="231">
        <v>81488.66</v>
      </c>
      <c r="EK131" s="231">
        <v>37844.71</v>
      </c>
      <c r="EL131" s="231">
        <v>74321.67</v>
      </c>
      <c r="EM131" s="231">
        <v>12831</v>
      </c>
      <c r="EN131" s="231">
        <v>193655.04000000001</v>
      </c>
      <c r="EO131" s="231">
        <v>224876.78</v>
      </c>
      <c r="EP131" s="231">
        <v>-31221.74</v>
      </c>
      <c r="EQ131" s="229">
        <v>-0.13880000000000001</v>
      </c>
      <c r="ER131" s="231">
        <v>22954</v>
      </c>
      <c r="ES131" s="231">
        <v>15973</v>
      </c>
      <c r="ET131" s="231">
        <v>104297</v>
      </c>
      <c r="EU131" s="231">
        <v>11364224</v>
      </c>
      <c r="EV131" s="231">
        <v>143224</v>
      </c>
      <c r="EW131" s="231">
        <v>301784</v>
      </c>
      <c r="EX131" s="231">
        <v>-158560</v>
      </c>
      <c r="EY131" s="229">
        <v>-0.52539999999999998</v>
      </c>
      <c r="EZ131" s="229">
        <v>0.50700000000000001</v>
      </c>
      <c r="FA131" s="227" t="s">
        <v>691</v>
      </c>
      <c r="FB131" s="161">
        <f t="shared" ref="FB131:FB138" si="2">BX131-CB131</f>
        <v>3773650</v>
      </c>
    </row>
    <row r="132" spans="1:158" ht="17.25" thickBot="1" x14ac:dyDescent="0.3">
      <c r="A132" s="226">
        <v>46168</v>
      </c>
      <c r="B132" s="227" t="s">
        <v>175</v>
      </c>
      <c r="C132" s="227" t="s">
        <v>517</v>
      </c>
      <c r="D132" s="228">
        <v>625</v>
      </c>
      <c r="E132" s="231">
        <v>3321.6</v>
      </c>
      <c r="F132" s="231">
        <v>3331.8</v>
      </c>
      <c r="G132" s="228">
        <v>-10.199999999999999</v>
      </c>
      <c r="H132" s="229">
        <v>-3.0999999999999999E-3</v>
      </c>
      <c r="I132" s="231">
        <v>3307.3</v>
      </c>
      <c r="J132" s="231">
        <v>3313.9</v>
      </c>
      <c r="K132" s="228">
        <v>-6.6</v>
      </c>
      <c r="L132" s="229">
        <v>-2E-3</v>
      </c>
      <c r="M132" s="231">
        <v>3303.6</v>
      </c>
      <c r="N132" s="231">
        <v>3311.1</v>
      </c>
      <c r="O132" s="228">
        <v>-7.5</v>
      </c>
      <c r="P132" s="229">
        <v>-2.3E-3</v>
      </c>
      <c r="Q132" s="231">
        <v>3321.6</v>
      </c>
      <c r="R132" s="231">
        <v>3331.8</v>
      </c>
      <c r="S132" s="228">
        <v>-10.199999999999999</v>
      </c>
      <c r="T132" s="229">
        <v>-3.0999999999999999E-3</v>
      </c>
      <c r="U132" s="231">
        <v>3337.9</v>
      </c>
      <c r="V132" s="231">
        <v>3342.6</v>
      </c>
      <c r="W132" s="228">
        <v>-4.7</v>
      </c>
      <c r="X132" s="229">
        <v>-1.4E-3</v>
      </c>
      <c r="Y132" s="228">
        <v>14.3</v>
      </c>
      <c r="Z132" s="228">
        <v>-2.8</v>
      </c>
      <c r="AA132" s="228">
        <v>17.100000000000001</v>
      </c>
      <c r="AB132" s="229">
        <v>4.3E-3</v>
      </c>
      <c r="AC132" s="228">
        <v>-3.7</v>
      </c>
      <c r="AD132" s="228">
        <v>-2.8</v>
      </c>
      <c r="AE132" s="228">
        <v>-0.9</v>
      </c>
      <c r="AF132" s="229">
        <v>-1.1000000000000001E-3</v>
      </c>
      <c r="AG132" s="228">
        <v>14.3</v>
      </c>
      <c r="AH132" s="228">
        <v>17.899999999999999</v>
      </c>
      <c r="AI132" s="228">
        <v>-3.6</v>
      </c>
      <c r="AJ132" s="229">
        <v>4.3E-3</v>
      </c>
      <c r="AK132" s="228">
        <v>30.6</v>
      </c>
      <c r="AL132" s="228">
        <v>28.7</v>
      </c>
      <c r="AM132" s="228">
        <v>1.9</v>
      </c>
      <c r="AN132" s="229">
        <v>9.2999999999999992E-3</v>
      </c>
      <c r="AO132" s="231">
        <v>3305.79</v>
      </c>
      <c r="AP132" s="231">
        <v>3323.37</v>
      </c>
      <c r="AQ132" s="228">
        <v>0</v>
      </c>
      <c r="AR132" s="230">
        <v>4661250</v>
      </c>
      <c r="AS132" s="230">
        <v>7863125</v>
      </c>
      <c r="AT132" s="230">
        <v>-3201875</v>
      </c>
      <c r="AU132" s="229">
        <v>-0.40720000000000001</v>
      </c>
      <c r="AV132" s="230">
        <v>1668750</v>
      </c>
      <c r="AW132" s="230">
        <v>3338125</v>
      </c>
      <c r="AX132" s="230">
        <v>-1669375</v>
      </c>
      <c r="AY132" s="229">
        <v>-0.50009999999999999</v>
      </c>
      <c r="AZ132" s="230">
        <v>2758125</v>
      </c>
      <c r="BA132" s="230">
        <v>4287500</v>
      </c>
      <c r="BB132" s="230">
        <v>-1529375</v>
      </c>
      <c r="BC132" s="229">
        <v>-0.35670000000000002</v>
      </c>
      <c r="BD132" s="230">
        <v>234375</v>
      </c>
      <c r="BE132" s="230">
        <v>237500</v>
      </c>
      <c r="BF132" s="230">
        <v>-3125</v>
      </c>
      <c r="BG132" s="229">
        <v>-1.32E-2</v>
      </c>
      <c r="BH132" s="230">
        <v>13073750</v>
      </c>
      <c r="BI132" s="230">
        <v>27790000</v>
      </c>
      <c r="BJ132" s="230">
        <v>-14716250</v>
      </c>
      <c r="BK132" s="229">
        <v>-0.52959999999999996</v>
      </c>
      <c r="BL132" s="230">
        <v>6708750</v>
      </c>
      <c r="BM132" s="230">
        <v>12601875</v>
      </c>
      <c r="BN132" s="230">
        <v>-5893125</v>
      </c>
      <c r="BO132" s="229">
        <v>-0.46760000000000002</v>
      </c>
      <c r="BP132" s="230">
        <v>24443750</v>
      </c>
      <c r="BQ132" s="230">
        <v>48255000</v>
      </c>
      <c r="BR132" s="230">
        <v>-23811250</v>
      </c>
      <c r="BS132" s="229">
        <v>-0.49340000000000001</v>
      </c>
      <c r="BT132" s="230">
        <v>2027966</v>
      </c>
      <c r="BU132" s="230">
        <v>2634913</v>
      </c>
      <c r="BV132" s="230">
        <v>-606947</v>
      </c>
      <c r="BW132" s="229">
        <v>-0.2303</v>
      </c>
      <c r="BX132" s="230">
        <v>10481625</v>
      </c>
      <c r="BY132" s="230">
        <v>11299225</v>
      </c>
      <c r="BZ132" s="230">
        <v>-817600</v>
      </c>
      <c r="CA132" s="229">
        <v>-7.2400000000000006E-2</v>
      </c>
      <c r="CB132" s="230">
        <v>865000</v>
      </c>
      <c r="CC132" s="230">
        <v>1723125</v>
      </c>
      <c r="CD132" s="230">
        <v>-858125</v>
      </c>
      <c r="CE132" s="229">
        <v>-0.498</v>
      </c>
      <c r="CF132" s="230">
        <v>10271250</v>
      </c>
      <c r="CG132" s="230">
        <v>9403750</v>
      </c>
      <c r="CH132" s="230">
        <v>867500</v>
      </c>
      <c r="CI132" s="229">
        <v>9.2299999999999993E-2</v>
      </c>
      <c r="CJ132" s="230">
        <v>210375</v>
      </c>
      <c r="CK132" s="230">
        <v>172350</v>
      </c>
      <c r="CL132" s="230">
        <v>38025</v>
      </c>
      <c r="CM132" s="229">
        <v>0.22059999999999999</v>
      </c>
      <c r="CN132" s="230">
        <v>4039425</v>
      </c>
      <c r="CO132" s="230">
        <v>7985050</v>
      </c>
      <c r="CP132" s="230">
        <v>-3945625</v>
      </c>
      <c r="CQ132" s="229">
        <v>-0.49409999999999998</v>
      </c>
      <c r="CR132" s="230">
        <v>2691050</v>
      </c>
      <c r="CS132" s="230">
        <v>5881050</v>
      </c>
      <c r="CT132" s="230">
        <v>-3190000</v>
      </c>
      <c r="CU132" s="229">
        <v>-0.54239999999999999</v>
      </c>
      <c r="CV132" s="230">
        <v>17212100</v>
      </c>
      <c r="CW132" s="230">
        <v>25165325</v>
      </c>
      <c r="CX132" s="230">
        <v>-7953225</v>
      </c>
      <c r="CY132" s="229">
        <v>-0.316</v>
      </c>
      <c r="CZ132" s="228">
        <v>35.659999999999997</v>
      </c>
      <c r="DA132" s="228">
        <v>37.6</v>
      </c>
      <c r="DB132" s="228">
        <v>-1.94</v>
      </c>
      <c r="DC132" s="228">
        <v>-1.94</v>
      </c>
      <c r="DD132" s="228">
        <v>48.49</v>
      </c>
      <c r="DE132" s="228">
        <v>48.61</v>
      </c>
      <c r="DF132" s="228">
        <v>-12.83</v>
      </c>
      <c r="DG132" s="228">
        <v>-0.12</v>
      </c>
      <c r="DH132" s="228">
        <v>35.51</v>
      </c>
      <c r="DI132" s="228">
        <v>37.520000000000003</v>
      </c>
      <c r="DJ132" s="228">
        <v>-2.0099999999999998</v>
      </c>
      <c r="DK132" s="228">
        <v>-2.0099999999999998</v>
      </c>
      <c r="DL132" s="228">
        <v>35.96</v>
      </c>
      <c r="DM132" s="228">
        <v>37.81</v>
      </c>
      <c r="DN132" s="228">
        <v>-1.85</v>
      </c>
      <c r="DO132" s="228">
        <v>-1.85</v>
      </c>
      <c r="DP132" s="228">
        <v>0.67</v>
      </c>
      <c r="DQ132" s="228">
        <v>0.74</v>
      </c>
      <c r="DR132" s="228">
        <v>-7.0000000000000007E-2</v>
      </c>
      <c r="DS132" s="229">
        <v>-9.4600000000000004E-2</v>
      </c>
      <c r="DT132" s="231">
        <v>3400</v>
      </c>
      <c r="DU132" s="231">
        <v>3000</v>
      </c>
      <c r="DV132" s="228">
        <v>0.51</v>
      </c>
      <c r="DW132" s="228">
        <v>0.45</v>
      </c>
      <c r="DX132" s="228">
        <v>0.06</v>
      </c>
      <c r="DY132" s="229">
        <v>0.1333</v>
      </c>
      <c r="DZ132" s="229">
        <v>0.92379999999999995</v>
      </c>
      <c r="EA132" s="230">
        <v>9576100</v>
      </c>
      <c r="EB132" s="229">
        <v>5.4000000000000003E-3</v>
      </c>
      <c r="EC132" s="229">
        <v>0.92379999999999995</v>
      </c>
      <c r="ED132" s="228">
        <v>17.579999999999998</v>
      </c>
      <c r="EE132" s="229">
        <v>5.3E-3</v>
      </c>
      <c r="EF132" s="230">
        <v>942631</v>
      </c>
      <c r="EG132" s="230">
        <v>1112417</v>
      </c>
      <c r="EH132" s="229">
        <v>-0.15260000000000001</v>
      </c>
      <c r="EI132" s="229">
        <v>0.46479999999999999</v>
      </c>
      <c r="EJ132" s="231">
        <v>453335.36</v>
      </c>
      <c r="EK132" s="231">
        <v>213555.06</v>
      </c>
      <c r="EL132" s="231">
        <v>149642.71</v>
      </c>
      <c r="EM132" s="231">
        <v>10957</v>
      </c>
      <c r="EN132" s="231">
        <v>816533.13</v>
      </c>
      <c r="EO132" s="231">
        <v>1622672.53</v>
      </c>
      <c r="EP132" s="231">
        <v>-806139.4</v>
      </c>
      <c r="EQ132" s="229">
        <v>-0.49680000000000002</v>
      </c>
      <c r="ER132" s="231">
        <v>137803</v>
      </c>
      <c r="ES132" s="231">
        <v>82869</v>
      </c>
      <c r="ET132" s="231">
        <v>348192</v>
      </c>
      <c r="EU132" s="231">
        <v>38177113</v>
      </c>
      <c r="EV132" s="231">
        <v>568864</v>
      </c>
      <c r="EW132" s="231">
        <v>822353</v>
      </c>
      <c r="EX132" s="231">
        <v>-253489</v>
      </c>
      <c r="EY132" s="229">
        <v>-0.30819999999999997</v>
      </c>
      <c r="EZ132" s="229">
        <v>0.45079999999999998</v>
      </c>
      <c r="FA132" s="227" t="s">
        <v>567</v>
      </c>
      <c r="FB132" s="161">
        <f t="shared" si="2"/>
        <v>9616625</v>
      </c>
    </row>
    <row r="133" spans="1:158" ht="17.25" thickBot="1" x14ac:dyDescent="0.3">
      <c r="A133" s="226">
        <v>46168</v>
      </c>
      <c r="B133" s="227" t="s">
        <v>175</v>
      </c>
      <c r="C133" s="227" t="s">
        <v>257</v>
      </c>
      <c r="D133" s="228">
        <v>400</v>
      </c>
      <c r="E133" s="231">
        <v>1739</v>
      </c>
      <c r="F133" s="231">
        <v>1737.4</v>
      </c>
      <c r="G133" s="228">
        <v>1.6</v>
      </c>
      <c r="H133" s="229">
        <v>8.9999999999999998E-4</v>
      </c>
      <c r="I133" s="231">
        <v>1725.6</v>
      </c>
      <c r="J133" s="231">
        <v>1726.8</v>
      </c>
      <c r="K133" s="228">
        <v>-1.2</v>
      </c>
      <c r="L133" s="229">
        <v>-6.9999999999999999E-4</v>
      </c>
      <c r="M133" s="231">
        <v>1729.3</v>
      </c>
      <c r="N133" s="231">
        <v>1726</v>
      </c>
      <c r="O133" s="228">
        <v>3.3</v>
      </c>
      <c r="P133" s="229">
        <v>1.9E-3</v>
      </c>
      <c r="Q133" s="231">
        <v>1739</v>
      </c>
      <c r="R133" s="231">
        <v>1737.4</v>
      </c>
      <c r="S133" s="228">
        <v>1.6</v>
      </c>
      <c r="T133" s="229">
        <v>8.9999999999999998E-4</v>
      </c>
      <c r="U133" s="231">
        <v>1741.9</v>
      </c>
      <c r="V133" s="231">
        <v>1747.9</v>
      </c>
      <c r="W133" s="228">
        <v>-6</v>
      </c>
      <c r="X133" s="229">
        <v>-3.3999999999999998E-3</v>
      </c>
      <c r="Y133" s="228">
        <v>13.4</v>
      </c>
      <c r="Z133" s="228">
        <v>-0.8</v>
      </c>
      <c r="AA133" s="228">
        <v>14.2</v>
      </c>
      <c r="AB133" s="229">
        <v>7.7999999999999996E-3</v>
      </c>
      <c r="AC133" s="228">
        <v>3.7</v>
      </c>
      <c r="AD133" s="228">
        <v>-0.8</v>
      </c>
      <c r="AE133" s="228">
        <v>4.5</v>
      </c>
      <c r="AF133" s="229">
        <v>2.0999999999999999E-3</v>
      </c>
      <c r="AG133" s="228">
        <v>13.4</v>
      </c>
      <c r="AH133" s="228">
        <v>10.6</v>
      </c>
      <c r="AI133" s="228">
        <v>2.8</v>
      </c>
      <c r="AJ133" s="229">
        <v>7.7999999999999996E-3</v>
      </c>
      <c r="AK133" s="228">
        <v>16.3</v>
      </c>
      <c r="AL133" s="228">
        <v>21.1</v>
      </c>
      <c r="AM133" s="228">
        <v>-4.8</v>
      </c>
      <c r="AN133" s="229">
        <v>9.4000000000000004E-3</v>
      </c>
      <c r="AO133" s="231">
        <v>1735.15</v>
      </c>
      <c r="AP133" s="231">
        <v>1748.04</v>
      </c>
      <c r="AQ133" s="228">
        <v>0</v>
      </c>
      <c r="AR133" s="230">
        <v>3418000</v>
      </c>
      <c r="AS133" s="230">
        <v>5595200</v>
      </c>
      <c r="AT133" s="230">
        <v>-2177200</v>
      </c>
      <c r="AU133" s="229">
        <v>-0.3891</v>
      </c>
      <c r="AV133" s="230">
        <v>1345200</v>
      </c>
      <c r="AW133" s="230">
        <v>2592400</v>
      </c>
      <c r="AX133" s="230">
        <v>-1247200</v>
      </c>
      <c r="AY133" s="229">
        <v>-0.48110000000000003</v>
      </c>
      <c r="AZ133" s="230">
        <v>2071600</v>
      </c>
      <c r="BA133" s="230">
        <v>2993200</v>
      </c>
      <c r="BB133" s="230">
        <v>-921600</v>
      </c>
      <c r="BC133" s="229">
        <v>-0.30790000000000001</v>
      </c>
      <c r="BD133" s="230">
        <v>1200</v>
      </c>
      <c r="BE133" s="230">
        <v>9600</v>
      </c>
      <c r="BF133" s="230">
        <v>-8400</v>
      </c>
      <c r="BG133" s="229">
        <v>-0.875</v>
      </c>
      <c r="BH133" s="230">
        <v>2500000</v>
      </c>
      <c r="BI133" s="230">
        <v>5229200</v>
      </c>
      <c r="BJ133" s="230">
        <v>-2729200</v>
      </c>
      <c r="BK133" s="229">
        <v>-0.52190000000000003</v>
      </c>
      <c r="BL133" s="230">
        <v>826000</v>
      </c>
      <c r="BM133" s="230">
        <v>1626800</v>
      </c>
      <c r="BN133" s="230">
        <v>-800800</v>
      </c>
      <c r="BO133" s="229">
        <v>-0.49230000000000002</v>
      </c>
      <c r="BP133" s="230">
        <v>6744000</v>
      </c>
      <c r="BQ133" s="230">
        <v>12451200</v>
      </c>
      <c r="BR133" s="230">
        <v>-5707200</v>
      </c>
      <c r="BS133" s="229">
        <v>-0.45839999999999997</v>
      </c>
      <c r="BT133" s="230">
        <v>966990</v>
      </c>
      <c r="BU133" s="230">
        <v>526672</v>
      </c>
      <c r="BV133" s="230">
        <v>440318</v>
      </c>
      <c r="BW133" s="229">
        <v>0.83599999999999997</v>
      </c>
      <c r="BX133" s="230">
        <v>9713200</v>
      </c>
      <c r="BY133" s="230">
        <v>9701200</v>
      </c>
      <c r="BZ133" s="230">
        <v>12000</v>
      </c>
      <c r="CA133" s="229">
        <v>1.1999999999999999E-3</v>
      </c>
      <c r="CB133" s="230">
        <v>369200</v>
      </c>
      <c r="CC133" s="230">
        <v>1220400</v>
      </c>
      <c r="CD133" s="230">
        <v>-851200</v>
      </c>
      <c r="CE133" s="229">
        <v>-0.69750000000000001</v>
      </c>
      <c r="CF133" s="230">
        <v>9706800</v>
      </c>
      <c r="CG133" s="230">
        <v>8475200</v>
      </c>
      <c r="CH133" s="230">
        <v>1231600</v>
      </c>
      <c r="CI133" s="229">
        <v>0.14530000000000001</v>
      </c>
      <c r="CJ133" s="230">
        <v>6400</v>
      </c>
      <c r="CK133" s="230">
        <v>5600</v>
      </c>
      <c r="CL133" s="228">
        <v>800</v>
      </c>
      <c r="CM133" s="229">
        <v>0.1429</v>
      </c>
      <c r="CN133" s="230">
        <v>421200</v>
      </c>
      <c r="CO133" s="230">
        <v>1339200</v>
      </c>
      <c r="CP133" s="230">
        <v>-918000</v>
      </c>
      <c r="CQ133" s="229">
        <v>-0.6855</v>
      </c>
      <c r="CR133" s="230">
        <v>313200</v>
      </c>
      <c r="CS133" s="230">
        <v>873200</v>
      </c>
      <c r="CT133" s="230">
        <v>-560000</v>
      </c>
      <c r="CU133" s="229">
        <v>-0.64129999999999998</v>
      </c>
      <c r="CV133" s="230">
        <v>10447600</v>
      </c>
      <c r="CW133" s="230">
        <v>11913600</v>
      </c>
      <c r="CX133" s="230">
        <v>-1466000</v>
      </c>
      <c r="CY133" s="229">
        <v>-0.1231</v>
      </c>
      <c r="CZ133" s="228">
        <v>26.45</v>
      </c>
      <c r="DA133" s="228">
        <v>26.5</v>
      </c>
      <c r="DB133" s="228">
        <v>-0.05</v>
      </c>
      <c r="DC133" s="228">
        <v>-0.05</v>
      </c>
      <c r="DD133" s="228">
        <v>32.29</v>
      </c>
      <c r="DE133" s="228">
        <v>32.369999999999997</v>
      </c>
      <c r="DF133" s="228">
        <v>-5.84</v>
      </c>
      <c r="DG133" s="228">
        <v>-0.08</v>
      </c>
      <c r="DH133" s="228">
        <v>26.48</v>
      </c>
      <c r="DI133" s="228">
        <v>26.29</v>
      </c>
      <c r="DJ133" s="228">
        <v>0.19</v>
      </c>
      <c r="DK133" s="228">
        <v>0.19</v>
      </c>
      <c r="DL133" s="228">
        <v>26.38</v>
      </c>
      <c r="DM133" s="228">
        <v>27.3</v>
      </c>
      <c r="DN133" s="228">
        <v>-0.92</v>
      </c>
      <c r="DO133" s="228">
        <v>-0.92</v>
      </c>
      <c r="DP133" s="228">
        <v>0.74</v>
      </c>
      <c r="DQ133" s="228">
        <v>0.65</v>
      </c>
      <c r="DR133" s="228">
        <v>0.09</v>
      </c>
      <c r="DS133" s="229">
        <v>0.13850000000000001</v>
      </c>
      <c r="DT133" s="231">
        <v>1800</v>
      </c>
      <c r="DU133" s="231">
        <v>1500</v>
      </c>
      <c r="DV133" s="228">
        <v>0.33</v>
      </c>
      <c r="DW133" s="228">
        <v>0.31</v>
      </c>
      <c r="DX133" s="228">
        <v>0.02</v>
      </c>
      <c r="DY133" s="229">
        <v>6.4500000000000002E-2</v>
      </c>
      <c r="DZ133" s="229">
        <v>0.96340000000000003</v>
      </c>
      <c r="EA133" s="230">
        <v>8480800</v>
      </c>
      <c r="EB133" s="229">
        <v>5.5999999999999999E-3</v>
      </c>
      <c r="EC133" s="229">
        <v>0.96340000000000003</v>
      </c>
      <c r="ED133" s="228">
        <v>12.89</v>
      </c>
      <c r="EE133" s="229">
        <v>7.4000000000000003E-3</v>
      </c>
      <c r="EF133" s="230">
        <v>597179</v>
      </c>
      <c r="EG133" s="230">
        <v>222207</v>
      </c>
      <c r="EH133" s="229">
        <v>1.6875</v>
      </c>
      <c r="EI133" s="229">
        <v>0.61760000000000004</v>
      </c>
      <c r="EJ133" s="231">
        <v>44470.3</v>
      </c>
      <c r="EK133" s="231">
        <v>13910.88</v>
      </c>
      <c r="EL133" s="231">
        <v>59574.52</v>
      </c>
      <c r="EM133" s="231">
        <v>10164</v>
      </c>
      <c r="EN133" s="231">
        <v>117955.7</v>
      </c>
      <c r="EO133" s="231">
        <v>213752.35</v>
      </c>
      <c r="EP133" s="231">
        <v>-95796.65</v>
      </c>
      <c r="EQ133" s="229">
        <v>-0.44819999999999999</v>
      </c>
      <c r="ER133" s="231">
        <v>7434</v>
      </c>
      <c r="ES133" s="231">
        <v>5136</v>
      </c>
      <c r="ET133" s="231">
        <v>168913</v>
      </c>
      <c r="EU133" s="231">
        <v>35051266</v>
      </c>
      <c r="EV133" s="231">
        <v>181483</v>
      </c>
      <c r="EW133" s="231">
        <v>205586</v>
      </c>
      <c r="EX133" s="231">
        <v>-24103</v>
      </c>
      <c r="EY133" s="229">
        <v>-0.1172</v>
      </c>
      <c r="EZ133" s="229">
        <v>0.29809999999999998</v>
      </c>
      <c r="FA133" s="227" t="s">
        <v>555</v>
      </c>
      <c r="FB133" s="161">
        <f t="shared" si="2"/>
        <v>9344000</v>
      </c>
    </row>
    <row r="134" spans="1:158" ht="17.25" thickBot="1" x14ac:dyDescent="0.3">
      <c r="A134" s="226">
        <v>46168</v>
      </c>
      <c r="B134" s="227" t="s">
        <v>181</v>
      </c>
      <c r="C134" s="227" t="s">
        <v>562</v>
      </c>
      <c r="D134" s="228">
        <v>120</v>
      </c>
      <c r="E134" s="231">
        <v>14777.15</v>
      </c>
      <c r="F134" s="231">
        <v>14661.75</v>
      </c>
      <c r="G134" s="228">
        <v>115.4</v>
      </c>
      <c r="H134" s="229">
        <v>7.9000000000000008E-3</v>
      </c>
      <c r="I134" s="231">
        <v>14675.6</v>
      </c>
      <c r="J134" s="231">
        <v>14559.9</v>
      </c>
      <c r="K134" s="228">
        <v>115.7</v>
      </c>
      <c r="L134" s="229">
        <v>7.9000000000000008E-3</v>
      </c>
      <c r="M134" s="231">
        <v>14670.45</v>
      </c>
      <c r="N134" s="231">
        <v>14563.4</v>
      </c>
      <c r="O134" s="228">
        <v>107.05</v>
      </c>
      <c r="P134" s="229">
        <v>7.4000000000000003E-3</v>
      </c>
      <c r="Q134" s="231">
        <v>14777.15</v>
      </c>
      <c r="R134" s="231">
        <v>14661.75</v>
      </c>
      <c r="S134" s="228">
        <v>115.4</v>
      </c>
      <c r="T134" s="229">
        <v>7.9000000000000008E-3</v>
      </c>
      <c r="U134" s="231">
        <v>14801.35</v>
      </c>
      <c r="V134" s="231">
        <v>14674.2</v>
      </c>
      <c r="W134" s="228">
        <v>127.15</v>
      </c>
      <c r="X134" s="229">
        <v>8.6999999999999994E-3</v>
      </c>
      <c r="Y134" s="228">
        <v>101.55</v>
      </c>
      <c r="Z134" s="228">
        <v>3.5</v>
      </c>
      <c r="AA134" s="228">
        <v>98.05</v>
      </c>
      <c r="AB134" s="229">
        <v>6.8999999999999999E-3</v>
      </c>
      <c r="AC134" s="228">
        <v>-5.15</v>
      </c>
      <c r="AD134" s="228">
        <v>3.5</v>
      </c>
      <c r="AE134" s="228">
        <v>-8.65</v>
      </c>
      <c r="AF134" s="229">
        <v>-4.0000000000000002E-4</v>
      </c>
      <c r="AG134" s="228">
        <v>101.55</v>
      </c>
      <c r="AH134" s="228">
        <v>101.85</v>
      </c>
      <c r="AI134" s="228">
        <v>-0.3</v>
      </c>
      <c r="AJ134" s="229">
        <v>6.8999999999999999E-3</v>
      </c>
      <c r="AK134" s="228">
        <v>125.75</v>
      </c>
      <c r="AL134" s="228">
        <v>114.3</v>
      </c>
      <c r="AM134" s="228">
        <v>11.45</v>
      </c>
      <c r="AN134" s="229">
        <v>8.6E-3</v>
      </c>
      <c r="AO134" s="231">
        <v>14626.09</v>
      </c>
      <c r="AP134" s="231">
        <v>14730.49</v>
      </c>
      <c r="AQ134" s="228">
        <v>0</v>
      </c>
      <c r="AR134" s="230">
        <v>923040</v>
      </c>
      <c r="AS134" s="230">
        <v>2004240</v>
      </c>
      <c r="AT134" s="230">
        <v>-1081200</v>
      </c>
      <c r="AU134" s="229">
        <v>-0.53949999999999998</v>
      </c>
      <c r="AV134" s="230">
        <v>320040</v>
      </c>
      <c r="AW134" s="230">
        <v>970320</v>
      </c>
      <c r="AX134" s="230">
        <v>-650280</v>
      </c>
      <c r="AY134" s="229">
        <v>-0.67020000000000002</v>
      </c>
      <c r="AZ134" s="230">
        <v>579360</v>
      </c>
      <c r="BA134" s="230">
        <v>1008960</v>
      </c>
      <c r="BB134" s="230">
        <v>-429600</v>
      </c>
      <c r="BC134" s="229">
        <v>-0.42580000000000001</v>
      </c>
      <c r="BD134" s="230">
        <v>23640</v>
      </c>
      <c r="BE134" s="230">
        <v>24960</v>
      </c>
      <c r="BF134" s="230">
        <v>-1320</v>
      </c>
      <c r="BG134" s="229">
        <v>-5.2900000000000003E-2</v>
      </c>
      <c r="BH134" s="230">
        <v>384545040</v>
      </c>
      <c r="BI134" s="230">
        <v>52616640</v>
      </c>
      <c r="BJ134" s="230">
        <v>331928400</v>
      </c>
      <c r="BK134" s="229">
        <v>6.3083999999999998</v>
      </c>
      <c r="BL134" s="230">
        <v>330529080</v>
      </c>
      <c r="BM134" s="230">
        <v>56049360</v>
      </c>
      <c r="BN134" s="230">
        <v>274479720</v>
      </c>
      <c r="BO134" s="229">
        <v>4.8971</v>
      </c>
      <c r="BP134" s="230">
        <v>715997160</v>
      </c>
      <c r="BQ134" s="230">
        <v>110670240</v>
      </c>
      <c r="BR134" s="230">
        <v>605326920</v>
      </c>
      <c r="BS134" s="229">
        <v>5.4695999999999998</v>
      </c>
      <c r="BT134" s="228">
        <v>0</v>
      </c>
      <c r="BU134" s="228">
        <v>0</v>
      </c>
      <c r="BV134" s="228">
        <v>0</v>
      </c>
      <c r="BW134" s="229">
        <v>0</v>
      </c>
      <c r="BX134" s="230">
        <v>2058240</v>
      </c>
      <c r="BY134" s="230">
        <v>2428200</v>
      </c>
      <c r="BZ134" s="230">
        <v>-369960</v>
      </c>
      <c r="CA134" s="229">
        <v>-0.15240000000000001</v>
      </c>
      <c r="CB134" s="230">
        <v>353040</v>
      </c>
      <c r="CC134" s="230">
        <v>556800</v>
      </c>
      <c r="CD134" s="230">
        <v>-203760</v>
      </c>
      <c r="CE134" s="229">
        <v>-0.3659</v>
      </c>
      <c r="CF134" s="230">
        <v>2024520</v>
      </c>
      <c r="CG134" s="230">
        <v>1843560</v>
      </c>
      <c r="CH134" s="230">
        <v>180960</v>
      </c>
      <c r="CI134" s="229">
        <v>9.8199999999999996E-2</v>
      </c>
      <c r="CJ134" s="230">
        <v>33720</v>
      </c>
      <c r="CK134" s="230">
        <v>27840</v>
      </c>
      <c r="CL134" s="230">
        <v>5880</v>
      </c>
      <c r="CM134" s="229">
        <v>0.2112</v>
      </c>
      <c r="CN134" s="230">
        <v>1596240</v>
      </c>
      <c r="CO134" s="230">
        <v>7825680</v>
      </c>
      <c r="CP134" s="230">
        <v>-6229440</v>
      </c>
      <c r="CQ134" s="229">
        <v>-0.79600000000000004</v>
      </c>
      <c r="CR134" s="230">
        <v>1789320</v>
      </c>
      <c r="CS134" s="230">
        <v>9691920</v>
      </c>
      <c r="CT134" s="230">
        <v>-7902600</v>
      </c>
      <c r="CU134" s="229">
        <v>-0.81540000000000001</v>
      </c>
      <c r="CV134" s="230">
        <v>5443800</v>
      </c>
      <c r="CW134" s="230">
        <v>19945800</v>
      </c>
      <c r="CX134" s="230">
        <v>-14502000</v>
      </c>
      <c r="CY134" s="229">
        <v>-0.72709999999999997</v>
      </c>
      <c r="CZ134" s="228">
        <v>18.5</v>
      </c>
      <c r="DA134" s="228">
        <v>20.16</v>
      </c>
      <c r="DB134" s="228">
        <v>-1.66</v>
      </c>
      <c r="DC134" s="228">
        <v>-1.66</v>
      </c>
      <c r="DD134" s="228">
        <v>24.76</v>
      </c>
      <c r="DE134" s="228">
        <v>24.8</v>
      </c>
      <c r="DF134" s="228">
        <v>-6.26</v>
      </c>
      <c r="DG134" s="228">
        <v>-0.04</v>
      </c>
      <c r="DH134" s="228">
        <v>16.5</v>
      </c>
      <c r="DI134" s="228">
        <v>18.09</v>
      </c>
      <c r="DJ134" s="228">
        <v>-1.59</v>
      </c>
      <c r="DK134" s="228">
        <v>-1.59</v>
      </c>
      <c r="DL134" s="228">
        <v>20.25</v>
      </c>
      <c r="DM134" s="228">
        <v>21.81</v>
      </c>
      <c r="DN134" s="228">
        <v>-1.56</v>
      </c>
      <c r="DO134" s="228">
        <v>-1.56</v>
      </c>
      <c r="DP134" s="228">
        <v>1.1200000000000001</v>
      </c>
      <c r="DQ134" s="228">
        <v>1.24</v>
      </c>
      <c r="DR134" s="228">
        <v>-0.12</v>
      </c>
      <c r="DS134" s="229">
        <v>-9.6799999999999997E-2</v>
      </c>
      <c r="DT134" s="231">
        <v>14700</v>
      </c>
      <c r="DU134" s="231">
        <v>14600</v>
      </c>
      <c r="DV134" s="228">
        <v>0.86</v>
      </c>
      <c r="DW134" s="228">
        <v>1.07</v>
      </c>
      <c r="DX134" s="228">
        <v>-0.21</v>
      </c>
      <c r="DY134" s="229">
        <v>-0.1963</v>
      </c>
      <c r="DZ134" s="229">
        <v>0.85360000000000003</v>
      </c>
      <c r="EA134" s="230">
        <v>1871400</v>
      </c>
      <c r="EB134" s="229">
        <v>7.3000000000000001E-3</v>
      </c>
      <c r="EC134" s="229">
        <v>0.85360000000000003</v>
      </c>
      <c r="ED134" s="228">
        <v>104.4</v>
      </c>
      <c r="EE134" s="229">
        <v>7.1000000000000004E-3</v>
      </c>
      <c r="EF134" s="228">
        <v>0</v>
      </c>
      <c r="EG134" s="228">
        <v>0</v>
      </c>
      <c r="EH134" s="229">
        <v>0</v>
      </c>
      <c r="EI134" s="229">
        <v>0</v>
      </c>
      <c r="EJ134" s="231">
        <v>56510103</v>
      </c>
      <c r="EK134" s="231">
        <v>48074538.18</v>
      </c>
      <c r="EL134" s="231">
        <v>135641.16</v>
      </c>
      <c r="EM134" s="228">
        <v>0</v>
      </c>
      <c r="EN134" s="231">
        <v>104720282.34</v>
      </c>
      <c r="EO134" s="231">
        <v>16042174.52</v>
      </c>
      <c r="EP134" s="231">
        <v>88678107.819999993</v>
      </c>
      <c r="EQ134" s="229">
        <v>5.5278</v>
      </c>
      <c r="ER134" s="231">
        <v>240729</v>
      </c>
      <c r="ES134" s="231">
        <v>246562</v>
      </c>
      <c r="ET134" s="231">
        <v>304157</v>
      </c>
      <c r="EU134" s="228">
        <v>0</v>
      </c>
      <c r="EV134" s="231">
        <v>791449</v>
      </c>
      <c r="EW134" s="231">
        <v>2855643</v>
      </c>
      <c r="EX134" s="231">
        <v>-2064194</v>
      </c>
      <c r="EY134" s="229">
        <v>-0.7228</v>
      </c>
      <c r="EZ134" s="229">
        <v>0</v>
      </c>
      <c r="FA134" s="227" t="s">
        <v>691</v>
      </c>
      <c r="FB134" s="161">
        <f t="shared" si="2"/>
        <v>1705200</v>
      </c>
    </row>
    <row r="135" spans="1:158" ht="17.25" thickBot="1" x14ac:dyDescent="0.3">
      <c r="A135" s="226">
        <v>46168</v>
      </c>
      <c r="B135" s="227" t="s">
        <v>162</v>
      </c>
      <c r="C135" s="227" t="s">
        <v>558</v>
      </c>
      <c r="D135" s="228">
        <v>6150</v>
      </c>
      <c r="E135" s="228">
        <v>136.74</v>
      </c>
      <c r="F135" s="228">
        <v>136.69</v>
      </c>
      <c r="G135" s="228">
        <v>0.05</v>
      </c>
      <c r="H135" s="229">
        <v>4.0000000000000002E-4</v>
      </c>
      <c r="I135" s="228">
        <v>135.82</v>
      </c>
      <c r="J135" s="228">
        <v>135.91</v>
      </c>
      <c r="K135" s="228">
        <v>-0.09</v>
      </c>
      <c r="L135" s="229">
        <v>-6.9999999999999999E-4</v>
      </c>
      <c r="M135" s="228">
        <v>136.15</v>
      </c>
      <c r="N135" s="228">
        <v>136.16999999999999</v>
      </c>
      <c r="O135" s="228">
        <v>-0.02</v>
      </c>
      <c r="P135" s="229">
        <v>-1E-4</v>
      </c>
      <c r="Q135" s="228">
        <v>136.74</v>
      </c>
      <c r="R135" s="228">
        <v>136.69</v>
      </c>
      <c r="S135" s="228">
        <v>0.05</v>
      </c>
      <c r="T135" s="229">
        <v>4.0000000000000002E-4</v>
      </c>
      <c r="U135" s="228">
        <v>137.34</v>
      </c>
      <c r="V135" s="228">
        <v>137.19999999999999</v>
      </c>
      <c r="W135" s="228">
        <v>0.14000000000000001</v>
      </c>
      <c r="X135" s="229">
        <v>1E-3</v>
      </c>
      <c r="Y135" s="228">
        <v>0.92</v>
      </c>
      <c r="Z135" s="228">
        <v>0.26</v>
      </c>
      <c r="AA135" s="228">
        <v>0.66</v>
      </c>
      <c r="AB135" s="229">
        <v>6.7999999999999996E-3</v>
      </c>
      <c r="AC135" s="228">
        <v>0.33</v>
      </c>
      <c r="AD135" s="228">
        <v>0.26</v>
      </c>
      <c r="AE135" s="228">
        <v>7.0000000000000007E-2</v>
      </c>
      <c r="AF135" s="229">
        <v>2.3999999999999998E-3</v>
      </c>
      <c r="AG135" s="228">
        <v>0.92</v>
      </c>
      <c r="AH135" s="228">
        <v>0.78</v>
      </c>
      <c r="AI135" s="228">
        <v>0.14000000000000001</v>
      </c>
      <c r="AJ135" s="229">
        <v>6.7999999999999996E-3</v>
      </c>
      <c r="AK135" s="228">
        <v>1.52</v>
      </c>
      <c r="AL135" s="228">
        <v>1.29</v>
      </c>
      <c r="AM135" s="228">
        <v>0.23</v>
      </c>
      <c r="AN135" s="229">
        <v>1.12E-2</v>
      </c>
      <c r="AO135" s="228">
        <v>136.19</v>
      </c>
      <c r="AP135" s="228">
        <v>136.79</v>
      </c>
      <c r="AQ135" s="228">
        <v>0</v>
      </c>
      <c r="AR135" s="230">
        <v>76659750</v>
      </c>
      <c r="AS135" s="230">
        <v>128547300</v>
      </c>
      <c r="AT135" s="230">
        <v>-51887550</v>
      </c>
      <c r="AU135" s="229">
        <v>-0.40360000000000001</v>
      </c>
      <c r="AV135" s="230">
        <v>35651550</v>
      </c>
      <c r="AW135" s="230">
        <v>59206050</v>
      </c>
      <c r="AX135" s="230">
        <v>-23554500</v>
      </c>
      <c r="AY135" s="229">
        <v>-0.39779999999999999</v>
      </c>
      <c r="AZ135" s="230">
        <v>40491600</v>
      </c>
      <c r="BA135" s="230">
        <v>68800050</v>
      </c>
      <c r="BB135" s="230">
        <v>-28308450</v>
      </c>
      <c r="BC135" s="229">
        <v>-0.41149999999999998</v>
      </c>
      <c r="BD135" s="230">
        <v>516600</v>
      </c>
      <c r="BE135" s="230">
        <v>541200</v>
      </c>
      <c r="BF135" s="230">
        <v>-24600</v>
      </c>
      <c r="BG135" s="229">
        <v>-4.5499999999999999E-2</v>
      </c>
      <c r="BH135" s="230">
        <v>42022950</v>
      </c>
      <c r="BI135" s="230">
        <v>57311850</v>
      </c>
      <c r="BJ135" s="230">
        <v>-15288900</v>
      </c>
      <c r="BK135" s="229">
        <v>-0.26679999999999998</v>
      </c>
      <c r="BL135" s="230">
        <v>22884150</v>
      </c>
      <c r="BM135" s="230">
        <v>32035350</v>
      </c>
      <c r="BN135" s="230">
        <v>-9151200</v>
      </c>
      <c r="BO135" s="229">
        <v>-0.28570000000000001</v>
      </c>
      <c r="BP135" s="230">
        <v>141566850</v>
      </c>
      <c r="BQ135" s="230">
        <v>217894500</v>
      </c>
      <c r="BR135" s="230">
        <v>-76327650</v>
      </c>
      <c r="BS135" s="229">
        <v>-0.3503</v>
      </c>
      <c r="BT135" s="230">
        <v>13967885</v>
      </c>
      <c r="BU135" s="230">
        <v>16666662</v>
      </c>
      <c r="BV135" s="230">
        <v>-2698777</v>
      </c>
      <c r="BW135" s="229">
        <v>-0.16189999999999999</v>
      </c>
      <c r="BX135" s="230">
        <v>153670050</v>
      </c>
      <c r="BY135" s="230">
        <v>167981100</v>
      </c>
      <c r="BZ135" s="230">
        <v>-14311050</v>
      </c>
      <c r="CA135" s="229">
        <v>-8.5199999999999998E-2</v>
      </c>
      <c r="CB135" s="230">
        <v>18271650</v>
      </c>
      <c r="CC135" s="230">
        <v>31272750</v>
      </c>
      <c r="CD135" s="230">
        <v>-13001100</v>
      </c>
      <c r="CE135" s="229">
        <v>-0.41570000000000001</v>
      </c>
      <c r="CF135" s="230">
        <v>146603700</v>
      </c>
      <c r="CG135" s="230">
        <v>129888000</v>
      </c>
      <c r="CH135" s="230">
        <v>16715700</v>
      </c>
      <c r="CI135" s="229">
        <v>0.12870000000000001</v>
      </c>
      <c r="CJ135" s="230">
        <v>7066350</v>
      </c>
      <c r="CK135" s="230">
        <v>6820350</v>
      </c>
      <c r="CL135" s="230">
        <v>246000</v>
      </c>
      <c r="CM135" s="229">
        <v>3.61E-2</v>
      </c>
      <c r="CN135" s="230">
        <v>22964100</v>
      </c>
      <c r="CO135" s="230">
        <v>51733800</v>
      </c>
      <c r="CP135" s="230">
        <v>-28769700</v>
      </c>
      <c r="CQ135" s="229">
        <v>-0.55610000000000004</v>
      </c>
      <c r="CR135" s="230">
        <v>15719400</v>
      </c>
      <c r="CS135" s="230">
        <v>43006950</v>
      </c>
      <c r="CT135" s="230">
        <v>-27287550</v>
      </c>
      <c r="CU135" s="229">
        <v>-0.63449999999999995</v>
      </c>
      <c r="CV135" s="230">
        <v>192353550</v>
      </c>
      <c r="CW135" s="230">
        <v>262721850</v>
      </c>
      <c r="CX135" s="230">
        <v>-70368300</v>
      </c>
      <c r="CY135" s="229">
        <v>-0.26779999999999998</v>
      </c>
      <c r="CZ135" s="228">
        <v>33.67</v>
      </c>
      <c r="DA135" s="228">
        <v>34.36</v>
      </c>
      <c r="DB135" s="228">
        <v>-0.69</v>
      </c>
      <c r="DC135" s="228">
        <v>-0.69</v>
      </c>
      <c r="DD135" s="228">
        <v>43.62</v>
      </c>
      <c r="DE135" s="228">
        <v>43.73</v>
      </c>
      <c r="DF135" s="228">
        <v>-9.9499999999999993</v>
      </c>
      <c r="DG135" s="228">
        <v>-0.11</v>
      </c>
      <c r="DH135" s="228">
        <v>33.44</v>
      </c>
      <c r="DI135" s="228">
        <v>34.64</v>
      </c>
      <c r="DJ135" s="228">
        <v>-1.2</v>
      </c>
      <c r="DK135" s="228">
        <v>-1.2</v>
      </c>
      <c r="DL135" s="228">
        <v>34.229999999999997</v>
      </c>
      <c r="DM135" s="228">
        <v>33.71</v>
      </c>
      <c r="DN135" s="228">
        <v>0.52</v>
      </c>
      <c r="DO135" s="228">
        <v>0.52</v>
      </c>
      <c r="DP135" s="228">
        <v>0.68</v>
      </c>
      <c r="DQ135" s="228">
        <v>0.83</v>
      </c>
      <c r="DR135" s="228">
        <v>-0.15</v>
      </c>
      <c r="DS135" s="229">
        <v>-0.1807</v>
      </c>
      <c r="DT135" s="228">
        <v>140</v>
      </c>
      <c r="DU135" s="228">
        <v>125</v>
      </c>
      <c r="DV135" s="228">
        <v>0.54</v>
      </c>
      <c r="DW135" s="228">
        <v>0.56000000000000005</v>
      </c>
      <c r="DX135" s="228">
        <v>-0.02</v>
      </c>
      <c r="DY135" s="229">
        <v>-3.5700000000000003E-2</v>
      </c>
      <c r="DZ135" s="229">
        <v>0.89370000000000005</v>
      </c>
      <c r="EA135" s="230">
        <v>136708350</v>
      </c>
      <c r="EB135" s="229">
        <v>4.3E-3</v>
      </c>
      <c r="EC135" s="229">
        <v>0.89370000000000005</v>
      </c>
      <c r="ED135" s="228">
        <v>0.6</v>
      </c>
      <c r="EE135" s="229">
        <v>4.4000000000000003E-3</v>
      </c>
      <c r="EF135" s="230">
        <v>6488053</v>
      </c>
      <c r="EG135" s="230">
        <v>7572087</v>
      </c>
      <c r="EH135" s="229">
        <v>-0.14319999999999999</v>
      </c>
      <c r="EI135" s="229">
        <v>0.46450000000000002</v>
      </c>
      <c r="EJ135" s="231">
        <v>59977.15</v>
      </c>
      <c r="EK135" s="231">
        <v>30443.53</v>
      </c>
      <c r="EL135" s="231">
        <v>104653.45</v>
      </c>
      <c r="EM135" s="231">
        <v>18338</v>
      </c>
      <c r="EN135" s="231">
        <v>195074.13</v>
      </c>
      <c r="EO135" s="231">
        <v>299100.18</v>
      </c>
      <c r="EP135" s="231">
        <v>-104026.05</v>
      </c>
      <c r="EQ135" s="229">
        <v>-0.3478</v>
      </c>
      <c r="ER135" s="231">
        <v>32467</v>
      </c>
      <c r="ES135" s="231">
        <v>20312</v>
      </c>
      <c r="ET135" s="231">
        <v>210171</v>
      </c>
      <c r="EU135" s="231">
        <v>588447385</v>
      </c>
      <c r="EV135" s="231">
        <v>262950</v>
      </c>
      <c r="EW135" s="231">
        <v>355001</v>
      </c>
      <c r="EX135" s="231">
        <v>-92051</v>
      </c>
      <c r="EY135" s="229">
        <v>-0.25929999999999997</v>
      </c>
      <c r="EZ135" s="229">
        <v>0.32690000000000002</v>
      </c>
      <c r="FA135" s="227" t="s">
        <v>691</v>
      </c>
      <c r="FB135" s="161">
        <f t="shared" si="2"/>
        <v>135398400</v>
      </c>
    </row>
    <row r="136" spans="1:158" ht="17.25" thickBot="1" x14ac:dyDescent="0.3">
      <c r="A136" s="226">
        <v>46168</v>
      </c>
      <c r="B136" s="227" t="s">
        <v>175</v>
      </c>
      <c r="C136" s="227" t="s">
        <v>696</v>
      </c>
      <c r="D136" s="228">
        <v>775</v>
      </c>
      <c r="E136" s="228">
        <v>874.6</v>
      </c>
      <c r="F136" s="228">
        <v>875.95</v>
      </c>
      <c r="G136" s="228">
        <v>-1.35</v>
      </c>
      <c r="H136" s="229">
        <v>-1.5E-3</v>
      </c>
      <c r="I136" s="228">
        <v>870.55</v>
      </c>
      <c r="J136" s="228">
        <v>870.3</v>
      </c>
      <c r="K136" s="228">
        <v>0.25</v>
      </c>
      <c r="L136" s="229">
        <v>2.9999999999999997E-4</v>
      </c>
      <c r="M136" s="228">
        <v>869.3</v>
      </c>
      <c r="N136" s="228">
        <v>869.3</v>
      </c>
      <c r="O136" s="228">
        <v>0</v>
      </c>
      <c r="P136" s="229">
        <v>0</v>
      </c>
      <c r="Q136" s="228">
        <v>874.6</v>
      </c>
      <c r="R136" s="228">
        <v>875.95</v>
      </c>
      <c r="S136" s="228">
        <v>-1.35</v>
      </c>
      <c r="T136" s="229">
        <v>-1.5E-3</v>
      </c>
      <c r="U136" s="228">
        <v>880.45</v>
      </c>
      <c r="V136" s="228">
        <v>881.95</v>
      </c>
      <c r="W136" s="228">
        <v>-1.5</v>
      </c>
      <c r="X136" s="229">
        <v>-1.6999999999999999E-3</v>
      </c>
      <c r="Y136" s="228">
        <v>4.05</v>
      </c>
      <c r="Z136" s="228">
        <v>-1</v>
      </c>
      <c r="AA136" s="228">
        <v>5.05</v>
      </c>
      <c r="AB136" s="229">
        <v>4.7000000000000002E-3</v>
      </c>
      <c r="AC136" s="228">
        <v>-1.25</v>
      </c>
      <c r="AD136" s="228">
        <v>-1</v>
      </c>
      <c r="AE136" s="228">
        <v>-0.25</v>
      </c>
      <c r="AF136" s="229">
        <v>-1.4E-3</v>
      </c>
      <c r="AG136" s="228">
        <v>4.05</v>
      </c>
      <c r="AH136" s="228">
        <v>5.65</v>
      </c>
      <c r="AI136" s="228">
        <v>-1.6</v>
      </c>
      <c r="AJ136" s="229">
        <v>4.7000000000000002E-3</v>
      </c>
      <c r="AK136" s="228">
        <v>9.9</v>
      </c>
      <c r="AL136" s="228">
        <v>11.65</v>
      </c>
      <c r="AM136" s="228">
        <v>-1.75</v>
      </c>
      <c r="AN136" s="229">
        <v>1.14E-2</v>
      </c>
      <c r="AO136" s="228">
        <v>874.41</v>
      </c>
      <c r="AP136" s="228">
        <v>881.02</v>
      </c>
      <c r="AQ136" s="228">
        <v>0</v>
      </c>
      <c r="AR136" s="230">
        <v>2564475</v>
      </c>
      <c r="AS136" s="230">
        <v>3778900</v>
      </c>
      <c r="AT136" s="230">
        <v>-1214425</v>
      </c>
      <c r="AU136" s="229">
        <v>-0.32140000000000002</v>
      </c>
      <c r="AV136" s="230">
        <v>985025</v>
      </c>
      <c r="AW136" s="230">
        <v>1671675</v>
      </c>
      <c r="AX136" s="230">
        <v>-686650</v>
      </c>
      <c r="AY136" s="229">
        <v>-0.4108</v>
      </c>
      <c r="AZ136" s="230">
        <v>1558525</v>
      </c>
      <c r="BA136" s="230">
        <v>2076225</v>
      </c>
      <c r="BB136" s="230">
        <v>-517700</v>
      </c>
      <c r="BC136" s="229">
        <v>-0.24929999999999999</v>
      </c>
      <c r="BD136" s="230">
        <v>20925</v>
      </c>
      <c r="BE136" s="230">
        <v>31000</v>
      </c>
      <c r="BF136" s="230">
        <v>-10075</v>
      </c>
      <c r="BG136" s="229">
        <v>-0.32500000000000001</v>
      </c>
      <c r="BH136" s="230">
        <v>4824375</v>
      </c>
      <c r="BI136" s="230">
        <v>5559850</v>
      </c>
      <c r="BJ136" s="230">
        <v>-735475</v>
      </c>
      <c r="BK136" s="229">
        <v>-0.1323</v>
      </c>
      <c r="BL136" s="230">
        <v>1030750</v>
      </c>
      <c r="BM136" s="230">
        <v>961000</v>
      </c>
      <c r="BN136" s="230">
        <v>69750</v>
      </c>
      <c r="BO136" s="229">
        <v>7.2599999999999998E-2</v>
      </c>
      <c r="BP136" s="230">
        <v>8419600</v>
      </c>
      <c r="BQ136" s="230">
        <v>10299750</v>
      </c>
      <c r="BR136" s="230">
        <v>-1880150</v>
      </c>
      <c r="BS136" s="229">
        <v>-0.1825</v>
      </c>
      <c r="BT136" s="230">
        <v>1510751</v>
      </c>
      <c r="BU136" s="230">
        <v>850295</v>
      </c>
      <c r="BV136" s="230">
        <v>660456</v>
      </c>
      <c r="BW136" s="229">
        <v>0.77669999999999995</v>
      </c>
      <c r="BX136" s="230">
        <v>4036975</v>
      </c>
      <c r="BY136" s="230">
        <v>4233825</v>
      </c>
      <c r="BZ136" s="230">
        <v>-196850</v>
      </c>
      <c r="CA136" s="229">
        <v>-4.65E-2</v>
      </c>
      <c r="CB136" s="230">
        <v>229400</v>
      </c>
      <c r="CC136" s="230">
        <v>585900</v>
      </c>
      <c r="CD136" s="230">
        <v>-356500</v>
      </c>
      <c r="CE136" s="229">
        <v>-0.60850000000000004</v>
      </c>
      <c r="CF136" s="230">
        <v>3976525</v>
      </c>
      <c r="CG136" s="230">
        <v>3599875</v>
      </c>
      <c r="CH136" s="230">
        <v>376650</v>
      </c>
      <c r="CI136" s="229">
        <v>0.1046</v>
      </c>
      <c r="CJ136" s="230">
        <v>60450</v>
      </c>
      <c r="CK136" s="230">
        <v>48050</v>
      </c>
      <c r="CL136" s="230">
        <v>12400</v>
      </c>
      <c r="CM136" s="229">
        <v>0.2581</v>
      </c>
      <c r="CN136" s="230">
        <v>852500</v>
      </c>
      <c r="CO136" s="230">
        <v>2313375</v>
      </c>
      <c r="CP136" s="230">
        <v>-1460875</v>
      </c>
      <c r="CQ136" s="229">
        <v>-0.63149999999999995</v>
      </c>
      <c r="CR136" s="230">
        <v>419275</v>
      </c>
      <c r="CS136" s="230">
        <v>1516675</v>
      </c>
      <c r="CT136" s="230">
        <v>-1097400</v>
      </c>
      <c r="CU136" s="229">
        <v>-0.72360000000000002</v>
      </c>
      <c r="CV136" s="230">
        <v>5308750</v>
      </c>
      <c r="CW136" s="230">
        <v>8063875</v>
      </c>
      <c r="CX136" s="230">
        <v>-2755125</v>
      </c>
      <c r="CY136" s="229">
        <v>-0.3417</v>
      </c>
      <c r="CZ136" s="228">
        <v>37.17</v>
      </c>
      <c r="DA136" s="228">
        <v>38.479999999999997</v>
      </c>
      <c r="DB136" s="228">
        <v>-1.31</v>
      </c>
      <c r="DC136" s="228">
        <v>-1.31</v>
      </c>
      <c r="DD136" s="228">
        <v>52.83</v>
      </c>
      <c r="DE136" s="228">
        <v>52.96</v>
      </c>
      <c r="DF136" s="228">
        <v>-15.66</v>
      </c>
      <c r="DG136" s="228">
        <v>-0.13</v>
      </c>
      <c r="DH136" s="228">
        <v>37</v>
      </c>
      <c r="DI136" s="228">
        <v>38.270000000000003</v>
      </c>
      <c r="DJ136" s="228">
        <v>-1.27</v>
      </c>
      <c r="DK136" s="228">
        <v>-1.27</v>
      </c>
      <c r="DL136" s="228">
        <v>38.07</v>
      </c>
      <c r="DM136" s="228">
        <v>39.17</v>
      </c>
      <c r="DN136" s="228">
        <v>-1.1000000000000001</v>
      </c>
      <c r="DO136" s="228">
        <v>-1.1000000000000001</v>
      </c>
      <c r="DP136" s="228">
        <v>0.49</v>
      </c>
      <c r="DQ136" s="228">
        <v>0.66</v>
      </c>
      <c r="DR136" s="228">
        <v>-0.17</v>
      </c>
      <c r="DS136" s="229">
        <v>-0.2576</v>
      </c>
      <c r="DT136" s="228">
        <v>900</v>
      </c>
      <c r="DU136" s="228">
        <v>800</v>
      </c>
      <c r="DV136" s="228">
        <v>0.21</v>
      </c>
      <c r="DW136" s="228">
        <v>0.17</v>
      </c>
      <c r="DX136" s="228">
        <v>0.04</v>
      </c>
      <c r="DY136" s="229">
        <v>0.23530000000000001</v>
      </c>
      <c r="DZ136" s="229">
        <v>0.94620000000000004</v>
      </c>
      <c r="EA136" s="230">
        <v>3647925</v>
      </c>
      <c r="EB136" s="229">
        <v>6.1000000000000004E-3</v>
      </c>
      <c r="EC136" s="229">
        <v>0.94620000000000004</v>
      </c>
      <c r="ED136" s="228">
        <v>6.61</v>
      </c>
      <c r="EE136" s="229">
        <v>7.6E-3</v>
      </c>
      <c r="EF136" s="230">
        <v>632295</v>
      </c>
      <c r="EG136" s="230">
        <v>380554</v>
      </c>
      <c r="EH136" s="229">
        <v>0.66149999999999998</v>
      </c>
      <c r="EI136" s="229">
        <v>0.41849999999999998</v>
      </c>
      <c r="EJ136" s="231">
        <v>44076</v>
      </c>
      <c r="EK136" s="231">
        <v>8910.07</v>
      </c>
      <c r="EL136" s="231">
        <v>22529.200000000001</v>
      </c>
      <c r="EM136" s="231">
        <v>3340</v>
      </c>
      <c r="EN136" s="231">
        <v>75515.27</v>
      </c>
      <c r="EO136" s="231">
        <v>90868.4</v>
      </c>
      <c r="EP136" s="231">
        <v>-15353.13</v>
      </c>
      <c r="EQ136" s="229">
        <v>-0.16900000000000001</v>
      </c>
      <c r="ER136" s="231">
        <v>7763</v>
      </c>
      <c r="ES136" s="231">
        <v>3463</v>
      </c>
      <c r="ET136" s="231">
        <v>35311</v>
      </c>
      <c r="EU136" s="231">
        <v>29196111</v>
      </c>
      <c r="EV136" s="231">
        <v>46537</v>
      </c>
      <c r="EW136" s="231">
        <v>69388</v>
      </c>
      <c r="EX136" s="231">
        <v>-22851</v>
      </c>
      <c r="EY136" s="229">
        <v>-0.32929999999999998</v>
      </c>
      <c r="EZ136" s="229">
        <v>0.18179999999999999</v>
      </c>
      <c r="FA136" s="227" t="s">
        <v>567</v>
      </c>
      <c r="FB136" s="161">
        <f t="shared" si="2"/>
        <v>3807575</v>
      </c>
    </row>
    <row r="137" spans="1:158" ht="17.25" thickBot="1" x14ac:dyDescent="0.3">
      <c r="A137" s="226">
        <v>46168</v>
      </c>
      <c r="B137" s="227" t="s">
        <v>221</v>
      </c>
      <c r="C137" s="227" t="s">
        <v>487</v>
      </c>
      <c r="D137" s="228">
        <v>275</v>
      </c>
      <c r="E137" s="231">
        <v>2287.4</v>
      </c>
      <c r="F137" s="231">
        <v>2259.3000000000002</v>
      </c>
      <c r="G137" s="228">
        <v>28.1</v>
      </c>
      <c r="H137" s="229">
        <v>1.24E-2</v>
      </c>
      <c r="I137" s="231">
        <v>2265.3000000000002</v>
      </c>
      <c r="J137" s="231">
        <v>2244</v>
      </c>
      <c r="K137" s="228">
        <v>21.3</v>
      </c>
      <c r="L137" s="229">
        <v>9.4999999999999998E-3</v>
      </c>
      <c r="M137" s="231">
        <v>2269</v>
      </c>
      <c r="N137" s="231">
        <v>2245.6999999999998</v>
      </c>
      <c r="O137" s="228">
        <v>23.3</v>
      </c>
      <c r="P137" s="229">
        <v>1.04E-2</v>
      </c>
      <c r="Q137" s="231">
        <v>2287.4</v>
      </c>
      <c r="R137" s="231">
        <v>2259.3000000000002</v>
      </c>
      <c r="S137" s="228">
        <v>28.1</v>
      </c>
      <c r="T137" s="229">
        <v>1.24E-2</v>
      </c>
      <c r="U137" s="231">
        <v>2296</v>
      </c>
      <c r="V137" s="231">
        <v>2268.1</v>
      </c>
      <c r="W137" s="228">
        <v>27.9</v>
      </c>
      <c r="X137" s="229">
        <v>1.23E-2</v>
      </c>
      <c r="Y137" s="228">
        <v>22.1</v>
      </c>
      <c r="Z137" s="228">
        <v>1.7</v>
      </c>
      <c r="AA137" s="228">
        <v>20.399999999999999</v>
      </c>
      <c r="AB137" s="229">
        <v>9.7999999999999997E-3</v>
      </c>
      <c r="AC137" s="228">
        <v>3.7</v>
      </c>
      <c r="AD137" s="228">
        <v>1.7</v>
      </c>
      <c r="AE137" s="228">
        <v>2</v>
      </c>
      <c r="AF137" s="229">
        <v>1.6000000000000001E-3</v>
      </c>
      <c r="AG137" s="228">
        <v>22.1</v>
      </c>
      <c r="AH137" s="228">
        <v>15.3</v>
      </c>
      <c r="AI137" s="228">
        <v>6.8</v>
      </c>
      <c r="AJ137" s="229">
        <v>9.7999999999999997E-3</v>
      </c>
      <c r="AK137" s="228">
        <v>30.7</v>
      </c>
      <c r="AL137" s="228">
        <v>24.1</v>
      </c>
      <c r="AM137" s="228">
        <v>6.6</v>
      </c>
      <c r="AN137" s="229">
        <v>1.3599999999999999E-2</v>
      </c>
      <c r="AO137" s="231">
        <v>2261.8000000000002</v>
      </c>
      <c r="AP137" s="231">
        <v>2276.6</v>
      </c>
      <c r="AQ137" s="228">
        <v>0</v>
      </c>
      <c r="AR137" s="230">
        <v>1680525</v>
      </c>
      <c r="AS137" s="230">
        <v>2482150</v>
      </c>
      <c r="AT137" s="230">
        <v>-801625</v>
      </c>
      <c r="AU137" s="229">
        <v>-0.32300000000000001</v>
      </c>
      <c r="AV137" s="230">
        <v>750475</v>
      </c>
      <c r="AW137" s="230">
        <v>1149500</v>
      </c>
      <c r="AX137" s="230">
        <v>-399025</v>
      </c>
      <c r="AY137" s="229">
        <v>-0.34710000000000002</v>
      </c>
      <c r="AZ137" s="230">
        <v>922075</v>
      </c>
      <c r="BA137" s="230">
        <v>1312300</v>
      </c>
      <c r="BB137" s="230">
        <v>-390225</v>
      </c>
      <c r="BC137" s="229">
        <v>-0.2974</v>
      </c>
      <c r="BD137" s="230">
        <v>7975</v>
      </c>
      <c r="BE137" s="230">
        <v>20350</v>
      </c>
      <c r="BF137" s="230">
        <v>-12375</v>
      </c>
      <c r="BG137" s="229">
        <v>-0.60809999999999997</v>
      </c>
      <c r="BH137" s="230">
        <v>1531475</v>
      </c>
      <c r="BI137" s="230">
        <v>1314225</v>
      </c>
      <c r="BJ137" s="230">
        <v>217250</v>
      </c>
      <c r="BK137" s="229">
        <v>0.1653</v>
      </c>
      <c r="BL137" s="230">
        <v>959200</v>
      </c>
      <c r="BM137" s="230">
        <v>1005400</v>
      </c>
      <c r="BN137" s="230">
        <v>-46200</v>
      </c>
      <c r="BO137" s="229">
        <v>-4.5999999999999999E-2</v>
      </c>
      <c r="BP137" s="230">
        <v>4171200</v>
      </c>
      <c r="BQ137" s="230">
        <v>4801775</v>
      </c>
      <c r="BR137" s="230">
        <v>-630575</v>
      </c>
      <c r="BS137" s="229">
        <v>-0.1313</v>
      </c>
      <c r="BT137" s="230">
        <v>310562</v>
      </c>
      <c r="BU137" s="230">
        <v>198341</v>
      </c>
      <c r="BV137" s="230">
        <v>112221</v>
      </c>
      <c r="BW137" s="229">
        <v>0.56579999999999997</v>
      </c>
      <c r="BX137" s="230">
        <v>4254250</v>
      </c>
      <c r="BY137" s="230">
        <v>4925525</v>
      </c>
      <c r="BZ137" s="230">
        <v>-671275</v>
      </c>
      <c r="CA137" s="229">
        <v>-0.1363</v>
      </c>
      <c r="CB137" s="230">
        <v>712525</v>
      </c>
      <c r="CC137" s="230">
        <v>1177000</v>
      </c>
      <c r="CD137" s="230">
        <v>-464475</v>
      </c>
      <c r="CE137" s="229">
        <v>-0.39460000000000001</v>
      </c>
      <c r="CF137" s="230">
        <v>4220700</v>
      </c>
      <c r="CG137" s="230">
        <v>3719650</v>
      </c>
      <c r="CH137" s="230">
        <v>501050</v>
      </c>
      <c r="CI137" s="229">
        <v>0.13469999999999999</v>
      </c>
      <c r="CJ137" s="230">
        <v>33550</v>
      </c>
      <c r="CK137" s="230">
        <v>28875</v>
      </c>
      <c r="CL137" s="230">
        <v>4675</v>
      </c>
      <c r="CM137" s="229">
        <v>0.16189999999999999</v>
      </c>
      <c r="CN137" s="230">
        <v>450725</v>
      </c>
      <c r="CO137" s="230">
        <v>1626900</v>
      </c>
      <c r="CP137" s="230">
        <v>-1176175</v>
      </c>
      <c r="CQ137" s="229">
        <v>-0.72299999999999998</v>
      </c>
      <c r="CR137" s="230">
        <v>380875</v>
      </c>
      <c r="CS137" s="230">
        <v>1358775</v>
      </c>
      <c r="CT137" s="230">
        <v>-977900</v>
      </c>
      <c r="CU137" s="229">
        <v>-0.71970000000000001</v>
      </c>
      <c r="CV137" s="230">
        <v>5085850</v>
      </c>
      <c r="CW137" s="230">
        <v>7911200</v>
      </c>
      <c r="CX137" s="230">
        <v>-2825350</v>
      </c>
      <c r="CY137" s="229">
        <v>-0.35709999999999997</v>
      </c>
      <c r="CZ137" s="228">
        <v>33.74</v>
      </c>
      <c r="DA137" s="228">
        <v>33.78</v>
      </c>
      <c r="DB137" s="228">
        <v>-0.04</v>
      </c>
      <c r="DC137" s="228">
        <v>-0.04</v>
      </c>
      <c r="DD137" s="228">
        <v>36.89</v>
      </c>
      <c r="DE137" s="228">
        <v>36.94</v>
      </c>
      <c r="DF137" s="228">
        <v>-3.15</v>
      </c>
      <c r="DG137" s="228">
        <v>-0.05</v>
      </c>
      <c r="DH137" s="228">
        <v>33.369999999999997</v>
      </c>
      <c r="DI137" s="228">
        <v>34.07</v>
      </c>
      <c r="DJ137" s="228">
        <v>-0.7</v>
      </c>
      <c r="DK137" s="228">
        <v>-0.7</v>
      </c>
      <c r="DL137" s="228">
        <v>34.76</v>
      </c>
      <c r="DM137" s="228">
        <v>33.25</v>
      </c>
      <c r="DN137" s="228">
        <v>1.51</v>
      </c>
      <c r="DO137" s="228">
        <v>1.51</v>
      </c>
      <c r="DP137" s="228">
        <v>0.85</v>
      </c>
      <c r="DQ137" s="228">
        <v>0.84</v>
      </c>
      <c r="DR137" s="228">
        <v>0.01</v>
      </c>
      <c r="DS137" s="229">
        <v>1.1900000000000001E-2</v>
      </c>
      <c r="DT137" s="231">
        <v>2320</v>
      </c>
      <c r="DU137" s="231">
        <v>2140</v>
      </c>
      <c r="DV137" s="228">
        <v>0.63</v>
      </c>
      <c r="DW137" s="228">
        <v>0.77</v>
      </c>
      <c r="DX137" s="228">
        <v>-0.14000000000000001</v>
      </c>
      <c r="DY137" s="229">
        <v>-0.18179999999999999</v>
      </c>
      <c r="DZ137" s="229">
        <v>0.85650000000000004</v>
      </c>
      <c r="EA137" s="230">
        <v>3748525</v>
      </c>
      <c r="EB137" s="229">
        <v>8.0999999999999996E-3</v>
      </c>
      <c r="EC137" s="229">
        <v>0.85650000000000004</v>
      </c>
      <c r="ED137" s="228">
        <v>14.8</v>
      </c>
      <c r="EE137" s="229">
        <v>6.4999999999999997E-3</v>
      </c>
      <c r="EF137" s="230">
        <v>133612</v>
      </c>
      <c r="EG137" s="230">
        <v>74770</v>
      </c>
      <c r="EH137" s="229">
        <v>0.78700000000000003</v>
      </c>
      <c r="EI137" s="229">
        <v>0.43020000000000003</v>
      </c>
      <c r="EJ137" s="231">
        <v>36106.58</v>
      </c>
      <c r="EK137" s="231">
        <v>21614.38</v>
      </c>
      <c r="EL137" s="231">
        <v>38148.86</v>
      </c>
      <c r="EM137" s="231">
        <v>9534</v>
      </c>
      <c r="EN137" s="231">
        <v>95869.82</v>
      </c>
      <c r="EO137" s="231">
        <v>108984.01</v>
      </c>
      <c r="EP137" s="231">
        <v>-13114.19</v>
      </c>
      <c r="EQ137" s="229">
        <v>-0.1203</v>
      </c>
      <c r="ER137" s="231">
        <v>10520</v>
      </c>
      <c r="ES137" s="231">
        <v>8427</v>
      </c>
      <c r="ET137" s="231">
        <v>97315</v>
      </c>
      <c r="EU137" s="231">
        <v>19838356</v>
      </c>
      <c r="EV137" s="231">
        <v>116262</v>
      </c>
      <c r="EW137" s="231">
        <v>178361</v>
      </c>
      <c r="EX137" s="231">
        <v>-62099</v>
      </c>
      <c r="EY137" s="229">
        <v>-0.34820000000000001</v>
      </c>
      <c r="EZ137" s="229">
        <v>0.25640000000000002</v>
      </c>
      <c r="FA137" s="227" t="s">
        <v>691</v>
      </c>
      <c r="FB137" s="161">
        <f t="shared" si="2"/>
        <v>3541725</v>
      </c>
    </row>
    <row r="138" spans="1:158" ht="17.25" thickBot="1" x14ac:dyDescent="0.3">
      <c r="A138" s="226">
        <v>46168</v>
      </c>
      <c r="B138" s="227" t="s">
        <v>175</v>
      </c>
      <c r="C138" s="227" t="s">
        <v>262</v>
      </c>
      <c r="D138" s="228">
        <v>275</v>
      </c>
      <c r="E138" s="231">
        <v>3336.8</v>
      </c>
      <c r="F138" s="231">
        <v>3359.6</v>
      </c>
      <c r="G138" s="228">
        <v>-22.8</v>
      </c>
      <c r="H138" s="229">
        <v>-6.7999999999999996E-3</v>
      </c>
      <c r="I138" s="231">
        <v>3331.5</v>
      </c>
      <c r="J138" s="231">
        <v>3354.4</v>
      </c>
      <c r="K138" s="228">
        <v>-22.9</v>
      </c>
      <c r="L138" s="229">
        <v>-6.7999999999999996E-3</v>
      </c>
      <c r="M138" s="231">
        <v>3338.8</v>
      </c>
      <c r="N138" s="231">
        <v>3360.6</v>
      </c>
      <c r="O138" s="228">
        <v>-21.8</v>
      </c>
      <c r="P138" s="229">
        <v>-6.4999999999999997E-3</v>
      </c>
      <c r="Q138" s="231">
        <v>3336.8</v>
      </c>
      <c r="R138" s="231">
        <v>3359.6</v>
      </c>
      <c r="S138" s="228">
        <v>-22.8</v>
      </c>
      <c r="T138" s="229">
        <v>-6.7999999999999996E-3</v>
      </c>
      <c r="U138" s="231">
        <v>3351.1</v>
      </c>
      <c r="V138" s="231">
        <v>3375.2</v>
      </c>
      <c r="W138" s="228">
        <v>-24.1</v>
      </c>
      <c r="X138" s="229">
        <v>-7.1000000000000004E-3</v>
      </c>
      <c r="Y138" s="228">
        <v>5.3</v>
      </c>
      <c r="Z138" s="228">
        <v>6.2</v>
      </c>
      <c r="AA138" s="228">
        <v>-0.9</v>
      </c>
      <c r="AB138" s="229">
        <v>1.6000000000000001E-3</v>
      </c>
      <c r="AC138" s="228">
        <v>7.3</v>
      </c>
      <c r="AD138" s="228">
        <v>6.2</v>
      </c>
      <c r="AE138" s="228">
        <v>1.1000000000000001</v>
      </c>
      <c r="AF138" s="229">
        <v>2.2000000000000001E-3</v>
      </c>
      <c r="AG138" s="228">
        <v>5.3</v>
      </c>
      <c r="AH138" s="228">
        <v>5.2</v>
      </c>
      <c r="AI138" s="228">
        <v>0.1</v>
      </c>
      <c r="AJ138" s="229">
        <v>1.6000000000000001E-3</v>
      </c>
      <c r="AK138" s="228">
        <v>19.600000000000001</v>
      </c>
      <c r="AL138" s="228">
        <v>20.8</v>
      </c>
      <c r="AM138" s="228">
        <v>-1.2</v>
      </c>
      <c r="AN138" s="229">
        <v>5.8999999999999999E-3</v>
      </c>
      <c r="AO138" s="231">
        <v>3347.22</v>
      </c>
      <c r="AP138" s="231">
        <v>3345.56</v>
      </c>
      <c r="AQ138" s="228">
        <v>0</v>
      </c>
      <c r="AR138" s="230">
        <v>885500</v>
      </c>
      <c r="AS138" s="230">
        <v>2639450</v>
      </c>
      <c r="AT138" s="230">
        <v>-1753950</v>
      </c>
      <c r="AU138" s="229">
        <v>-0.66449999999999998</v>
      </c>
      <c r="AV138" s="230">
        <v>391875</v>
      </c>
      <c r="AW138" s="230">
        <v>1212750</v>
      </c>
      <c r="AX138" s="230">
        <v>-820875</v>
      </c>
      <c r="AY138" s="229">
        <v>-0.67689999999999995</v>
      </c>
      <c r="AZ138" s="230">
        <v>482900</v>
      </c>
      <c r="BA138" s="230">
        <v>1411850</v>
      </c>
      <c r="BB138" s="230">
        <v>-928950</v>
      </c>
      <c r="BC138" s="229">
        <v>-0.65800000000000003</v>
      </c>
      <c r="BD138" s="230">
        <v>10725</v>
      </c>
      <c r="BE138" s="230">
        <v>14850</v>
      </c>
      <c r="BF138" s="230">
        <v>-4125</v>
      </c>
      <c r="BG138" s="229">
        <v>-0.27779999999999999</v>
      </c>
      <c r="BH138" s="230">
        <v>1999250</v>
      </c>
      <c r="BI138" s="230">
        <v>5393575</v>
      </c>
      <c r="BJ138" s="230">
        <v>-3394325</v>
      </c>
      <c r="BK138" s="229">
        <v>-0.62929999999999997</v>
      </c>
      <c r="BL138" s="230">
        <v>1334300</v>
      </c>
      <c r="BM138" s="230">
        <v>2677400</v>
      </c>
      <c r="BN138" s="230">
        <v>-1343100</v>
      </c>
      <c r="BO138" s="229">
        <v>-0.50160000000000005</v>
      </c>
      <c r="BP138" s="230">
        <v>4219050</v>
      </c>
      <c r="BQ138" s="230">
        <v>10710425</v>
      </c>
      <c r="BR138" s="230">
        <v>-6491375</v>
      </c>
      <c r="BS138" s="229">
        <v>-0.60609999999999997</v>
      </c>
      <c r="BT138" s="230">
        <v>1091541</v>
      </c>
      <c r="BU138" s="230">
        <v>613218</v>
      </c>
      <c r="BV138" s="230">
        <v>478323</v>
      </c>
      <c r="BW138" s="229">
        <v>0.78</v>
      </c>
      <c r="BX138" s="230">
        <v>3712500</v>
      </c>
      <c r="BY138" s="230">
        <v>4556475</v>
      </c>
      <c r="BZ138" s="230">
        <v>-843975</v>
      </c>
      <c r="CA138" s="229">
        <v>-0.1852</v>
      </c>
      <c r="CB138" s="230">
        <v>759275</v>
      </c>
      <c r="CC138" s="230">
        <v>923175</v>
      </c>
      <c r="CD138" s="230">
        <v>-163900</v>
      </c>
      <c r="CE138" s="229">
        <v>-0.17749999999999999</v>
      </c>
      <c r="CF138" s="230">
        <v>3676750</v>
      </c>
      <c r="CG138" s="230">
        <v>3600300</v>
      </c>
      <c r="CH138" s="230">
        <v>76450</v>
      </c>
      <c r="CI138" s="229">
        <v>2.12E-2</v>
      </c>
      <c r="CJ138" s="230">
        <v>35750</v>
      </c>
      <c r="CK138" s="230">
        <v>33000</v>
      </c>
      <c r="CL138" s="230">
        <v>2750</v>
      </c>
      <c r="CM138" s="229">
        <v>8.3299999999999999E-2</v>
      </c>
      <c r="CN138" s="230">
        <v>996875</v>
      </c>
      <c r="CO138" s="230">
        <v>2896300</v>
      </c>
      <c r="CP138" s="230">
        <v>-1899425</v>
      </c>
      <c r="CQ138" s="229">
        <v>-0.65580000000000005</v>
      </c>
      <c r="CR138" s="230">
        <v>652300</v>
      </c>
      <c r="CS138" s="230">
        <v>1918125</v>
      </c>
      <c r="CT138" s="230">
        <v>-1265825</v>
      </c>
      <c r="CU138" s="229">
        <v>-0.65990000000000004</v>
      </c>
      <c r="CV138" s="230">
        <v>5361675</v>
      </c>
      <c r="CW138" s="230">
        <v>9370900</v>
      </c>
      <c r="CX138" s="230">
        <v>-4009225</v>
      </c>
      <c r="CY138" s="229">
        <v>-0.42780000000000001</v>
      </c>
      <c r="CZ138" s="228">
        <v>28.59</v>
      </c>
      <c r="DA138" s="228">
        <v>30.78</v>
      </c>
      <c r="DB138" s="228">
        <v>-2.19</v>
      </c>
      <c r="DC138" s="228">
        <v>-2.19</v>
      </c>
      <c r="DD138" s="228">
        <v>43.86</v>
      </c>
      <c r="DE138" s="228">
        <v>43.96</v>
      </c>
      <c r="DF138" s="228">
        <v>-15.27</v>
      </c>
      <c r="DG138" s="228">
        <v>-0.1</v>
      </c>
      <c r="DH138" s="228">
        <v>28.53</v>
      </c>
      <c r="DI138" s="228">
        <v>30.81</v>
      </c>
      <c r="DJ138" s="228">
        <v>-2.2799999999999998</v>
      </c>
      <c r="DK138" s="228">
        <v>-2.2799999999999998</v>
      </c>
      <c r="DL138" s="228">
        <v>28.69</v>
      </c>
      <c r="DM138" s="228">
        <v>30.7</v>
      </c>
      <c r="DN138" s="228">
        <v>-2.0099999999999998</v>
      </c>
      <c r="DO138" s="228">
        <v>-2.0099999999999998</v>
      </c>
      <c r="DP138" s="228">
        <v>0.65</v>
      </c>
      <c r="DQ138" s="228">
        <v>0.66</v>
      </c>
      <c r="DR138" s="228">
        <v>-0.01</v>
      </c>
      <c r="DS138" s="229">
        <v>-1.52E-2</v>
      </c>
      <c r="DT138" s="231">
        <v>3500</v>
      </c>
      <c r="DU138" s="231">
        <v>3300</v>
      </c>
      <c r="DV138" s="228">
        <v>0.67</v>
      </c>
      <c r="DW138" s="228">
        <v>0.5</v>
      </c>
      <c r="DX138" s="228">
        <v>0.17</v>
      </c>
      <c r="DY138" s="229">
        <v>0.34</v>
      </c>
      <c r="DZ138" s="229">
        <v>0.83020000000000005</v>
      </c>
      <c r="EA138" s="230">
        <v>3633300</v>
      </c>
      <c r="EB138" s="229">
        <v>-5.9999999999999995E-4</v>
      </c>
      <c r="EC138" s="229">
        <v>0.83020000000000005</v>
      </c>
      <c r="ED138" s="228">
        <v>-1.66</v>
      </c>
      <c r="EE138" s="229">
        <v>-5.0000000000000001E-4</v>
      </c>
      <c r="EF138" s="230">
        <v>980894</v>
      </c>
      <c r="EG138" s="230">
        <v>290026</v>
      </c>
      <c r="EH138" s="229">
        <v>2.3820999999999999</v>
      </c>
      <c r="EI138" s="229">
        <v>0.89859999999999995</v>
      </c>
      <c r="EJ138" s="231">
        <v>70658.66</v>
      </c>
      <c r="EK138" s="231">
        <v>43840.98</v>
      </c>
      <c r="EL138" s="231">
        <v>29632.65</v>
      </c>
      <c r="EM138" s="231">
        <v>9259</v>
      </c>
      <c r="EN138" s="231">
        <v>144132.29</v>
      </c>
      <c r="EO138" s="231">
        <v>367217.44</v>
      </c>
      <c r="EP138" s="231">
        <v>-223085.15</v>
      </c>
      <c r="EQ138" s="229">
        <v>-0.60750000000000004</v>
      </c>
      <c r="ER138" s="231">
        <v>35097</v>
      </c>
      <c r="ES138" s="231">
        <v>21387</v>
      </c>
      <c r="ET138" s="231">
        <v>123884</v>
      </c>
      <c r="EU138" s="231">
        <v>16050690</v>
      </c>
      <c r="EV138" s="231">
        <v>180368</v>
      </c>
      <c r="EW138" s="231">
        <v>318286</v>
      </c>
      <c r="EX138" s="231">
        <v>-137918</v>
      </c>
      <c r="EY138" s="229">
        <v>-0.43330000000000002</v>
      </c>
      <c r="EZ138" s="229">
        <v>0.33400000000000002</v>
      </c>
      <c r="FA138" s="227" t="s">
        <v>567</v>
      </c>
      <c r="FB138" s="161">
        <f t="shared" si="2"/>
        <v>2953225</v>
      </c>
    </row>
    <row r="139" spans="1:158" ht="17.25" thickBot="1" x14ac:dyDescent="0.3">
      <c r="A139" s="226">
        <v>46168</v>
      </c>
      <c r="B139" s="227" t="s">
        <v>175</v>
      </c>
      <c r="C139" s="227" t="s">
        <v>486</v>
      </c>
      <c r="D139" s="228">
        <v>625</v>
      </c>
      <c r="E139" s="231">
        <v>1091.2</v>
      </c>
      <c r="F139" s="231">
        <v>1096.2</v>
      </c>
      <c r="G139" s="228">
        <v>-5</v>
      </c>
      <c r="H139" s="229">
        <v>-4.5999999999999999E-3</v>
      </c>
      <c r="I139" s="231">
        <v>1095.7</v>
      </c>
      <c r="J139" s="231">
        <v>1100.0999999999999</v>
      </c>
      <c r="K139" s="228">
        <v>-4.4000000000000004</v>
      </c>
      <c r="L139" s="229">
        <v>-4.0000000000000001E-3</v>
      </c>
      <c r="M139" s="231">
        <v>1097</v>
      </c>
      <c r="N139" s="231">
        <v>1101</v>
      </c>
      <c r="O139" s="228">
        <v>-4</v>
      </c>
      <c r="P139" s="229">
        <v>-3.5999999999999999E-3</v>
      </c>
      <c r="Q139" s="231">
        <v>1091.2</v>
      </c>
      <c r="R139" s="231">
        <v>1096.2</v>
      </c>
      <c r="S139" s="228">
        <v>-5</v>
      </c>
      <c r="T139" s="229">
        <v>-4.5999999999999999E-3</v>
      </c>
      <c r="U139" s="231">
        <v>1090</v>
      </c>
      <c r="V139" s="231">
        <v>1088</v>
      </c>
      <c r="W139" s="228">
        <v>2</v>
      </c>
      <c r="X139" s="229">
        <v>1.8E-3</v>
      </c>
      <c r="Y139" s="228">
        <v>-4.5</v>
      </c>
      <c r="Z139" s="228">
        <v>0.9</v>
      </c>
      <c r="AA139" s="228">
        <v>-5.4</v>
      </c>
      <c r="AB139" s="229">
        <v>-4.1000000000000003E-3</v>
      </c>
      <c r="AC139" s="228">
        <v>1.3</v>
      </c>
      <c r="AD139" s="228">
        <v>0.9</v>
      </c>
      <c r="AE139" s="228">
        <v>0.4</v>
      </c>
      <c r="AF139" s="229">
        <v>1.1999999999999999E-3</v>
      </c>
      <c r="AG139" s="228">
        <v>-4.5</v>
      </c>
      <c r="AH139" s="228">
        <v>-3.9</v>
      </c>
      <c r="AI139" s="228">
        <v>-0.6</v>
      </c>
      <c r="AJ139" s="229">
        <v>-4.1000000000000003E-3</v>
      </c>
      <c r="AK139" s="228">
        <v>-5.7</v>
      </c>
      <c r="AL139" s="228">
        <v>-12.1</v>
      </c>
      <c r="AM139" s="228">
        <v>6.4</v>
      </c>
      <c r="AN139" s="229">
        <v>-5.1999999999999998E-3</v>
      </c>
      <c r="AO139" s="231">
        <v>1103.6400000000001</v>
      </c>
      <c r="AP139" s="231">
        <v>1096.79</v>
      </c>
      <c r="AQ139" s="228">
        <v>0</v>
      </c>
      <c r="AR139" s="230">
        <v>1785000</v>
      </c>
      <c r="AS139" s="230">
        <v>4264375</v>
      </c>
      <c r="AT139" s="230">
        <v>-2479375</v>
      </c>
      <c r="AU139" s="229">
        <v>-0.58140000000000003</v>
      </c>
      <c r="AV139" s="230">
        <v>865000</v>
      </c>
      <c r="AW139" s="230">
        <v>1837500</v>
      </c>
      <c r="AX139" s="230">
        <v>-972500</v>
      </c>
      <c r="AY139" s="229">
        <v>-0.52929999999999999</v>
      </c>
      <c r="AZ139" s="230">
        <v>912500</v>
      </c>
      <c r="BA139" s="230">
        <v>2421875</v>
      </c>
      <c r="BB139" s="230">
        <v>-1509375</v>
      </c>
      <c r="BC139" s="229">
        <v>-0.62319999999999998</v>
      </c>
      <c r="BD139" s="230">
        <v>7500</v>
      </c>
      <c r="BE139" s="230">
        <v>5000</v>
      </c>
      <c r="BF139" s="230">
        <v>2500</v>
      </c>
      <c r="BG139" s="229">
        <v>0.5</v>
      </c>
      <c r="BH139" s="230">
        <v>1183125</v>
      </c>
      <c r="BI139" s="230">
        <v>1340000</v>
      </c>
      <c r="BJ139" s="230">
        <v>-156875</v>
      </c>
      <c r="BK139" s="229">
        <v>-0.1171</v>
      </c>
      <c r="BL139" s="230">
        <v>897500</v>
      </c>
      <c r="BM139" s="230">
        <v>386250</v>
      </c>
      <c r="BN139" s="230">
        <v>511250</v>
      </c>
      <c r="BO139" s="229">
        <v>1.3236000000000001</v>
      </c>
      <c r="BP139" s="230">
        <v>3865625</v>
      </c>
      <c r="BQ139" s="230">
        <v>5990625</v>
      </c>
      <c r="BR139" s="230">
        <v>-2125000</v>
      </c>
      <c r="BS139" s="229">
        <v>-0.35470000000000002</v>
      </c>
      <c r="BT139" s="230">
        <v>1009152</v>
      </c>
      <c r="BU139" s="230">
        <v>571903</v>
      </c>
      <c r="BV139" s="230">
        <v>437249</v>
      </c>
      <c r="BW139" s="229">
        <v>0.76459999999999995</v>
      </c>
      <c r="BX139" s="230">
        <v>3343750</v>
      </c>
      <c r="BY139" s="230">
        <v>3838750</v>
      </c>
      <c r="BZ139" s="230">
        <v>-495000</v>
      </c>
      <c r="CA139" s="229">
        <v>-0.12889999999999999</v>
      </c>
      <c r="CB139" s="230">
        <v>256875</v>
      </c>
      <c r="CC139" s="230">
        <v>628125</v>
      </c>
      <c r="CD139" s="230">
        <v>-371250</v>
      </c>
      <c r="CE139" s="229">
        <v>-0.59099999999999997</v>
      </c>
      <c r="CF139" s="230">
        <v>3325000</v>
      </c>
      <c r="CG139" s="230">
        <v>3198125</v>
      </c>
      <c r="CH139" s="230">
        <v>126875</v>
      </c>
      <c r="CI139" s="229">
        <v>3.9699999999999999E-2</v>
      </c>
      <c r="CJ139" s="230">
        <v>18750</v>
      </c>
      <c r="CK139" s="230">
        <v>12500</v>
      </c>
      <c r="CL139" s="230">
        <v>6250</v>
      </c>
      <c r="CM139" s="229">
        <v>0.5</v>
      </c>
      <c r="CN139" s="230">
        <v>210625</v>
      </c>
      <c r="CO139" s="230">
        <v>1523125</v>
      </c>
      <c r="CP139" s="230">
        <v>-1312500</v>
      </c>
      <c r="CQ139" s="229">
        <v>-0.86170000000000002</v>
      </c>
      <c r="CR139" s="230">
        <v>171250</v>
      </c>
      <c r="CS139" s="230">
        <v>1166875</v>
      </c>
      <c r="CT139" s="230">
        <v>-995625</v>
      </c>
      <c r="CU139" s="229">
        <v>-0.85319999999999996</v>
      </c>
      <c r="CV139" s="230">
        <v>3725625</v>
      </c>
      <c r="CW139" s="230">
        <v>6528750</v>
      </c>
      <c r="CX139" s="230">
        <v>-2803125</v>
      </c>
      <c r="CY139" s="229">
        <v>-0.4294</v>
      </c>
      <c r="CZ139" s="228">
        <v>33.72</v>
      </c>
      <c r="DA139" s="228">
        <v>31.09</v>
      </c>
      <c r="DB139" s="228">
        <v>2.63</v>
      </c>
      <c r="DC139" s="228">
        <v>2.63</v>
      </c>
      <c r="DD139" s="228">
        <v>49.53</v>
      </c>
      <c r="DE139" s="228">
        <v>49.65</v>
      </c>
      <c r="DF139" s="228">
        <v>-15.81</v>
      </c>
      <c r="DG139" s="228">
        <v>-0.12</v>
      </c>
      <c r="DH139" s="228">
        <v>33.369999999999997</v>
      </c>
      <c r="DI139" s="228">
        <v>30.76</v>
      </c>
      <c r="DJ139" s="228">
        <v>2.61</v>
      </c>
      <c r="DK139" s="228">
        <v>2.61</v>
      </c>
      <c r="DL139" s="228">
        <v>34.47</v>
      </c>
      <c r="DM139" s="228">
        <v>31.9</v>
      </c>
      <c r="DN139" s="228">
        <v>2.57</v>
      </c>
      <c r="DO139" s="228">
        <v>2.57</v>
      </c>
      <c r="DP139" s="228">
        <v>0.81</v>
      </c>
      <c r="DQ139" s="228">
        <v>0.77</v>
      </c>
      <c r="DR139" s="228">
        <v>0.04</v>
      </c>
      <c r="DS139" s="229">
        <v>5.1900000000000002E-2</v>
      </c>
      <c r="DT139" s="231">
        <v>1160</v>
      </c>
      <c r="DU139" s="231">
        <v>1020</v>
      </c>
      <c r="DV139" s="228">
        <v>0.76</v>
      </c>
      <c r="DW139" s="228">
        <v>0.28999999999999998</v>
      </c>
      <c r="DX139" s="228">
        <v>0.47</v>
      </c>
      <c r="DY139" s="229">
        <v>1.6207</v>
      </c>
      <c r="DZ139" s="229">
        <v>0.92869999999999997</v>
      </c>
      <c r="EA139" s="230">
        <v>3210625</v>
      </c>
      <c r="EB139" s="229">
        <v>-5.3E-3</v>
      </c>
      <c r="EC139" s="229">
        <v>0.92869999999999997</v>
      </c>
      <c r="ED139" s="228">
        <v>-6.85</v>
      </c>
      <c r="EE139" s="229">
        <v>-6.1999999999999998E-3</v>
      </c>
      <c r="EF139" s="230">
        <v>432629</v>
      </c>
      <c r="EG139" s="230">
        <v>233065</v>
      </c>
      <c r="EH139" s="229">
        <v>0.85629999999999995</v>
      </c>
      <c r="EI139" s="229">
        <v>0.42870000000000003</v>
      </c>
      <c r="EJ139" s="231">
        <v>13481.7</v>
      </c>
      <c r="EK139" s="231">
        <v>9619.75</v>
      </c>
      <c r="EL139" s="231">
        <v>19636.97</v>
      </c>
      <c r="EM139" s="231">
        <v>4421</v>
      </c>
      <c r="EN139" s="231">
        <v>42738.42</v>
      </c>
      <c r="EO139" s="231">
        <v>65944.11</v>
      </c>
      <c r="EP139" s="231">
        <v>-23205.69</v>
      </c>
      <c r="EQ139" s="229">
        <v>-0.35189999999999999</v>
      </c>
      <c r="ER139" s="231">
        <v>2390</v>
      </c>
      <c r="ES139" s="231">
        <v>1776</v>
      </c>
      <c r="ET139" s="231">
        <v>36487</v>
      </c>
      <c r="EU139" s="231">
        <v>26709548</v>
      </c>
      <c r="EV139" s="231">
        <v>40653</v>
      </c>
      <c r="EW139" s="231">
        <v>71278</v>
      </c>
      <c r="EX139" s="231">
        <v>-30625</v>
      </c>
      <c r="EY139" s="229">
        <v>-0.42970000000000003</v>
      </c>
      <c r="EZ139" s="229">
        <v>0.13950000000000001</v>
      </c>
      <c r="FA139" s="227" t="s">
        <v>567</v>
      </c>
      <c r="FB139" s="161">
        <f>BX139-CB139</f>
        <v>3086875</v>
      </c>
    </row>
    <row r="140" spans="1:158" ht="17.25" thickBot="1" x14ac:dyDescent="0.3">
      <c r="A140" s="226">
        <v>46168</v>
      </c>
      <c r="B140" s="227" t="s">
        <v>227</v>
      </c>
      <c r="C140" s="227" t="s">
        <v>263</v>
      </c>
      <c r="D140" s="228">
        <v>1875</v>
      </c>
      <c r="E140" s="228">
        <v>418.45</v>
      </c>
      <c r="F140" s="228">
        <v>404.9</v>
      </c>
      <c r="G140" s="228">
        <v>13.55</v>
      </c>
      <c r="H140" s="229">
        <v>3.3500000000000002E-2</v>
      </c>
      <c r="I140" s="228">
        <v>416.2</v>
      </c>
      <c r="J140" s="228">
        <v>403</v>
      </c>
      <c r="K140" s="228">
        <v>13.2</v>
      </c>
      <c r="L140" s="229">
        <v>3.2800000000000003E-2</v>
      </c>
      <c r="M140" s="228">
        <v>416.05</v>
      </c>
      <c r="N140" s="228">
        <v>402.8</v>
      </c>
      <c r="O140" s="228">
        <v>13.25</v>
      </c>
      <c r="P140" s="229">
        <v>3.2899999999999999E-2</v>
      </c>
      <c r="Q140" s="228">
        <v>418.45</v>
      </c>
      <c r="R140" s="228">
        <v>404.9</v>
      </c>
      <c r="S140" s="228">
        <v>13.55</v>
      </c>
      <c r="T140" s="229">
        <v>3.3500000000000002E-2</v>
      </c>
      <c r="U140" s="228">
        <v>420.6</v>
      </c>
      <c r="V140" s="228">
        <v>407</v>
      </c>
      <c r="W140" s="228">
        <v>13.6</v>
      </c>
      <c r="X140" s="229">
        <v>3.3399999999999999E-2</v>
      </c>
      <c r="Y140" s="228">
        <v>2.25</v>
      </c>
      <c r="Z140" s="228">
        <v>-0.2</v>
      </c>
      <c r="AA140" s="228">
        <v>2.4500000000000002</v>
      </c>
      <c r="AB140" s="229">
        <v>5.4000000000000003E-3</v>
      </c>
      <c r="AC140" s="228">
        <v>-0.15</v>
      </c>
      <c r="AD140" s="228">
        <v>-0.2</v>
      </c>
      <c r="AE140" s="228">
        <v>0.05</v>
      </c>
      <c r="AF140" s="229">
        <v>-4.0000000000000002E-4</v>
      </c>
      <c r="AG140" s="228">
        <v>2.25</v>
      </c>
      <c r="AH140" s="228">
        <v>1.9</v>
      </c>
      <c r="AI140" s="228">
        <v>0.35</v>
      </c>
      <c r="AJ140" s="229">
        <v>5.4000000000000003E-3</v>
      </c>
      <c r="AK140" s="228">
        <v>4.4000000000000004</v>
      </c>
      <c r="AL140" s="228">
        <v>4</v>
      </c>
      <c r="AM140" s="228">
        <v>0.4</v>
      </c>
      <c r="AN140" s="229">
        <v>1.06E-2</v>
      </c>
      <c r="AO140" s="228">
        <v>411.43</v>
      </c>
      <c r="AP140" s="228">
        <v>413.9</v>
      </c>
      <c r="AQ140" s="228">
        <v>0</v>
      </c>
      <c r="AR140" s="230">
        <v>38531250</v>
      </c>
      <c r="AS140" s="230">
        <v>24258750</v>
      </c>
      <c r="AT140" s="230">
        <v>14272500</v>
      </c>
      <c r="AU140" s="229">
        <v>0.58830000000000005</v>
      </c>
      <c r="AV140" s="230">
        <v>15699375</v>
      </c>
      <c r="AW140" s="230">
        <v>10931250</v>
      </c>
      <c r="AX140" s="230">
        <v>4768125</v>
      </c>
      <c r="AY140" s="229">
        <v>0.43619999999999998</v>
      </c>
      <c r="AZ140" s="230">
        <v>22440000</v>
      </c>
      <c r="BA140" s="230">
        <v>13113750</v>
      </c>
      <c r="BB140" s="230">
        <v>9326250</v>
      </c>
      <c r="BC140" s="229">
        <v>0.71120000000000005</v>
      </c>
      <c r="BD140" s="230">
        <v>391875</v>
      </c>
      <c r="BE140" s="230">
        <v>213750</v>
      </c>
      <c r="BF140" s="230">
        <v>178125</v>
      </c>
      <c r="BG140" s="229">
        <v>0.83330000000000004</v>
      </c>
      <c r="BH140" s="230">
        <v>37145625</v>
      </c>
      <c r="BI140" s="230">
        <v>27628125</v>
      </c>
      <c r="BJ140" s="230">
        <v>9517500</v>
      </c>
      <c r="BK140" s="229">
        <v>0.34449999999999997</v>
      </c>
      <c r="BL140" s="230">
        <v>17013750</v>
      </c>
      <c r="BM140" s="230">
        <v>13500000</v>
      </c>
      <c r="BN140" s="230">
        <v>3513750</v>
      </c>
      <c r="BO140" s="229">
        <v>0.26029999999999998</v>
      </c>
      <c r="BP140" s="230">
        <v>92690625</v>
      </c>
      <c r="BQ140" s="230">
        <v>65386875</v>
      </c>
      <c r="BR140" s="230">
        <v>27303750</v>
      </c>
      <c r="BS140" s="229">
        <v>0.41760000000000003</v>
      </c>
      <c r="BT140" s="230">
        <v>7982283</v>
      </c>
      <c r="BU140" s="230">
        <v>6896905</v>
      </c>
      <c r="BV140" s="230">
        <v>1085378</v>
      </c>
      <c r="BW140" s="229">
        <v>0.15740000000000001</v>
      </c>
      <c r="BX140" s="230">
        <v>41538750</v>
      </c>
      <c r="BY140" s="230">
        <v>44943750</v>
      </c>
      <c r="BZ140" s="230">
        <v>-3405000</v>
      </c>
      <c r="CA140" s="229">
        <v>-7.5800000000000006E-2</v>
      </c>
      <c r="CB140" s="230">
        <v>3073125</v>
      </c>
      <c r="CC140" s="230">
        <v>13848750</v>
      </c>
      <c r="CD140" s="230">
        <v>-10775625</v>
      </c>
      <c r="CE140" s="229">
        <v>-0.77810000000000001</v>
      </c>
      <c r="CF140" s="230">
        <v>40991250</v>
      </c>
      <c r="CG140" s="230">
        <v>30682500</v>
      </c>
      <c r="CH140" s="230">
        <v>10308750</v>
      </c>
      <c r="CI140" s="229">
        <v>0.33600000000000002</v>
      </c>
      <c r="CJ140" s="230">
        <v>547500</v>
      </c>
      <c r="CK140" s="230">
        <v>412500</v>
      </c>
      <c r="CL140" s="230">
        <v>135000</v>
      </c>
      <c r="CM140" s="229">
        <v>0.32729999999999998</v>
      </c>
      <c r="CN140" s="230">
        <v>10190625</v>
      </c>
      <c r="CO140" s="230">
        <v>27738750</v>
      </c>
      <c r="CP140" s="230">
        <v>-17548125</v>
      </c>
      <c r="CQ140" s="229">
        <v>-0.63260000000000005</v>
      </c>
      <c r="CR140" s="230">
        <v>7136250</v>
      </c>
      <c r="CS140" s="230">
        <v>15853125</v>
      </c>
      <c r="CT140" s="230">
        <v>-8716875</v>
      </c>
      <c r="CU140" s="229">
        <v>-0.54990000000000006</v>
      </c>
      <c r="CV140" s="230">
        <v>58865625</v>
      </c>
      <c r="CW140" s="230">
        <v>88535625</v>
      </c>
      <c r="CX140" s="230">
        <v>-29670000</v>
      </c>
      <c r="CY140" s="229">
        <v>-0.33510000000000001</v>
      </c>
      <c r="CZ140" s="228">
        <v>32.130000000000003</v>
      </c>
      <c r="DA140" s="228">
        <v>33.130000000000003</v>
      </c>
      <c r="DB140" s="228">
        <v>-1</v>
      </c>
      <c r="DC140" s="228">
        <v>-1</v>
      </c>
      <c r="DD140" s="228">
        <v>50.94</v>
      </c>
      <c r="DE140" s="228">
        <v>50.88</v>
      </c>
      <c r="DF140" s="228">
        <v>-18.809999999999999</v>
      </c>
      <c r="DG140" s="228">
        <v>0.06</v>
      </c>
      <c r="DH140" s="228">
        <v>32.01</v>
      </c>
      <c r="DI140" s="228">
        <v>33.270000000000003</v>
      </c>
      <c r="DJ140" s="228">
        <v>-1.26</v>
      </c>
      <c r="DK140" s="228">
        <v>-1.26</v>
      </c>
      <c r="DL140" s="228">
        <v>32.47</v>
      </c>
      <c r="DM140" s="228">
        <v>32.78</v>
      </c>
      <c r="DN140" s="228">
        <v>-0.31</v>
      </c>
      <c r="DO140" s="228">
        <v>-0.31</v>
      </c>
      <c r="DP140" s="228">
        <v>0.7</v>
      </c>
      <c r="DQ140" s="228">
        <v>0.56999999999999995</v>
      </c>
      <c r="DR140" s="228">
        <v>0.13</v>
      </c>
      <c r="DS140" s="229">
        <v>0.2281</v>
      </c>
      <c r="DT140" s="228">
        <v>440</v>
      </c>
      <c r="DU140" s="228">
        <v>400</v>
      </c>
      <c r="DV140" s="228">
        <v>0.46</v>
      </c>
      <c r="DW140" s="228">
        <v>0.49</v>
      </c>
      <c r="DX140" s="228">
        <v>-0.03</v>
      </c>
      <c r="DY140" s="229">
        <v>-6.1199999999999997E-2</v>
      </c>
      <c r="DZ140" s="229">
        <v>0.93110000000000004</v>
      </c>
      <c r="EA140" s="230">
        <v>31095000</v>
      </c>
      <c r="EB140" s="229">
        <v>5.7999999999999996E-3</v>
      </c>
      <c r="EC140" s="229">
        <v>0.93110000000000004</v>
      </c>
      <c r="ED140" s="228">
        <v>2.4700000000000002</v>
      </c>
      <c r="EE140" s="229">
        <v>6.0000000000000001E-3</v>
      </c>
      <c r="EF140" s="230">
        <v>3290728</v>
      </c>
      <c r="EG140" s="230">
        <v>3294954</v>
      </c>
      <c r="EH140" s="229">
        <v>-1.2999999999999999E-3</v>
      </c>
      <c r="EI140" s="229">
        <v>0.4123</v>
      </c>
      <c r="EJ140" s="231">
        <v>159405.54999999999</v>
      </c>
      <c r="EK140" s="231">
        <v>69777.08</v>
      </c>
      <c r="EL140" s="231">
        <v>159100.9</v>
      </c>
      <c r="EM140" s="231">
        <v>10272</v>
      </c>
      <c r="EN140" s="231">
        <v>388283.53</v>
      </c>
      <c r="EO140" s="231">
        <v>269473.78999999998</v>
      </c>
      <c r="EP140" s="231">
        <v>118809.74</v>
      </c>
      <c r="EQ140" s="229">
        <v>0.44090000000000001</v>
      </c>
      <c r="ER140" s="231">
        <v>43220</v>
      </c>
      <c r="ES140" s="231">
        <v>28381</v>
      </c>
      <c r="ET140" s="231">
        <v>173831</v>
      </c>
      <c r="EU140" s="231">
        <v>134225816</v>
      </c>
      <c r="EV140" s="231">
        <v>245432</v>
      </c>
      <c r="EW140" s="231">
        <v>365259</v>
      </c>
      <c r="EX140" s="231">
        <v>-119827</v>
      </c>
      <c r="EY140" s="229">
        <v>-0.3281</v>
      </c>
      <c r="EZ140" s="229">
        <v>0.43859999999999999</v>
      </c>
      <c r="FA140" s="227" t="s">
        <v>691</v>
      </c>
      <c r="FB140" s="161">
        <f>BX140-CB140</f>
        <v>38465625</v>
      </c>
    </row>
    <row r="141" spans="1:158" ht="17.25" thickBot="1" x14ac:dyDescent="0.3">
      <c r="A141" s="226">
        <v>46168</v>
      </c>
      <c r="B141" s="227" t="s">
        <v>614</v>
      </c>
      <c r="C141" s="227" t="s">
        <v>264</v>
      </c>
      <c r="D141" s="228">
        <v>375</v>
      </c>
      <c r="E141" s="228">
        <v>988.75</v>
      </c>
      <c r="F141" s="228">
        <v>944.7</v>
      </c>
      <c r="G141" s="228">
        <v>44.05</v>
      </c>
      <c r="H141" s="229">
        <v>4.6600000000000003E-2</v>
      </c>
      <c r="I141" s="228">
        <v>980.7</v>
      </c>
      <c r="J141" s="228">
        <v>938.5</v>
      </c>
      <c r="K141" s="228">
        <v>42.2</v>
      </c>
      <c r="L141" s="229">
        <v>4.4999999999999998E-2</v>
      </c>
      <c r="M141" s="228">
        <v>982</v>
      </c>
      <c r="N141" s="228">
        <v>938.35</v>
      </c>
      <c r="O141" s="228">
        <v>43.65</v>
      </c>
      <c r="P141" s="229">
        <v>4.65E-2</v>
      </c>
      <c r="Q141" s="228">
        <v>988.75</v>
      </c>
      <c r="R141" s="228">
        <v>944.7</v>
      </c>
      <c r="S141" s="228">
        <v>44.05</v>
      </c>
      <c r="T141" s="229">
        <v>4.6600000000000003E-2</v>
      </c>
      <c r="U141" s="228">
        <v>990.45</v>
      </c>
      <c r="V141" s="228">
        <v>947.8</v>
      </c>
      <c r="W141" s="228">
        <v>42.65</v>
      </c>
      <c r="X141" s="229">
        <v>4.4999999999999998E-2</v>
      </c>
      <c r="Y141" s="228">
        <v>8.0500000000000007</v>
      </c>
      <c r="Z141" s="228">
        <v>-0.15</v>
      </c>
      <c r="AA141" s="228">
        <v>8.1999999999999993</v>
      </c>
      <c r="AB141" s="229">
        <v>8.2000000000000007E-3</v>
      </c>
      <c r="AC141" s="228">
        <v>1.3</v>
      </c>
      <c r="AD141" s="228">
        <v>-0.15</v>
      </c>
      <c r="AE141" s="228">
        <v>1.45</v>
      </c>
      <c r="AF141" s="229">
        <v>1.2999999999999999E-3</v>
      </c>
      <c r="AG141" s="228">
        <v>8.0500000000000007</v>
      </c>
      <c r="AH141" s="228">
        <v>6.2</v>
      </c>
      <c r="AI141" s="228">
        <v>1.85</v>
      </c>
      <c r="AJ141" s="229">
        <v>8.2000000000000007E-3</v>
      </c>
      <c r="AK141" s="228">
        <v>9.75</v>
      </c>
      <c r="AL141" s="228">
        <v>9.3000000000000007</v>
      </c>
      <c r="AM141" s="228">
        <v>0.45</v>
      </c>
      <c r="AN141" s="229">
        <v>9.9000000000000008E-3</v>
      </c>
      <c r="AO141" s="228">
        <v>970.65</v>
      </c>
      <c r="AP141" s="228">
        <v>978.56</v>
      </c>
      <c r="AQ141" s="228">
        <v>0</v>
      </c>
      <c r="AR141" s="230">
        <v>5736000</v>
      </c>
      <c r="AS141" s="230">
        <v>12081750</v>
      </c>
      <c r="AT141" s="230">
        <v>-6345750</v>
      </c>
      <c r="AU141" s="229">
        <v>-0.5252</v>
      </c>
      <c r="AV141" s="230">
        <v>1891875</v>
      </c>
      <c r="AW141" s="230">
        <v>4570875</v>
      </c>
      <c r="AX141" s="230">
        <v>-2679000</v>
      </c>
      <c r="AY141" s="229">
        <v>-0.58609999999999995</v>
      </c>
      <c r="AZ141" s="230">
        <v>3765000</v>
      </c>
      <c r="BA141" s="230">
        <v>7422750</v>
      </c>
      <c r="BB141" s="230">
        <v>-3657750</v>
      </c>
      <c r="BC141" s="229">
        <v>-0.49280000000000002</v>
      </c>
      <c r="BD141" s="230">
        <v>79125</v>
      </c>
      <c r="BE141" s="230">
        <v>88125</v>
      </c>
      <c r="BF141" s="230">
        <v>-9000</v>
      </c>
      <c r="BG141" s="229">
        <v>-0.1021</v>
      </c>
      <c r="BH141" s="230">
        <v>23070000</v>
      </c>
      <c r="BI141" s="230">
        <v>34505625</v>
      </c>
      <c r="BJ141" s="230">
        <v>-11435625</v>
      </c>
      <c r="BK141" s="229">
        <v>-0.33139999999999997</v>
      </c>
      <c r="BL141" s="230">
        <v>7730250</v>
      </c>
      <c r="BM141" s="230">
        <v>20324250</v>
      </c>
      <c r="BN141" s="230">
        <v>-12594000</v>
      </c>
      <c r="BO141" s="229">
        <v>-0.61970000000000003</v>
      </c>
      <c r="BP141" s="230">
        <v>36536250</v>
      </c>
      <c r="BQ141" s="230">
        <v>66911625</v>
      </c>
      <c r="BR141" s="230">
        <v>-30375375</v>
      </c>
      <c r="BS141" s="229">
        <v>-0.45400000000000001</v>
      </c>
      <c r="BT141" s="230">
        <v>5047962</v>
      </c>
      <c r="BU141" s="230">
        <v>9695450</v>
      </c>
      <c r="BV141" s="230">
        <v>-4647488</v>
      </c>
      <c r="BW141" s="229">
        <v>-0.4793</v>
      </c>
      <c r="BX141" s="230">
        <v>15321150</v>
      </c>
      <c r="BY141" s="230">
        <v>15494600</v>
      </c>
      <c r="BZ141" s="230">
        <v>-173450</v>
      </c>
      <c r="CA141" s="229">
        <v>-1.12E-2</v>
      </c>
      <c r="CB141" s="230">
        <v>228000</v>
      </c>
      <c r="CC141" s="230">
        <v>1304250</v>
      </c>
      <c r="CD141" s="230">
        <v>-1076250</v>
      </c>
      <c r="CE141" s="229">
        <v>-0.82520000000000004</v>
      </c>
      <c r="CF141" s="230">
        <v>14865750</v>
      </c>
      <c r="CG141" s="230">
        <v>13735500</v>
      </c>
      <c r="CH141" s="230">
        <v>1130250</v>
      </c>
      <c r="CI141" s="229">
        <v>8.2299999999999998E-2</v>
      </c>
      <c r="CJ141" s="230">
        <v>455400</v>
      </c>
      <c r="CK141" s="230">
        <v>454850</v>
      </c>
      <c r="CL141" s="228">
        <v>550</v>
      </c>
      <c r="CM141" s="229">
        <v>1.1999999999999999E-3</v>
      </c>
      <c r="CN141" s="230">
        <v>2557100</v>
      </c>
      <c r="CO141" s="230">
        <v>5710475</v>
      </c>
      <c r="CP141" s="230">
        <v>-3153375</v>
      </c>
      <c r="CQ141" s="229">
        <v>-0.55220000000000002</v>
      </c>
      <c r="CR141" s="230">
        <v>1950325</v>
      </c>
      <c r="CS141" s="230">
        <v>3494575</v>
      </c>
      <c r="CT141" s="230">
        <v>-1544250</v>
      </c>
      <c r="CU141" s="229">
        <v>-0.44190000000000002</v>
      </c>
      <c r="CV141" s="230">
        <v>19828575</v>
      </c>
      <c r="CW141" s="230">
        <v>24699650</v>
      </c>
      <c r="CX141" s="230">
        <v>-4871075</v>
      </c>
      <c r="CY141" s="229">
        <v>-0.19719999999999999</v>
      </c>
      <c r="CZ141" s="228">
        <v>32.31</v>
      </c>
      <c r="DA141" s="228">
        <v>33.770000000000003</v>
      </c>
      <c r="DB141" s="228">
        <v>-1.46</v>
      </c>
      <c r="DC141" s="228">
        <v>-1.46</v>
      </c>
      <c r="DD141" s="228">
        <v>36.9</v>
      </c>
      <c r="DE141" s="228">
        <v>36.479999999999997</v>
      </c>
      <c r="DF141" s="228">
        <v>-4.59</v>
      </c>
      <c r="DG141" s="228">
        <v>0.42</v>
      </c>
      <c r="DH141" s="228">
        <v>31.82</v>
      </c>
      <c r="DI141" s="228">
        <v>33.369999999999997</v>
      </c>
      <c r="DJ141" s="228">
        <v>-1.55</v>
      </c>
      <c r="DK141" s="228">
        <v>-1.55</v>
      </c>
      <c r="DL141" s="228">
        <v>33.799999999999997</v>
      </c>
      <c r="DM141" s="228">
        <v>34.659999999999997</v>
      </c>
      <c r="DN141" s="228">
        <v>-0.86</v>
      </c>
      <c r="DO141" s="228">
        <v>-0.86</v>
      </c>
      <c r="DP141" s="228">
        <v>0.76</v>
      </c>
      <c r="DQ141" s="228">
        <v>0.61</v>
      </c>
      <c r="DR141" s="228">
        <v>0.15</v>
      </c>
      <c r="DS141" s="229">
        <v>0.24590000000000001</v>
      </c>
      <c r="DT141" s="231">
        <v>1000</v>
      </c>
      <c r="DU141" s="228">
        <v>900</v>
      </c>
      <c r="DV141" s="228">
        <v>0.34</v>
      </c>
      <c r="DW141" s="228">
        <v>0.59</v>
      </c>
      <c r="DX141" s="228">
        <v>-0.25</v>
      </c>
      <c r="DY141" s="229">
        <v>-0.42370000000000002</v>
      </c>
      <c r="DZ141" s="229">
        <v>0.98529999999999995</v>
      </c>
      <c r="EA141" s="230">
        <v>14190350</v>
      </c>
      <c r="EB141" s="229">
        <v>6.8999999999999999E-3</v>
      </c>
      <c r="EC141" s="229">
        <v>0.98529999999999995</v>
      </c>
      <c r="ED141" s="228">
        <v>7.91</v>
      </c>
      <c r="EE141" s="229">
        <v>8.0999999999999996E-3</v>
      </c>
      <c r="EF141" s="230">
        <v>2290998</v>
      </c>
      <c r="EG141" s="230">
        <v>5002783</v>
      </c>
      <c r="EH141" s="229">
        <v>-0.54210000000000003</v>
      </c>
      <c r="EI141" s="229">
        <v>0.45379999999999998</v>
      </c>
      <c r="EJ141" s="231">
        <v>232543.84</v>
      </c>
      <c r="EK141" s="231">
        <v>73531.95</v>
      </c>
      <c r="EL141" s="231">
        <v>56340.08</v>
      </c>
      <c r="EM141" s="231">
        <v>23172</v>
      </c>
      <c r="EN141" s="231">
        <v>362415.87</v>
      </c>
      <c r="EO141" s="231">
        <v>637517.19999999995</v>
      </c>
      <c r="EP141" s="231">
        <v>-275101.33</v>
      </c>
      <c r="EQ141" s="229">
        <v>-0.43149999999999999</v>
      </c>
      <c r="ER141" s="231">
        <v>25689</v>
      </c>
      <c r="ES141" s="231">
        <v>17700</v>
      </c>
      <c r="ET141" s="231">
        <v>151496</v>
      </c>
      <c r="EU141" s="231">
        <v>60562281</v>
      </c>
      <c r="EV141" s="231">
        <v>194884</v>
      </c>
      <c r="EW141" s="231">
        <v>235642</v>
      </c>
      <c r="EX141" s="231">
        <v>-40758</v>
      </c>
      <c r="EY141" s="229">
        <v>-0.17299999999999999</v>
      </c>
      <c r="EZ141" s="229">
        <v>0.32740000000000002</v>
      </c>
      <c r="FA141" s="227" t="s">
        <v>691</v>
      </c>
      <c r="FB141" s="161">
        <f>BX216-CB216</f>
        <v>9721800</v>
      </c>
    </row>
    <row r="142" spans="1:158" ht="17.25" thickBot="1" x14ac:dyDescent="0.3">
      <c r="A142" s="226">
        <v>46168</v>
      </c>
      <c r="B142" s="227" t="s">
        <v>206</v>
      </c>
      <c r="C142" s="227" t="s">
        <v>550</v>
      </c>
      <c r="D142" s="228">
        <v>6500</v>
      </c>
      <c r="E142" s="228">
        <v>96.5</v>
      </c>
      <c r="F142" s="228">
        <v>97.49</v>
      </c>
      <c r="G142" s="228">
        <v>-0.99</v>
      </c>
      <c r="H142" s="229">
        <v>-1.0200000000000001E-2</v>
      </c>
      <c r="I142" s="228">
        <v>95.55</v>
      </c>
      <c r="J142" s="228">
        <v>96.79</v>
      </c>
      <c r="K142" s="228">
        <v>-1.24</v>
      </c>
      <c r="L142" s="229">
        <v>-1.2800000000000001E-2</v>
      </c>
      <c r="M142" s="228">
        <v>95.79</v>
      </c>
      <c r="N142" s="228">
        <v>96.9</v>
      </c>
      <c r="O142" s="228">
        <v>-1.1100000000000001</v>
      </c>
      <c r="P142" s="229">
        <v>-1.15E-2</v>
      </c>
      <c r="Q142" s="228">
        <v>96.5</v>
      </c>
      <c r="R142" s="228">
        <v>97.49</v>
      </c>
      <c r="S142" s="228">
        <v>-0.99</v>
      </c>
      <c r="T142" s="229">
        <v>-1.0200000000000001E-2</v>
      </c>
      <c r="U142" s="228">
        <v>97.13</v>
      </c>
      <c r="V142" s="228">
        <v>98.12</v>
      </c>
      <c r="W142" s="228">
        <v>-0.99</v>
      </c>
      <c r="X142" s="229">
        <v>-1.01E-2</v>
      </c>
      <c r="Y142" s="228">
        <v>0.95</v>
      </c>
      <c r="Z142" s="228">
        <v>0.11</v>
      </c>
      <c r="AA142" s="228">
        <v>0.84</v>
      </c>
      <c r="AB142" s="229">
        <v>9.9000000000000008E-3</v>
      </c>
      <c r="AC142" s="228">
        <v>0.24</v>
      </c>
      <c r="AD142" s="228">
        <v>0.11</v>
      </c>
      <c r="AE142" s="228">
        <v>0.13</v>
      </c>
      <c r="AF142" s="229">
        <v>2.5000000000000001E-3</v>
      </c>
      <c r="AG142" s="228">
        <v>0.95</v>
      </c>
      <c r="AH142" s="228">
        <v>0.7</v>
      </c>
      <c r="AI142" s="228">
        <v>0.25</v>
      </c>
      <c r="AJ142" s="229">
        <v>9.9000000000000008E-3</v>
      </c>
      <c r="AK142" s="228">
        <v>1.58</v>
      </c>
      <c r="AL142" s="228">
        <v>1.33</v>
      </c>
      <c r="AM142" s="228">
        <v>0.25</v>
      </c>
      <c r="AN142" s="229">
        <v>1.6500000000000001E-2</v>
      </c>
      <c r="AO142" s="228">
        <v>97.01</v>
      </c>
      <c r="AP142" s="228">
        <v>97.3</v>
      </c>
      <c r="AQ142" s="228">
        <v>0</v>
      </c>
      <c r="AR142" s="230">
        <v>74249500</v>
      </c>
      <c r="AS142" s="230">
        <v>96882500</v>
      </c>
      <c r="AT142" s="230">
        <v>-22633000</v>
      </c>
      <c r="AU142" s="229">
        <v>-0.2336</v>
      </c>
      <c r="AV142" s="230">
        <v>23835500</v>
      </c>
      <c r="AW142" s="230">
        <v>39988000</v>
      </c>
      <c r="AX142" s="230">
        <v>-16152500</v>
      </c>
      <c r="AY142" s="229">
        <v>-0.40389999999999998</v>
      </c>
      <c r="AZ142" s="230">
        <v>49731500</v>
      </c>
      <c r="BA142" s="230">
        <v>56231500</v>
      </c>
      <c r="BB142" s="230">
        <v>-6500000</v>
      </c>
      <c r="BC142" s="229">
        <v>-0.11559999999999999</v>
      </c>
      <c r="BD142" s="230">
        <v>682500</v>
      </c>
      <c r="BE142" s="230">
        <v>663000</v>
      </c>
      <c r="BF142" s="230">
        <v>19500</v>
      </c>
      <c r="BG142" s="229">
        <v>2.9399999999999999E-2</v>
      </c>
      <c r="BH142" s="230">
        <v>58675500</v>
      </c>
      <c r="BI142" s="230">
        <v>92449500</v>
      </c>
      <c r="BJ142" s="230">
        <v>-33774000</v>
      </c>
      <c r="BK142" s="229">
        <v>-0.36530000000000001</v>
      </c>
      <c r="BL142" s="230">
        <v>28405000</v>
      </c>
      <c r="BM142" s="230">
        <v>44622500</v>
      </c>
      <c r="BN142" s="230">
        <v>-16217500</v>
      </c>
      <c r="BO142" s="229">
        <v>-0.3634</v>
      </c>
      <c r="BP142" s="230">
        <v>161330000</v>
      </c>
      <c r="BQ142" s="230">
        <v>233954500</v>
      </c>
      <c r="BR142" s="230">
        <v>-72624500</v>
      </c>
      <c r="BS142" s="229">
        <v>-0.31040000000000001</v>
      </c>
      <c r="BT142" s="230">
        <v>32765913</v>
      </c>
      <c r="BU142" s="230">
        <v>36044998</v>
      </c>
      <c r="BV142" s="230">
        <v>-3279085</v>
      </c>
      <c r="BW142" s="229">
        <v>-9.0999999999999998E-2</v>
      </c>
      <c r="BX142" s="230">
        <v>95966000</v>
      </c>
      <c r="BY142" s="230">
        <v>97461000</v>
      </c>
      <c r="BZ142" s="230">
        <v>-1495000</v>
      </c>
      <c r="CA142" s="229">
        <v>-1.5299999999999999E-2</v>
      </c>
      <c r="CB142" s="230">
        <v>1917500</v>
      </c>
      <c r="CC142" s="230">
        <v>15444000</v>
      </c>
      <c r="CD142" s="230">
        <v>-13526500</v>
      </c>
      <c r="CE142" s="229">
        <v>-0.87580000000000002</v>
      </c>
      <c r="CF142" s="230">
        <v>94666000</v>
      </c>
      <c r="CG142" s="230">
        <v>81087500</v>
      </c>
      <c r="CH142" s="230">
        <v>13578500</v>
      </c>
      <c r="CI142" s="229">
        <v>0.16750000000000001</v>
      </c>
      <c r="CJ142" s="230">
        <v>1300000</v>
      </c>
      <c r="CK142" s="230">
        <v>929500</v>
      </c>
      <c r="CL142" s="230">
        <v>370500</v>
      </c>
      <c r="CM142" s="229">
        <v>0.39860000000000001</v>
      </c>
      <c r="CN142" s="230">
        <v>17920500</v>
      </c>
      <c r="CO142" s="230">
        <v>24648000</v>
      </c>
      <c r="CP142" s="230">
        <v>-6727500</v>
      </c>
      <c r="CQ142" s="229">
        <v>-0.27289999999999998</v>
      </c>
      <c r="CR142" s="230">
        <v>11004500</v>
      </c>
      <c r="CS142" s="230">
        <v>17056000</v>
      </c>
      <c r="CT142" s="230">
        <v>-6051500</v>
      </c>
      <c r="CU142" s="229">
        <v>-0.3548</v>
      </c>
      <c r="CV142" s="230">
        <v>124891000</v>
      </c>
      <c r="CW142" s="230">
        <v>139165000</v>
      </c>
      <c r="CX142" s="230">
        <v>-14274000</v>
      </c>
      <c r="CY142" s="229">
        <v>-0.1026</v>
      </c>
      <c r="CZ142" s="228">
        <v>36.909999999999997</v>
      </c>
      <c r="DA142" s="228">
        <v>39.57</v>
      </c>
      <c r="DB142" s="228">
        <v>-2.66</v>
      </c>
      <c r="DC142" s="228">
        <v>-2.66</v>
      </c>
      <c r="DD142" s="228">
        <v>50.43</v>
      </c>
      <c r="DE142" s="228">
        <v>50.54</v>
      </c>
      <c r="DF142" s="228">
        <v>-13.52</v>
      </c>
      <c r="DG142" s="228">
        <v>-0.11</v>
      </c>
      <c r="DH142" s="228">
        <v>37.049999999999997</v>
      </c>
      <c r="DI142" s="228">
        <v>39.479999999999997</v>
      </c>
      <c r="DJ142" s="228">
        <v>-2.4300000000000002</v>
      </c>
      <c r="DK142" s="228">
        <v>-2.4300000000000002</v>
      </c>
      <c r="DL142" s="228">
        <v>36.590000000000003</v>
      </c>
      <c r="DM142" s="228">
        <v>39.76</v>
      </c>
      <c r="DN142" s="228">
        <v>-3.17</v>
      </c>
      <c r="DO142" s="228">
        <v>-3.17</v>
      </c>
      <c r="DP142" s="228">
        <v>0.61</v>
      </c>
      <c r="DQ142" s="228">
        <v>0.69</v>
      </c>
      <c r="DR142" s="228">
        <v>-0.08</v>
      </c>
      <c r="DS142" s="229">
        <v>-0.1159</v>
      </c>
      <c r="DT142" s="228">
        <v>100</v>
      </c>
      <c r="DU142" s="228">
        <v>95</v>
      </c>
      <c r="DV142" s="228">
        <v>0.48</v>
      </c>
      <c r="DW142" s="228">
        <v>0.48</v>
      </c>
      <c r="DX142" s="228">
        <v>0</v>
      </c>
      <c r="DY142" s="229">
        <v>0</v>
      </c>
      <c r="DZ142" s="229">
        <v>0.98040000000000005</v>
      </c>
      <c r="EA142" s="230">
        <v>82017000</v>
      </c>
      <c r="EB142" s="229">
        <v>7.4000000000000003E-3</v>
      </c>
      <c r="EC142" s="229">
        <v>0.98040000000000005</v>
      </c>
      <c r="ED142" s="228">
        <v>0.28999999999999998</v>
      </c>
      <c r="EE142" s="229">
        <v>3.0000000000000001E-3</v>
      </c>
      <c r="EF142" s="230">
        <v>11984064</v>
      </c>
      <c r="EG142" s="230">
        <v>7985317</v>
      </c>
      <c r="EH142" s="229">
        <v>0.50080000000000002</v>
      </c>
      <c r="EI142" s="229">
        <v>0.36570000000000003</v>
      </c>
      <c r="EJ142" s="231">
        <v>60271.17</v>
      </c>
      <c r="EK142" s="231">
        <v>27803.84</v>
      </c>
      <c r="EL142" s="231">
        <v>72177.45</v>
      </c>
      <c r="EM142" s="231">
        <v>6765</v>
      </c>
      <c r="EN142" s="231">
        <v>160252.46</v>
      </c>
      <c r="EO142" s="231">
        <v>233228.41</v>
      </c>
      <c r="EP142" s="231">
        <v>-72975.95</v>
      </c>
      <c r="EQ142" s="229">
        <v>-0.31290000000000001</v>
      </c>
      <c r="ER142" s="231">
        <v>17981</v>
      </c>
      <c r="ES142" s="231">
        <v>10476</v>
      </c>
      <c r="ET142" s="231">
        <v>92615</v>
      </c>
      <c r="EU142" s="231">
        <v>154894704</v>
      </c>
      <c r="EV142" s="231">
        <v>121072</v>
      </c>
      <c r="EW142" s="231">
        <v>135915</v>
      </c>
      <c r="EX142" s="231">
        <v>-14843</v>
      </c>
      <c r="EY142" s="229">
        <v>-0.10920000000000001</v>
      </c>
      <c r="EZ142" s="229">
        <v>0.80630000000000002</v>
      </c>
      <c r="FA142" s="227" t="s">
        <v>567</v>
      </c>
      <c r="FB142" s="161">
        <f t="shared" ref="FB142:FB161" si="3">BX217-CB217</f>
        <v>0</v>
      </c>
    </row>
    <row r="143" spans="1:158" ht="17.25" thickBot="1" x14ac:dyDescent="0.3">
      <c r="A143" s="226">
        <v>46168</v>
      </c>
      <c r="B143" s="227" t="s">
        <v>168</v>
      </c>
      <c r="C143" s="227" t="s">
        <v>265</v>
      </c>
      <c r="D143" s="228">
        <v>500</v>
      </c>
      <c r="E143" s="231">
        <v>1437</v>
      </c>
      <c r="F143" s="231">
        <v>1424.3</v>
      </c>
      <c r="G143" s="228">
        <v>12.7</v>
      </c>
      <c r="H143" s="229">
        <v>8.8999999999999999E-3</v>
      </c>
      <c r="I143" s="231">
        <v>1428.6</v>
      </c>
      <c r="J143" s="231">
        <v>1413.6</v>
      </c>
      <c r="K143" s="228">
        <v>15</v>
      </c>
      <c r="L143" s="229">
        <v>1.06E-2</v>
      </c>
      <c r="M143" s="231">
        <v>1428</v>
      </c>
      <c r="N143" s="231">
        <v>1416</v>
      </c>
      <c r="O143" s="228">
        <v>12</v>
      </c>
      <c r="P143" s="229">
        <v>8.5000000000000006E-3</v>
      </c>
      <c r="Q143" s="231">
        <v>1437</v>
      </c>
      <c r="R143" s="231">
        <v>1424.3</v>
      </c>
      <c r="S143" s="228">
        <v>12.7</v>
      </c>
      <c r="T143" s="229">
        <v>8.8999999999999999E-3</v>
      </c>
      <c r="U143" s="231">
        <v>1439</v>
      </c>
      <c r="V143" s="231">
        <v>1430.3</v>
      </c>
      <c r="W143" s="228">
        <v>8.6999999999999993</v>
      </c>
      <c r="X143" s="229">
        <v>6.1000000000000004E-3</v>
      </c>
      <c r="Y143" s="228">
        <v>8.4</v>
      </c>
      <c r="Z143" s="228">
        <v>2.4</v>
      </c>
      <c r="AA143" s="228">
        <v>6</v>
      </c>
      <c r="AB143" s="229">
        <v>5.8999999999999999E-3</v>
      </c>
      <c r="AC143" s="228">
        <v>-0.6</v>
      </c>
      <c r="AD143" s="228">
        <v>2.4</v>
      </c>
      <c r="AE143" s="228">
        <v>-3</v>
      </c>
      <c r="AF143" s="229">
        <v>-4.0000000000000002E-4</v>
      </c>
      <c r="AG143" s="228">
        <v>8.4</v>
      </c>
      <c r="AH143" s="228">
        <v>10.7</v>
      </c>
      <c r="AI143" s="228">
        <v>-2.2999999999999998</v>
      </c>
      <c r="AJ143" s="229">
        <v>5.8999999999999999E-3</v>
      </c>
      <c r="AK143" s="228">
        <v>10.4</v>
      </c>
      <c r="AL143" s="228">
        <v>16.7</v>
      </c>
      <c r="AM143" s="228">
        <v>-6.3</v>
      </c>
      <c r="AN143" s="229">
        <v>7.3000000000000001E-3</v>
      </c>
      <c r="AO143" s="231">
        <v>1422.07</v>
      </c>
      <c r="AP143" s="231">
        <v>1431.71</v>
      </c>
      <c r="AQ143" s="228">
        <v>0</v>
      </c>
      <c r="AR143" s="230">
        <v>2591000</v>
      </c>
      <c r="AS143" s="230">
        <v>6436000</v>
      </c>
      <c r="AT143" s="230">
        <v>-3845000</v>
      </c>
      <c r="AU143" s="229">
        <v>-0.59740000000000004</v>
      </c>
      <c r="AV143" s="230">
        <v>939500</v>
      </c>
      <c r="AW143" s="230">
        <v>3010500</v>
      </c>
      <c r="AX143" s="230">
        <v>-2071000</v>
      </c>
      <c r="AY143" s="229">
        <v>-0.68789999999999996</v>
      </c>
      <c r="AZ143" s="230">
        <v>1639500</v>
      </c>
      <c r="BA143" s="230">
        <v>3399500</v>
      </c>
      <c r="BB143" s="230">
        <v>-1760000</v>
      </c>
      <c r="BC143" s="229">
        <v>-0.51770000000000005</v>
      </c>
      <c r="BD143" s="230">
        <v>12000</v>
      </c>
      <c r="BE143" s="230">
        <v>26000</v>
      </c>
      <c r="BF143" s="230">
        <v>-14000</v>
      </c>
      <c r="BG143" s="229">
        <v>-0.53849999999999998</v>
      </c>
      <c r="BH143" s="230">
        <v>2704500</v>
      </c>
      <c r="BI143" s="230">
        <v>3277000</v>
      </c>
      <c r="BJ143" s="230">
        <v>-572500</v>
      </c>
      <c r="BK143" s="229">
        <v>-0.17469999999999999</v>
      </c>
      <c r="BL143" s="230">
        <v>1721500</v>
      </c>
      <c r="BM143" s="230">
        <v>1772000</v>
      </c>
      <c r="BN143" s="230">
        <v>-50500</v>
      </c>
      <c r="BO143" s="229">
        <v>-2.8500000000000001E-2</v>
      </c>
      <c r="BP143" s="230">
        <v>7017000</v>
      </c>
      <c r="BQ143" s="230">
        <v>11485000</v>
      </c>
      <c r="BR143" s="230">
        <v>-4468000</v>
      </c>
      <c r="BS143" s="229">
        <v>-0.38900000000000001</v>
      </c>
      <c r="BT143" s="230">
        <v>1569732</v>
      </c>
      <c r="BU143" s="230">
        <v>869086</v>
      </c>
      <c r="BV143" s="230">
        <v>700646</v>
      </c>
      <c r="BW143" s="229">
        <v>0.80620000000000003</v>
      </c>
      <c r="BX143" s="230">
        <v>13448000</v>
      </c>
      <c r="BY143" s="230">
        <v>14367500</v>
      </c>
      <c r="BZ143" s="230">
        <v>-919500</v>
      </c>
      <c r="CA143" s="229">
        <v>-6.4000000000000001E-2</v>
      </c>
      <c r="CB143" s="230">
        <v>863000</v>
      </c>
      <c r="CC143" s="230">
        <v>1367500</v>
      </c>
      <c r="CD143" s="230">
        <v>-504500</v>
      </c>
      <c r="CE143" s="229">
        <v>-0.36890000000000001</v>
      </c>
      <c r="CF143" s="230">
        <v>13225500</v>
      </c>
      <c r="CG143" s="230">
        <v>12778500</v>
      </c>
      <c r="CH143" s="230">
        <v>447000</v>
      </c>
      <c r="CI143" s="229">
        <v>3.5000000000000003E-2</v>
      </c>
      <c r="CJ143" s="230">
        <v>222500</v>
      </c>
      <c r="CK143" s="230">
        <v>221500</v>
      </c>
      <c r="CL143" s="230">
        <v>1000</v>
      </c>
      <c r="CM143" s="229">
        <v>4.4999999999999997E-3</v>
      </c>
      <c r="CN143" s="230">
        <v>839500</v>
      </c>
      <c r="CO143" s="230">
        <v>4599500</v>
      </c>
      <c r="CP143" s="230">
        <v>-3760000</v>
      </c>
      <c r="CQ143" s="229">
        <v>-0.8175</v>
      </c>
      <c r="CR143" s="230">
        <v>754000</v>
      </c>
      <c r="CS143" s="230">
        <v>3332000</v>
      </c>
      <c r="CT143" s="230">
        <v>-2578000</v>
      </c>
      <c r="CU143" s="229">
        <v>-0.77370000000000005</v>
      </c>
      <c r="CV143" s="230">
        <v>15041500</v>
      </c>
      <c r="CW143" s="230">
        <v>22299000</v>
      </c>
      <c r="CX143" s="230">
        <v>-7257500</v>
      </c>
      <c r="CY143" s="229">
        <v>-0.32550000000000001</v>
      </c>
      <c r="CZ143" s="228">
        <v>20.46</v>
      </c>
      <c r="DA143" s="228">
        <v>20.3</v>
      </c>
      <c r="DB143" s="228">
        <v>0.16</v>
      </c>
      <c r="DC143" s="228">
        <v>0.16</v>
      </c>
      <c r="DD143" s="228">
        <v>24.66</v>
      </c>
      <c r="DE143" s="228">
        <v>24.7</v>
      </c>
      <c r="DF143" s="228">
        <v>-4.2</v>
      </c>
      <c r="DG143" s="228">
        <v>-0.04</v>
      </c>
      <c r="DH143" s="228">
        <v>20.18</v>
      </c>
      <c r="DI143" s="228">
        <v>20.190000000000001</v>
      </c>
      <c r="DJ143" s="228">
        <v>-0.01</v>
      </c>
      <c r="DK143" s="228">
        <v>-0.01</v>
      </c>
      <c r="DL143" s="228">
        <v>20.92</v>
      </c>
      <c r="DM143" s="228">
        <v>20.46</v>
      </c>
      <c r="DN143" s="228">
        <v>0.46</v>
      </c>
      <c r="DO143" s="228">
        <v>0.46</v>
      </c>
      <c r="DP143" s="228">
        <v>0.9</v>
      </c>
      <c r="DQ143" s="228">
        <v>0.72</v>
      </c>
      <c r="DR143" s="228">
        <v>0.18</v>
      </c>
      <c r="DS143" s="229">
        <v>0.25</v>
      </c>
      <c r="DT143" s="231">
        <v>1500</v>
      </c>
      <c r="DU143" s="231">
        <v>1460</v>
      </c>
      <c r="DV143" s="228">
        <v>0.64</v>
      </c>
      <c r="DW143" s="228">
        <v>0.54</v>
      </c>
      <c r="DX143" s="228">
        <v>0.1</v>
      </c>
      <c r="DY143" s="229">
        <v>0.1852</v>
      </c>
      <c r="DZ143" s="229">
        <v>0.93969999999999998</v>
      </c>
      <c r="EA143" s="230">
        <v>13000000</v>
      </c>
      <c r="EB143" s="229">
        <v>6.3E-3</v>
      </c>
      <c r="EC143" s="229">
        <v>0.93969999999999998</v>
      </c>
      <c r="ED143" s="228">
        <v>9.64</v>
      </c>
      <c r="EE143" s="229">
        <v>6.7999999999999996E-3</v>
      </c>
      <c r="EF143" s="230">
        <v>962859</v>
      </c>
      <c r="EG143" s="230">
        <v>441807</v>
      </c>
      <c r="EH143" s="229">
        <v>1.1794</v>
      </c>
      <c r="EI143" s="229">
        <v>0.61339999999999995</v>
      </c>
      <c r="EJ143" s="231">
        <v>39634.35</v>
      </c>
      <c r="EK143" s="231">
        <v>24314.42</v>
      </c>
      <c r="EL143" s="231">
        <v>37005.25</v>
      </c>
      <c r="EM143" s="231">
        <v>12181</v>
      </c>
      <c r="EN143" s="231">
        <v>100954.02</v>
      </c>
      <c r="EO143" s="231">
        <v>165149.09</v>
      </c>
      <c r="EP143" s="231">
        <v>-64195.07</v>
      </c>
      <c r="EQ143" s="229">
        <v>-0.38869999999999999</v>
      </c>
      <c r="ER143" s="231">
        <v>12256</v>
      </c>
      <c r="ES143" s="231">
        <v>10435</v>
      </c>
      <c r="ET143" s="231">
        <v>193252</v>
      </c>
      <c r="EU143" s="231">
        <v>71801274</v>
      </c>
      <c r="EV143" s="231">
        <v>215944</v>
      </c>
      <c r="EW143" s="231">
        <v>319308</v>
      </c>
      <c r="EX143" s="231">
        <v>-103364</v>
      </c>
      <c r="EY143" s="229">
        <v>-0.32369999999999999</v>
      </c>
      <c r="EZ143" s="229">
        <v>0.20949999999999999</v>
      </c>
      <c r="FA143" s="227" t="s">
        <v>691</v>
      </c>
      <c r="FB143" s="161">
        <f t="shared" si="3"/>
        <v>0</v>
      </c>
    </row>
    <row r="144" spans="1:158" ht="17.25" thickBot="1" x14ac:dyDescent="0.3">
      <c r="A144" s="226">
        <v>46168</v>
      </c>
      <c r="B144" s="227" t="s">
        <v>161</v>
      </c>
      <c r="C144" s="227" t="s">
        <v>584</v>
      </c>
      <c r="D144" s="228">
        <v>6400</v>
      </c>
      <c r="E144" s="228">
        <v>78.319999999999993</v>
      </c>
      <c r="F144" s="228">
        <v>78.34</v>
      </c>
      <c r="G144" s="228">
        <v>-0.02</v>
      </c>
      <c r="H144" s="229">
        <v>-2.9999999999999997E-4</v>
      </c>
      <c r="I144" s="228">
        <v>78.44</v>
      </c>
      <c r="J144" s="228">
        <v>79.02</v>
      </c>
      <c r="K144" s="228">
        <v>-0.57999999999999996</v>
      </c>
      <c r="L144" s="229">
        <v>-7.3000000000000001E-3</v>
      </c>
      <c r="M144" s="228">
        <v>78.2</v>
      </c>
      <c r="N144" s="228">
        <v>79.09</v>
      </c>
      <c r="O144" s="228">
        <v>-0.89</v>
      </c>
      <c r="P144" s="229">
        <v>-1.1299999999999999E-2</v>
      </c>
      <c r="Q144" s="228">
        <v>78.319999999999993</v>
      </c>
      <c r="R144" s="228">
        <v>78.34</v>
      </c>
      <c r="S144" s="228">
        <v>-0.02</v>
      </c>
      <c r="T144" s="229">
        <v>-2.9999999999999997E-4</v>
      </c>
      <c r="U144" s="228">
        <v>78.040000000000006</v>
      </c>
      <c r="V144" s="228">
        <v>78.12</v>
      </c>
      <c r="W144" s="228">
        <v>-0.08</v>
      </c>
      <c r="X144" s="229">
        <v>-1E-3</v>
      </c>
      <c r="Y144" s="228">
        <v>-0.12</v>
      </c>
      <c r="Z144" s="228">
        <v>7.0000000000000007E-2</v>
      </c>
      <c r="AA144" s="228">
        <v>-0.19</v>
      </c>
      <c r="AB144" s="229">
        <v>-1.5E-3</v>
      </c>
      <c r="AC144" s="228">
        <v>-0.24</v>
      </c>
      <c r="AD144" s="228">
        <v>7.0000000000000007E-2</v>
      </c>
      <c r="AE144" s="228">
        <v>-0.31</v>
      </c>
      <c r="AF144" s="229">
        <v>-3.0999999999999999E-3</v>
      </c>
      <c r="AG144" s="228">
        <v>-0.12</v>
      </c>
      <c r="AH144" s="228">
        <v>-0.68</v>
      </c>
      <c r="AI144" s="228">
        <v>0.56000000000000005</v>
      </c>
      <c r="AJ144" s="229">
        <v>-1.5E-3</v>
      </c>
      <c r="AK144" s="228">
        <v>-0.4</v>
      </c>
      <c r="AL144" s="228">
        <v>-0.9</v>
      </c>
      <c r="AM144" s="228">
        <v>0.5</v>
      </c>
      <c r="AN144" s="229">
        <v>-5.1000000000000004E-3</v>
      </c>
      <c r="AO144" s="228">
        <v>78.39</v>
      </c>
      <c r="AP144" s="228">
        <v>78.290000000000006</v>
      </c>
      <c r="AQ144" s="228">
        <v>0</v>
      </c>
      <c r="AR144" s="230">
        <v>35712000</v>
      </c>
      <c r="AS144" s="230">
        <v>72684800</v>
      </c>
      <c r="AT144" s="230">
        <v>-36972800</v>
      </c>
      <c r="AU144" s="229">
        <v>-0.50870000000000004</v>
      </c>
      <c r="AV144" s="230">
        <v>16000000</v>
      </c>
      <c r="AW144" s="230">
        <v>32953600</v>
      </c>
      <c r="AX144" s="230">
        <v>-16953600</v>
      </c>
      <c r="AY144" s="229">
        <v>-0.51449999999999996</v>
      </c>
      <c r="AZ144" s="230">
        <v>18918400</v>
      </c>
      <c r="BA144" s="230">
        <v>38905600</v>
      </c>
      <c r="BB144" s="230">
        <v>-19987200</v>
      </c>
      <c r="BC144" s="229">
        <v>-0.51370000000000005</v>
      </c>
      <c r="BD144" s="230">
        <v>793600</v>
      </c>
      <c r="BE144" s="230">
        <v>825600</v>
      </c>
      <c r="BF144" s="230">
        <v>-32000</v>
      </c>
      <c r="BG144" s="229">
        <v>-3.8800000000000001E-2</v>
      </c>
      <c r="BH144" s="230">
        <v>32588800</v>
      </c>
      <c r="BI144" s="230">
        <v>49478400</v>
      </c>
      <c r="BJ144" s="230">
        <v>-16889600</v>
      </c>
      <c r="BK144" s="229">
        <v>-0.34139999999999998</v>
      </c>
      <c r="BL144" s="230">
        <v>18048000</v>
      </c>
      <c r="BM144" s="230">
        <v>16000000</v>
      </c>
      <c r="BN144" s="230">
        <v>2048000</v>
      </c>
      <c r="BO144" s="229">
        <v>0.128</v>
      </c>
      <c r="BP144" s="230">
        <v>86348800</v>
      </c>
      <c r="BQ144" s="230">
        <v>138163200</v>
      </c>
      <c r="BR144" s="230">
        <v>-51814400</v>
      </c>
      <c r="BS144" s="229">
        <v>-0.375</v>
      </c>
      <c r="BT144" s="230">
        <v>10613930</v>
      </c>
      <c r="BU144" s="230">
        <v>11443220</v>
      </c>
      <c r="BV144" s="230">
        <v>-829290</v>
      </c>
      <c r="BW144" s="229">
        <v>-7.2499999999999995E-2</v>
      </c>
      <c r="BX144" s="230">
        <v>120831950</v>
      </c>
      <c r="BY144" s="230">
        <v>129147650</v>
      </c>
      <c r="BZ144" s="230">
        <v>-8315700</v>
      </c>
      <c r="CA144" s="229">
        <v>-6.4399999999999999E-2</v>
      </c>
      <c r="CB144" s="230">
        <v>4979200</v>
      </c>
      <c r="CC144" s="230">
        <v>12601600</v>
      </c>
      <c r="CD144" s="230">
        <v>-7622400</v>
      </c>
      <c r="CE144" s="229">
        <v>-0.60489999999999999</v>
      </c>
      <c r="CF144" s="230">
        <v>117516800</v>
      </c>
      <c r="CG144" s="230">
        <v>113689600</v>
      </c>
      <c r="CH144" s="230">
        <v>3827200</v>
      </c>
      <c r="CI144" s="229">
        <v>3.3700000000000001E-2</v>
      </c>
      <c r="CJ144" s="230">
        <v>3315150</v>
      </c>
      <c r="CK144" s="230">
        <v>2856450</v>
      </c>
      <c r="CL144" s="230">
        <v>458700</v>
      </c>
      <c r="CM144" s="229">
        <v>0.16059999999999999</v>
      </c>
      <c r="CN144" s="230">
        <v>19155750</v>
      </c>
      <c r="CO144" s="230">
        <v>57184550</v>
      </c>
      <c r="CP144" s="230">
        <v>-38028800</v>
      </c>
      <c r="CQ144" s="229">
        <v>-0.66500000000000004</v>
      </c>
      <c r="CR144" s="230">
        <v>13088550</v>
      </c>
      <c r="CS144" s="230">
        <v>29075750</v>
      </c>
      <c r="CT144" s="230">
        <v>-15987200</v>
      </c>
      <c r="CU144" s="229">
        <v>-0.54979999999999996</v>
      </c>
      <c r="CV144" s="230">
        <v>153076250</v>
      </c>
      <c r="CW144" s="230">
        <v>215407950</v>
      </c>
      <c r="CX144" s="230">
        <v>-62331700</v>
      </c>
      <c r="CY144" s="229">
        <v>-0.28939999999999999</v>
      </c>
      <c r="CZ144" s="228">
        <v>28.66</v>
      </c>
      <c r="DA144" s="228">
        <v>29.22</v>
      </c>
      <c r="DB144" s="228">
        <v>-0.56000000000000005</v>
      </c>
      <c r="DC144" s="228">
        <v>-0.56000000000000005</v>
      </c>
      <c r="DD144" s="228">
        <v>34.450000000000003</v>
      </c>
      <c r="DE144" s="228">
        <v>34.53</v>
      </c>
      <c r="DF144" s="228">
        <v>-5.79</v>
      </c>
      <c r="DG144" s="228">
        <v>-0.08</v>
      </c>
      <c r="DH144" s="228">
        <v>28.95</v>
      </c>
      <c r="DI144" s="228">
        <v>29.38</v>
      </c>
      <c r="DJ144" s="228">
        <v>-0.43</v>
      </c>
      <c r="DK144" s="228">
        <v>-0.43</v>
      </c>
      <c r="DL144" s="228">
        <v>27.98</v>
      </c>
      <c r="DM144" s="228">
        <v>28.81</v>
      </c>
      <c r="DN144" s="228">
        <v>-0.83</v>
      </c>
      <c r="DO144" s="228">
        <v>-0.83</v>
      </c>
      <c r="DP144" s="228">
        <v>0.68</v>
      </c>
      <c r="DQ144" s="228">
        <v>0.51</v>
      </c>
      <c r="DR144" s="228">
        <v>0.17</v>
      </c>
      <c r="DS144" s="229">
        <v>0.33329999999999999</v>
      </c>
      <c r="DT144" s="228">
        <v>90</v>
      </c>
      <c r="DU144" s="228">
        <v>75</v>
      </c>
      <c r="DV144" s="228">
        <v>0.55000000000000004</v>
      </c>
      <c r="DW144" s="228">
        <v>0.32</v>
      </c>
      <c r="DX144" s="228">
        <v>0.23</v>
      </c>
      <c r="DY144" s="229">
        <v>0.71879999999999999</v>
      </c>
      <c r="DZ144" s="229">
        <v>0.96040000000000003</v>
      </c>
      <c r="EA144" s="230">
        <v>116546050</v>
      </c>
      <c r="EB144" s="229">
        <v>1.5E-3</v>
      </c>
      <c r="EC144" s="229">
        <v>0.96040000000000003</v>
      </c>
      <c r="ED144" s="228">
        <v>-0.1</v>
      </c>
      <c r="EE144" s="229">
        <v>-1.2999999999999999E-3</v>
      </c>
      <c r="EF144" s="230">
        <v>4639591</v>
      </c>
      <c r="EG144" s="230">
        <v>3813498</v>
      </c>
      <c r="EH144" s="229">
        <v>0.21659999999999999</v>
      </c>
      <c r="EI144" s="229">
        <v>0.43709999999999999</v>
      </c>
      <c r="EJ144" s="231">
        <v>27328.69</v>
      </c>
      <c r="EK144" s="231">
        <v>14068.78</v>
      </c>
      <c r="EL144" s="231">
        <v>28025.17</v>
      </c>
      <c r="EM144" s="231">
        <v>10568</v>
      </c>
      <c r="EN144" s="231">
        <v>69422.64</v>
      </c>
      <c r="EO144" s="231">
        <v>111011.81</v>
      </c>
      <c r="EP144" s="231">
        <v>-41589.17</v>
      </c>
      <c r="EQ144" s="229">
        <v>-0.37459999999999999</v>
      </c>
      <c r="ER144" s="231">
        <v>15928</v>
      </c>
      <c r="ES144" s="231">
        <v>9941</v>
      </c>
      <c r="ET144" s="231">
        <v>94626</v>
      </c>
      <c r="EU144" s="231">
        <v>491233252</v>
      </c>
      <c r="EV144" s="231">
        <v>120495</v>
      </c>
      <c r="EW144" s="231">
        <v>172120</v>
      </c>
      <c r="EX144" s="231">
        <v>-51625</v>
      </c>
      <c r="EY144" s="229">
        <v>-0.2999</v>
      </c>
      <c r="EZ144" s="229">
        <v>0.31159999999999999</v>
      </c>
      <c r="FA144" s="227" t="s">
        <v>567</v>
      </c>
      <c r="FB144" s="161">
        <f t="shared" si="3"/>
        <v>0</v>
      </c>
    </row>
    <row r="145" spans="1:158" ht="17.25" thickBot="1" x14ac:dyDescent="0.3">
      <c r="A145" s="226">
        <v>46168</v>
      </c>
      <c r="B145" s="227" t="s">
        <v>181</v>
      </c>
      <c r="C145" s="227" t="s">
        <v>266</v>
      </c>
      <c r="D145" s="228">
        <v>65</v>
      </c>
      <c r="E145" s="231">
        <v>23978.9</v>
      </c>
      <c r="F145" s="231">
        <v>24106.400000000001</v>
      </c>
      <c r="G145" s="228">
        <v>-127.5</v>
      </c>
      <c r="H145" s="229">
        <v>-5.3E-3</v>
      </c>
      <c r="I145" s="231">
        <v>23913.7</v>
      </c>
      <c r="J145" s="231">
        <v>24031.7</v>
      </c>
      <c r="K145" s="228">
        <v>-118</v>
      </c>
      <c r="L145" s="229">
        <v>-4.8999999999999998E-3</v>
      </c>
      <c r="M145" s="231">
        <v>23913</v>
      </c>
      <c r="N145" s="231">
        <v>24063</v>
      </c>
      <c r="O145" s="228">
        <v>-150</v>
      </c>
      <c r="P145" s="229">
        <v>-6.1999999999999998E-3</v>
      </c>
      <c r="Q145" s="231">
        <v>23978.9</v>
      </c>
      <c r="R145" s="231">
        <v>24106.400000000001</v>
      </c>
      <c r="S145" s="228">
        <v>-127.5</v>
      </c>
      <c r="T145" s="229">
        <v>-5.3E-3</v>
      </c>
      <c r="U145" s="231">
        <v>24064.7</v>
      </c>
      <c r="V145" s="231">
        <v>24210</v>
      </c>
      <c r="W145" s="228">
        <v>-145.30000000000001</v>
      </c>
      <c r="X145" s="229">
        <v>-6.0000000000000001E-3</v>
      </c>
      <c r="Y145" s="228">
        <v>65.2</v>
      </c>
      <c r="Z145" s="228">
        <v>31.3</v>
      </c>
      <c r="AA145" s="228">
        <v>33.9</v>
      </c>
      <c r="AB145" s="229">
        <v>2.7000000000000001E-3</v>
      </c>
      <c r="AC145" s="228">
        <v>-0.7</v>
      </c>
      <c r="AD145" s="228">
        <v>31.3</v>
      </c>
      <c r="AE145" s="228">
        <v>-32</v>
      </c>
      <c r="AF145" s="229">
        <v>0</v>
      </c>
      <c r="AG145" s="228">
        <v>65.2</v>
      </c>
      <c r="AH145" s="228">
        <v>74.7</v>
      </c>
      <c r="AI145" s="228">
        <v>-9.5</v>
      </c>
      <c r="AJ145" s="229">
        <v>2.7000000000000001E-3</v>
      </c>
      <c r="AK145" s="228">
        <v>151</v>
      </c>
      <c r="AL145" s="228">
        <v>178.3</v>
      </c>
      <c r="AM145" s="228">
        <v>-27.3</v>
      </c>
      <c r="AN145" s="229">
        <v>6.3E-3</v>
      </c>
      <c r="AO145" s="231">
        <v>23991.23</v>
      </c>
      <c r="AP145" s="231">
        <v>24038.68</v>
      </c>
      <c r="AQ145" s="228">
        <v>0</v>
      </c>
      <c r="AR145" s="230">
        <v>9388990</v>
      </c>
      <c r="AS145" s="230">
        <v>9380930</v>
      </c>
      <c r="AT145" s="230">
        <v>8060</v>
      </c>
      <c r="AU145" s="229">
        <v>8.9999999999999998E-4</v>
      </c>
      <c r="AV145" s="230">
        <v>3281525</v>
      </c>
      <c r="AW145" s="230">
        <v>4879810</v>
      </c>
      <c r="AX145" s="230">
        <v>-1598285</v>
      </c>
      <c r="AY145" s="229">
        <v>-0.32750000000000001</v>
      </c>
      <c r="AZ145" s="230">
        <v>5663710</v>
      </c>
      <c r="BA145" s="230">
        <v>4175470</v>
      </c>
      <c r="BB145" s="230">
        <v>1488240</v>
      </c>
      <c r="BC145" s="229">
        <v>0.35639999999999999</v>
      </c>
      <c r="BD145" s="230">
        <v>443755</v>
      </c>
      <c r="BE145" s="230">
        <v>325650</v>
      </c>
      <c r="BF145" s="230">
        <v>118105</v>
      </c>
      <c r="BG145" s="229">
        <v>0.36270000000000002</v>
      </c>
      <c r="BH145" s="230">
        <v>9619027990</v>
      </c>
      <c r="BI145" s="230">
        <v>3415072765</v>
      </c>
      <c r="BJ145" s="230">
        <v>6203955225</v>
      </c>
      <c r="BK145" s="229">
        <v>1.8166</v>
      </c>
      <c r="BL145" s="230">
        <v>10792293590</v>
      </c>
      <c r="BM145" s="230">
        <v>3427702850</v>
      </c>
      <c r="BN145" s="230">
        <v>7364590740</v>
      </c>
      <c r="BO145" s="229">
        <v>2.1484999999999999</v>
      </c>
      <c r="BP145" s="230">
        <v>20420710570</v>
      </c>
      <c r="BQ145" s="230">
        <v>6852156545</v>
      </c>
      <c r="BR145" s="230">
        <v>13568554025</v>
      </c>
      <c r="BS145" s="229">
        <v>1.9802</v>
      </c>
      <c r="BT145" s="228">
        <v>0</v>
      </c>
      <c r="BU145" s="228">
        <v>0</v>
      </c>
      <c r="BV145" s="228">
        <v>0</v>
      </c>
      <c r="BW145" s="229">
        <v>0</v>
      </c>
      <c r="BX145" s="230">
        <v>15445170</v>
      </c>
      <c r="BY145" s="230">
        <v>20835490</v>
      </c>
      <c r="BZ145" s="230">
        <v>-5390320</v>
      </c>
      <c r="CA145" s="229">
        <v>-0.25869999999999999</v>
      </c>
      <c r="CB145" s="230">
        <v>6626815</v>
      </c>
      <c r="CC145" s="230">
        <v>8368295</v>
      </c>
      <c r="CD145" s="230">
        <v>-1741480</v>
      </c>
      <c r="CE145" s="229">
        <v>-0.20810000000000001</v>
      </c>
      <c r="CF145" s="230">
        <v>14468350</v>
      </c>
      <c r="CG145" s="230">
        <v>11607895</v>
      </c>
      <c r="CH145" s="230">
        <v>2860455</v>
      </c>
      <c r="CI145" s="229">
        <v>0.24640000000000001</v>
      </c>
      <c r="CJ145" s="230">
        <v>976820</v>
      </c>
      <c r="CK145" s="230">
        <v>859300</v>
      </c>
      <c r="CL145" s="230">
        <v>117520</v>
      </c>
      <c r="CM145" s="229">
        <v>0.1368</v>
      </c>
      <c r="CN145" s="230">
        <v>141896320</v>
      </c>
      <c r="CO145" s="230">
        <v>245123265</v>
      </c>
      <c r="CP145" s="230">
        <v>-103226945</v>
      </c>
      <c r="CQ145" s="229">
        <v>-0.42109999999999997</v>
      </c>
      <c r="CR145" s="230">
        <v>151948765</v>
      </c>
      <c r="CS145" s="230">
        <v>308517355</v>
      </c>
      <c r="CT145" s="230">
        <v>-156568590</v>
      </c>
      <c r="CU145" s="229">
        <v>-0.50749999999999995</v>
      </c>
      <c r="CV145" s="230">
        <v>309290255</v>
      </c>
      <c r="CW145" s="230">
        <v>574476110</v>
      </c>
      <c r="CX145" s="230">
        <v>-265185855</v>
      </c>
      <c r="CY145" s="229">
        <v>-0.46160000000000001</v>
      </c>
      <c r="CZ145" s="228">
        <v>15.09</v>
      </c>
      <c r="DA145" s="228">
        <v>16.03</v>
      </c>
      <c r="DB145" s="228">
        <v>-0.94</v>
      </c>
      <c r="DC145" s="228">
        <v>-0.94</v>
      </c>
      <c r="DD145" s="228">
        <v>17.47</v>
      </c>
      <c r="DE145" s="228">
        <v>17.5</v>
      </c>
      <c r="DF145" s="228">
        <v>-2.38</v>
      </c>
      <c r="DG145" s="228">
        <v>-0.03</v>
      </c>
      <c r="DH145" s="228">
        <v>14.73</v>
      </c>
      <c r="DI145" s="228">
        <v>14.7</v>
      </c>
      <c r="DJ145" s="228">
        <v>0.03</v>
      </c>
      <c r="DK145" s="228">
        <v>0.03</v>
      </c>
      <c r="DL145" s="228">
        <v>15.45</v>
      </c>
      <c r="DM145" s="228">
        <v>17.27</v>
      </c>
      <c r="DN145" s="228">
        <v>-1.82</v>
      </c>
      <c r="DO145" s="228">
        <v>-1.82</v>
      </c>
      <c r="DP145" s="228">
        <v>1.07</v>
      </c>
      <c r="DQ145" s="228">
        <v>1.26</v>
      </c>
      <c r="DR145" s="228">
        <v>-0.19</v>
      </c>
      <c r="DS145" s="229">
        <v>-0.15079999999999999</v>
      </c>
      <c r="DT145" s="231">
        <v>23950</v>
      </c>
      <c r="DU145" s="231">
        <v>23900</v>
      </c>
      <c r="DV145" s="228">
        <v>1.1200000000000001</v>
      </c>
      <c r="DW145" s="228">
        <v>1</v>
      </c>
      <c r="DX145" s="228">
        <v>0.12</v>
      </c>
      <c r="DY145" s="229">
        <v>0.12</v>
      </c>
      <c r="DZ145" s="229">
        <v>0.69979999999999998</v>
      </c>
      <c r="EA145" s="230">
        <v>12467195</v>
      </c>
      <c r="EB145" s="229">
        <v>2.8E-3</v>
      </c>
      <c r="EC145" s="229">
        <v>0.69979999999999998</v>
      </c>
      <c r="ED145" s="228">
        <v>47.45</v>
      </c>
      <c r="EE145" s="229">
        <v>2E-3</v>
      </c>
      <c r="EF145" s="228">
        <v>0</v>
      </c>
      <c r="EG145" s="228">
        <v>0</v>
      </c>
      <c r="EH145" s="229">
        <v>0</v>
      </c>
      <c r="EI145" s="229">
        <v>0</v>
      </c>
      <c r="EJ145" s="231">
        <v>2323366555</v>
      </c>
      <c r="EK145" s="231">
        <v>2574829881.1999998</v>
      </c>
      <c r="EL145" s="231">
        <v>2255834.59</v>
      </c>
      <c r="EM145" s="231">
        <v>110732</v>
      </c>
      <c r="EN145" s="231">
        <v>4900452270.79</v>
      </c>
      <c r="EO145" s="231">
        <v>1643083833.0699999</v>
      </c>
      <c r="EP145" s="231">
        <v>3257368437.7199998</v>
      </c>
      <c r="EQ145" s="229">
        <v>1.9824999999999999</v>
      </c>
      <c r="ER145" s="231">
        <v>35369526</v>
      </c>
      <c r="ES145" s="231">
        <v>35428381</v>
      </c>
      <c r="ET145" s="231">
        <v>3704420</v>
      </c>
      <c r="EU145" s="228">
        <v>0</v>
      </c>
      <c r="EV145" s="231">
        <v>74502327</v>
      </c>
      <c r="EW145" s="231">
        <v>137538918</v>
      </c>
      <c r="EX145" s="231">
        <v>-63036591</v>
      </c>
      <c r="EY145" s="229">
        <v>-0.45829999999999999</v>
      </c>
      <c r="EZ145" s="229">
        <v>0</v>
      </c>
      <c r="FA145" s="227" t="s">
        <v>567</v>
      </c>
      <c r="FB145" s="161">
        <f t="shared" si="3"/>
        <v>0</v>
      </c>
    </row>
    <row r="146" spans="1:158" ht="17.25" thickBot="1" x14ac:dyDescent="0.3">
      <c r="A146" s="226">
        <v>46168</v>
      </c>
      <c r="B146" s="227" t="s">
        <v>181</v>
      </c>
      <c r="C146" s="227" t="s">
        <v>565</v>
      </c>
      <c r="D146" s="228">
        <v>25</v>
      </c>
      <c r="E146" s="231">
        <v>71323.600000000006</v>
      </c>
      <c r="F146" s="231">
        <v>71189</v>
      </c>
      <c r="G146" s="228">
        <v>134.6</v>
      </c>
      <c r="H146" s="229">
        <v>1.9E-3</v>
      </c>
      <c r="I146" s="231">
        <v>70945.100000000006</v>
      </c>
      <c r="J146" s="231">
        <v>70815.850000000006</v>
      </c>
      <c r="K146" s="228">
        <v>129.25</v>
      </c>
      <c r="L146" s="229">
        <v>1.8E-3</v>
      </c>
      <c r="M146" s="231">
        <v>70917.600000000006</v>
      </c>
      <c r="N146" s="231">
        <v>70921</v>
      </c>
      <c r="O146" s="228">
        <v>-3.4</v>
      </c>
      <c r="P146" s="229">
        <v>0</v>
      </c>
      <c r="Q146" s="231">
        <v>71323.600000000006</v>
      </c>
      <c r="R146" s="231">
        <v>71189</v>
      </c>
      <c r="S146" s="228">
        <v>134.6</v>
      </c>
      <c r="T146" s="229">
        <v>1.9E-3</v>
      </c>
      <c r="U146" s="231">
        <v>71710.2</v>
      </c>
      <c r="V146" s="231">
        <v>71374.2</v>
      </c>
      <c r="W146" s="228">
        <v>336</v>
      </c>
      <c r="X146" s="229">
        <v>4.7000000000000002E-3</v>
      </c>
      <c r="Y146" s="228">
        <v>378.5</v>
      </c>
      <c r="Z146" s="228">
        <v>105.15</v>
      </c>
      <c r="AA146" s="228">
        <v>273.35000000000002</v>
      </c>
      <c r="AB146" s="229">
        <v>5.3E-3</v>
      </c>
      <c r="AC146" s="228">
        <v>-27.5</v>
      </c>
      <c r="AD146" s="228">
        <v>105.15</v>
      </c>
      <c r="AE146" s="228">
        <v>-132.65</v>
      </c>
      <c r="AF146" s="229">
        <v>-4.0000000000000002E-4</v>
      </c>
      <c r="AG146" s="228">
        <v>378.5</v>
      </c>
      <c r="AH146" s="228">
        <v>373.15</v>
      </c>
      <c r="AI146" s="228">
        <v>5.35</v>
      </c>
      <c r="AJ146" s="229">
        <v>5.3E-3</v>
      </c>
      <c r="AK146" s="228">
        <v>765.1</v>
      </c>
      <c r="AL146" s="228">
        <v>558.35</v>
      </c>
      <c r="AM146" s="228">
        <v>206.75</v>
      </c>
      <c r="AN146" s="229">
        <v>1.0800000000000001E-2</v>
      </c>
      <c r="AO146" s="231">
        <v>70929.81</v>
      </c>
      <c r="AP146" s="231">
        <v>71223.539999999994</v>
      </c>
      <c r="AQ146" s="228">
        <v>0</v>
      </c>
      <c r="AR146" s="230">
        <v>13125</v>
      </c>
      <c r="AS146" s="230">
        <v>19975</v>
      </c>
      <c r="AT146" s="230">
        <v>-6850</v>
      </c>
      <c r="AU146" s="229">
        <v>-0.34289999999999998</v>
      </c>
      <c r="AV146" s="230">
        <v>6725</v>
      </c>
      <c r="AW146" s="230">
        <v>10075</v>
      </c>
      <c r="AX146" s="230">
        <v>-3350</v>
      </c>
      <c r="AY146" s="229">
        <v>-0.33250000000000002</v>
      </c>
      <c r="AZ146" s="230">
        <v>6075</v>
      </c>
      <c r="BA146" s="230">
        <v>9675</v>
      </c>
      <c r="BB146" s="230">
        <v>-3600</v>
      </c>
      <c r="BC146" s="229">
        <v>-0.37209999999999999</v>
      </c>
      <c r="BD146" s="228">
        <v>325</v>
      </c>
      <c r="BE146" s="228">
        <v>225</v>
      </c>
      <c r="BF146" s="228">
        <v>100</v>
      </c>
      <c r="BG146" s="229">
        <v>0.44440000000000002</v>
      </c>
      <c r="BH146" s="230">
        <v>246825</v>
      </c>
      <c r="BI146" s="230">
        <v>55500</v>
      </c>
      <c r="BJ146" s="230">
        <v>191325</v>
      </c>
      <c r="BK146" s="229">
        <v>3.4472999999999998</v>
      </c>
      <c r="BL146" s="230">
        <v>182125</v>
      </c>
      <c r="BM146" s="230">
        <v>21625</v>
      </c>
      <c r="BN146" s="230">
        <v>160500</v>
      </c>
      <c r="BO146" s="229">
        <v>7.4219999999999997</v>
      </c>
      <c r="BP146" s="230">
        <v>442075</v>
      </c>
      <c r="BQ146" s="230">
        <v>97100</v>
      </c>
      <c r="BR146" s="230">
        <v>344975</v>
      </c>
      <c r="BS146" s="229">
        <v>3.5528</v>
      </c>
      <c r="BT146" s="228">
        <v>0</v>
      </c>
      <c r="BU146" s="228">
        <v>0</v>
      </c>
      <c r="BV146" s="228">
        <v>0</v>
      </c>
      <c r="BW146" s="229">
        <v>0</v>
      </c>
      <c r="BX146" s="230">
        <v>16300</v>
      </c>
      <c r="BY146" s="230">
        <v>19775</v>
      </c>
      <c r="BZ146" s="230">
        <v>-3475</v>
      </c>
      <c r="CA146" s="229">
        <v>-0.1757</v>
      </c>
      <c r="CB146" s="230">
        <v>2050</v>
      </c>
      <c r="CC146" s="230">
        <v>5700</v>
      </c>
      <c r="CD146" s="230">
        <v>-3650</v>
      </c>
      <c r="CE146" s="229">
        <v>-0.64039999999999997</v>
      </c>
      <c r="CF146" s="230">
        <v>15800</v>
      </c>
      <c r="CG146" s="230">
        <v>13775</v>
      </c>
      <c r="CH146" s="230">
        <v>2025</v>
      </c>
      <c r="CI146" s="229">
        <v>0.14699999999999999</v>
      </c>
      <c r="CJ146" s="228">
        <v>500</v>
      </c>
      <c r="CK146" s="228">
        <v>300</v>
      </c>
      <c r="CL146" s="228">
        <v>200</v>
      </c>
      <c r="CM146" s="229">
        <v>0.66669999999999996</v>
      </c>
      <c r="CN146" s="228">
        <v>25</v>
      </c>
      <c r="CO146" s="230">
        <v>19250</v>
      </c>
      <c r="CP146" s="230">
        <v>-19225</v>
      </c>
      <c r="CQ146" s="229">
        <v>-0.99870000000000003</v>
      </c>
      <c r="CR146" s="228">
        <v>25</v>
      </c>
      <c r="CS146" s="230">
        <v>16675</v>
      </c>
      <c r="CT146" s="230">
        <v>-16650</v>
      </c>
      <c r="CU146" s="229">
        <v>-0.99850000000000005</v>
      </c>
      <c r="CV146" s="230">
        <v>16350</v>
      </c>
      <c r="CW146" s="230">
        <v>55700</v>
      </c>
      <c r="CX146" s="230">
        <v>-39350</v>
      </c>
      <c r="CY146" s="229">
        <v>-0.70650000000000002</v>
      </c>
      <c r="CZ146" s="228">
        <v>22.82</v>
      </c>
      <c r="DA146" s="228">
        <v>28.39</v>
      </c>
      <c r="DB146" s="228">
        <v>-5.57</v>
      </c>
      <c r="DC146" s="228">
        <v>-5.57</v>
      </c>
      <c r="DD146" s="228">
        <v>22.82</v>
      </c>
      <c r="DE146" s="228">
        <v>22.87</v>
      </c>
      <c r="DF146" s="228">
        <v>0</v>
      </c>
      <c r="DG146" s="228">
        <v>-0.05</v>
      </c>
      <c r="DH146" s="228">
        <v>22.82</v>
      </c>
      <c r="DI146" s="228">
        <v>28.39</v>
      </c>
      <c r="DJ146" s="228">
        <v>-5.57</v>
      </c>
      <c r="DK146" s="228">
        <v>-5.57</v>
      </c>
      <c r="DL146" s="228">
        <v>22.82</v>
      </c>
      <c r="DM146" s="228">
        <v>28.39</v>
      </c>
      <c r="DN146" s="228">
        <v>-5.57</v>
      </c>
      <c r="DO146" s="228">
        <v>-5.57</v>
      </c>
      <c r="DP146" s="228">
        <v>1</v>
      </c>
      <c r="DQ146" s="228">
        <v>0.87</v>
      </c>
      <c r="DR146" s="228">
        <v>0.13</v>
      </c>
      <c r="DS146" s="229">
        <v>0.14940000000000001</v>
      </c>
      <c r="DT146" s="231">
        <v>71000</v>
      </c>
      <c r="DU146" s="231">
        <v>69000</v>
      </c>
      <c r="DV146" s="228">
        <v>0.74</v>
      </c>
      <c r="DW146" s="228">
        <v>0.39</v>
      </c>
      <c r="DX146" s="228">
        <v>0.35</v>
      </c>
      <c r="DY146" s="229">
        <v>0.89739999999999998</v>
      </c>
      <c r="DZ146" s="229">
        <v>0.88829999999999998</v>
      </c>
      <c r="EA146" s="230">
        <v>14075</v>
      </c>
      <c r="EB146" s="229">
        <v>5.7000000000000002E-3</v>
      </c>
      <c r="EC146" s="229">
        <v>0.88829999999999998</v>
      </c>
      <c r="ED146" s="228">
        <v>293.73</v>
      </c>
      <c r="EE146" s="229">
        <v>4.1000000000000003E-3</v>
      </c>
      <c r="EF146" s="228">
        <v>0</v>
      </c>
      <c r="EG146" s="228">
        <v>0</v>
      </c>
      <c r="EH146" s="229">
        <v>0</v>
      </c>
      <c r="EI146" s="229">
        <v>0</v>
      </c>
      <c r="EJ146" s="231">
        <v>176573.36</v>
      </c>
      <c r="EK146" s="231">
        <v>127137.38</v>
      </c>
      <c r="EL146" s="231">
        <v>9329.42</v>
      </c>
      <c r="EM146" s="228">
        <v>0</v>
      </c>
      <c r="EN146" s="231">
        <v>313040.15999999997</v>
      </c>
      <c r="EO146" s="231">
        <v>68917.2</v>
      </c>
      <c r="EP146" s="231">
        <v>244122.96</v>
      </c>
      <c r="EQ146" s="229">
        <v>3.5423</v>
      </c>
      <c r="ER146" s="228">
        <v>19</v>
      </c>
      <c r="ES146" s="228">
        <v>18</v>
      </c>
      <c r="ET146" s="231">
        <v>11628</v>
      </c>
      <c r="EU146" s="228">
        <v>0</v>
      </c>
      <c r="EV146" s="231">
        <v>11664</v>
      </c>
      <c r="EW146" s="231">
        <v>39131</v>
      </c>
      <c r="EX146" s="231">
        <v>-27467</v>
      </c>
      <c r="EY146" s="229">
        <v>-0.70189999999999997</v>
      </c>
      <c r="EZ146" s="229">
        <v>0</v>
      </c>
      <c r="FA146" s="227" t="s">
        <v>691</v>
      </c>
      <c r="FB146" s="161">
        <f t="shared" si="3"/>
        <v>0</v>
      </c>
    </row>
    <row r="147" spans="1:158" ht="17.25" thickBot="1" x14ac:dyDescent="0.3">
      <c r="A147" s="226">
        <v>46168</v>
      </c>
      <c r="B147" s="227" t="s">
        <v>227</v>
      </c>
      <c r="C147" s="227" t="s">
        <v>267</v>
      </c>
      <c r="D147" s="228">
        <v>6750</v>
      </c>
      <c r="E147" s="228">
        <v>91.36</v>
      </c>
      <c r="F147" s="228">
        <v>91.01</v>
      </c>
      <c r="G147" s="228">
        <v>0.35</v>
      </c>
      <c r="H147" s="229">
        <v>3.8E-3</v>
      </c>
      <c r="I147" s="228">
        <v>90.67</v>
      </c>
      <c r="J147" s="228">
        <v>90.19</v>
      </c>
      <c r="K147" s="228">
        <v>0.48</v>
      </c>
      <c r="L147" s="229">
        <v>5.3E-3</v>
      </c>
      <c r="M147" s="228">
        <v>90.77</v>
      </c>
      <c r="N147" s="228">
        <v>90.42</v>
      </c>
      <c r="O147" s="228">
        <v>0.35</v>
      </c>
      <c r="P147" s="229">
        <v>3.8999999999999998E-3</v>
      </c>
      <c r="Q147" s="228">
        <v>91.36</v>
      </c>
      <c r="R147" s="228">
        <v>91.01</v>
      </c>
      <c r="S147" s="228">
        <v>0.35</v>
      </c>
      <c r="T147" s="229">
        <v>3.8E-3</v>
      </c>
      <c r="U147" s="228">
        <v>92</v>
      </c>
      <c r="V147" s="228">
        <v>91.51</v>
      </c>
      <c r="W147" s="228">
        <v>0.49</v>
      </c>
      <c r="X147" s="229">
        <v>5.4000000000000003E-3</v>
      </c>
      <c r="Y147" s="228">
        <v>0.69</v>
      </c>
      <c r="Z147" s="228">
        <v>0.23</v>
      </c>
      <c r="AA147" s="228">
        <v>0.46</v>
      </c>
      <c r="AB147" s="229">
        <v>7.6E-3</v>
      </c>
      <c r="AC147" s="228">
        <v>0.1</v>
      </c>
      <c r="AD147" s="228">
        <v>0.23</v>
      </c>
      <c r="AE147" s="228">
        <v>-0.13</v>
      </c>
      <c r="AF147" s="229">
        <v>1.1000000000000001E-3</v>
      </c>
      <c r="AG147" s="228">
        <v>0.69</v>
      </c>
      <c r="AH147" s="228">
        <v>0.82</v>
      </c>
      <c r="AI147" s="228">
        <v>-0.13</v>
      </c>
      <c r="AJ147" s="229">
        <v>7.6E-3</v>
      </c>
      <c r="AK147" s="228">
        <v>1.33</v>
      </c>
      <c r="AL147" s="228">
        <v>1.32</v>
      </c>
      <c r="AM147" s="228">
        <v>0.01</v>
      </c>
      <c r="AN147" s="229">
        <v>1.47E-2</v>
      </c>
      <c r="AO147" s="228">
        <v>90.12</v>
      </c>
      <c r="AP147" s="228">
        <v>90.82</v>
      </c>
      <c r="AQ147" s="228">
        <v>0</v>
      </c>
      <c r="AR147" s="230">
        <v>141574500</v>
      </c>
      <c r="AS147" s="230">
        <v>155425500</v>
      </c>
      <c r="AT147" s="230">
        <v>-13851000</v>
      </c>
      <c r="AU147" s="229">
        <v>-8.9099999999999999E-2</v>
      </c>
      <c r="AV147" s="230">
        <v>65407500</v>
      </c>
      <c r="AW147" s="230">
        <v>72150750</v>
      </c>
      <c r="AX147" s="230">
        <v>-6743250</v>
      </c>
      <c r="AY147" s="229">
        <v>-9.35E-2</v>
      </c>
      <c r="AZ147" s="230">
        <v>74952000</v>
      </c>
      <c r="BA147" s="230">
        <v>82343250</v>
      </c>
      <c r="BB147" s="230">
        <v>-7391250</v>
      </c>
      <c r="BC147" s="229">
        <v>-8.9800000000000005E-2</v>
      </c>
      <c r="BD147" s="230">
        <v>1215000</v>
      </c>
      <c r="BE147" s="230">
        <v>931500</v>
      </c>
      <c r="BF147" s="230">
        <v>283500</v>
      </c>
      <c r="BG147" s="229">
        <v>0.30430000000000001</v>
      </c>
      <c r="BH147" s="230">
        <v>98631000</v>
      </c>
      <c r="BI147" s="230">
        <v>72677250</v>
      </c>
      <c r="BJ147" s="230">
        <v>25953750</v>
      </c>
      <c r="BK147" s="229">
        <v>0.35709999999999997</v>
      </c>
      <c r="BL147" s="230">
        <v>47229750</v>
      </c>
      <c r="BM147" s="230">
        <v>24448500</v>
      </c>
      <c r="BN147" s="230">
        <v>22781250</v>
      </c>
      <c r="BO147" s="229">
        <v>0.93179999999999996</v>
      </c>
      <c r="BP147" s="230">
        <v>287435250</v>
      </c>
      <c r="BQ147" s="230">
        <v>252551250</v>
      </c>
      <c r="BR147" s="230">
        <v>34884000</v>
      </c>
      <c r="BS147" s="229">
        <v>0.1381</v>
      </c>
      <c r="BT147" s="230">
        <v>17917659</v>
      </c>
      <c r="BU147" s="230">
        <v>16224075</v>
      </c>
      <c r="BV147" s="230">
        <v>1693584</v>
      </c>
      <c r="BW147" s="229">
        <v>0.10440000000000001</v>
      </c>
      <c r="BX147" s="230">
        <v>352255500</v>
      </c>
      <c r="BY147" s="230">
        <v>354024000</v>
      </c>
      <c r="BZ147" s="230">
        <v>-1768500</v>
      </c>
      <c r="CA147" s="229">
        <v>-5.0000000000000001E-3</v>
      </c>
      <c r="CB147" s="230">
        <v>8862750</v>
      </c>
      <c r="CC147" s="230">
        <v>48856500</v>
      </c>
      <c r="CD147" s="230">
        <v>-39993750</v>
      </c>
      <c r="CE147" s="229">
        <v>-0.81859999999999999</v>
      </c>
      <c r="CF147" s="230">
        <v>345667500</v>
      </c>
      <c r="CG147" s="230">
        <v>299261250</v>
      </c>
      <c r="CH147" s="230">
        <v>46406250</v>
      </c>
      <c r="CI147" s="229">
        <v>0.15509999999999999</v>
      </c>
      <c r="CJ147" s="230">
        <v>6588000</v>
      </c>
      <c r="CK147" s="230">
        <v>5906250</v>
      </c>
      <c r="CL147" s="230">
        <v>681750</v>
      </c>
      <c r="CM147" s="229">
        <v>0.1154</v>
      </c>
      <c r="CN147" s="230">
        <v>53102250</v>
      </c>
      <c r="CO147" s="230">
        <v>83146500</v>
      </c>
      <c r="CP147" s="230">
        <v>-30044250</v>
      </c>
      <c r="CQ147" s="229">
        <v>-0.36130000000000001</v>
      </c>
      <c r="CR147" s="230">
        <v>27729000</v>
      </c>
      <c r="CS147" s="230">
        <v>43692750</v>
      </c>
      <c r="CT147" s="230">
        <v>-15963750</v>
      </c>
      <c r="CU147" s="229">
        <v>-0.3654</v>
      </c>
      <c r="CV147" s="230">
        <v>433086750</v>
      </c>
      <c r="CW147" s="230">
        <v>480863250</v>
      </c>
      <c r="CX147" s="230">
        <v>-47776500</v>
      </c>
      <c r="CY147" s="229">
        <v>-9.9400000000000002E-2</v>
      </c>
      <c r="CZ147" s="228">
        <v>30.72</v>
      </c>
      <c r="DA147" s="228">
        <v>31.16</v>
      </c>
      <c r="DB147" s="228">
        <v>-0.44</v>
      </c>
      <c r="DC147" s="228">
        <v>-0.44</v>
      </c>
      <c r="DD147" s="228">
        <v>38.340000000000003</v>
      </c>
      <c r="DE147" s="228">
        <v>38.43</v>
      </c>
      <c r="DF147" s="228">
        <v>-7.62</v>
      </c>
      <c r="DG147" s="228">
        <v>-0.09</v>
      </c>
      <c r="DH147" s="228">
        <v>30.77</v>
      </c>
      <c r="DI147" s="228">
        <v>31.28</v>
      </c>
      <c r="DJ147" s="228">
        <v>-0.51</v>
      </c>
      <c r="DK147" s="228">
        <v>-0.51</v>
      </c>
      <c r="DL147" s="228">
        <v>30.62</v>
      </c>
      <c r="DM147" s="228">
        <v>30.87</v>
      </c>
      <c r="DN147" s="228">
        <v>-0.25</v>
      </c>
      <c r="DO147" s="228">
        <v>-0.25</v>
      </c>
      <c r="DP147" s="228">
        <v>0.52</v>
      </c>
      <c r="DQ147" s="228">
        <v>0.53</v>
      </c>
      <c r="DR147" s="228">
        <v>-0.01</v>
      </c>
      <c r="DS147" s="229">
        <v>-1.89E-2</v>
      </c>
      <c r="DT147" s="228">
        <v>100</v>
      </c>
      <c r="DU147" s="228">
        <v>85</v>
      </c>
      <c r="DV147" s="228">
        <v>0.48</v>
      </c>
      <c r="DW147" s="228">
        <v>0.34</v>
      </c>
      <c r="DX147" s="228">
        <v>0.14000000000000001</v>
      </c>
      <c r="DY147" s="229">
        <v>0.4118</v>
      </c>
      <c r="DZ147" s="229">
        <v>0.97550000000000003</v>
      </c>
      <c r="EA147" s="230">
        <v>305167500</v>
      </c>
      <c r="EB147" s="229">
        <v>6.4999999999999997E-3</v>
      </c>
      <c r="EC147" s="229">
        <v>0.97550000000000003</v>
      </c>
      <c r="ED147" s="228">
        <v>0.7</v>
      </c>
      <c r="EE147" s="229">
        <v>7.7999999999999996E-3</v>
      </c>
      <c r="EF147" s="230">
        <v>6878139</v>
      </c>
      <c r="EG147" s="230">
        <v>8324191</v>
      </c>
      <c r="EH147" s="229">
        <v>-0.17369999999999999</v>
      </c>
      <c r="EI147" s="229">
        <v>0.38390000000000002</v>
      </c>
      <c r="EJ147" s="231">
        <v>93375.19</v>
      </c>
      <c r="EK147" s="231">
        <v>41925.910000000003</v>
      </c>
      <c r="EL147" s="231">
        <v>128126.71</v>
      </c>
      <c r="EM147" s="231">
        <v>19250</v>
      </c>
      <c r="EN147" s="231">
        <v>263427.81</v>
      </c>
      <c r="EO147" s="231">
        <v>229891.59</v>
      </c>
      <c r="EP147" s="231">
        <v>33536.22</v>
      </c>
      <c r="EQ147" s="229">
        <v>0.1459</v>
      </c>
      <c r="ER147" s="231">
        <v>50262</v>
      </c>
      <c r="ES147" s="231">
        <v>24091</v>
      </c>
      <c r="ET147" s="231">
        <v>321863</v>
      </c>
      <c r="EU147" s="231">
        <v>517037525</v>
      </c>
      <c r="EV147" s="231">
        <v>396216</v>
      </c>
      <c r="EW147" s="231">
        <v>438258</v>
      </c>
      <c r="EX147" s="231">
        <v>-42042</v>
      </c>
      <c r="EY147" s="229">
        <v>-9.5899999999999999E-2</v>
      </c>
      <c r="EZ147" s="229">
        <v>0.83760000000000001</v>
      </c>
      <c r="FA147" s="227" t="s">
        <v>691</v>
      </c>
      <c r="FB147" s="161">
        <f t="shared" si="3"/>
        <v>0</v>
      </c>
    </row>
    <row r="148" spans="1:158" ht="17.25" thickBot="1" x14ac:dyDescent="0.3">
      <c r="A148" s="226">
        <v>46168</v>
      </c>
      <c r="B148" s="227" t="s">
        <v>161</v>
      </c>
      <c r="C148" s="227" t="s">
        <v>268</v>
      </c>
      <c r="D148" s="228">
        <v>1500</v>
      </c>
      <c r="E148" s="228">
        <v>392.65</v>
      </c>
      <c r="F148" s="228">
        <v>393.2</v>
      </c>
      <c r="G148" s="228">
        <v>-0.55000000000000004</v>
      </c>
      <c r="H148" s="229">
        <v>-1.4E-3</v>
      </c>
      <c r="I148" s="228">
        <v>389.7</v>
      </c>
      <c r="J148" s="228">
        <v>390.05</v>
      </c>
      <c r="K148" s="228">
        <v>-0.35</v>
      </c>
      <c r="L148" s="229">
        <v>-8.9999999999999998E-4</v>
      </c>
      <c r="M148" s="228">
        <v>389.9</v>
      </c>
      <c r="N148" s="228">
        <v>390.25</v>
      </c>
      <c r="O148" s="228">
        <v>-0.35</v>
      </c>
      <c r="P148" s="229">
        <v>-8.9999999999999998E-4</v>
      </c>
      <c r="Q148" s="228">
        <v>392.65</v>
      </c>
      <c r="R148" s="228">
        <v>393.2</v>
      </c>
      <c r="S148" s="228">
        <v>-0.55000000000000004</v>
      </c>
      <c r="T148" s="229">
        <v>-1.4E-3</v>
      </c>
      <c r="U148" s="228">
        <v>395.1</v>
      </c>
      <c r="V148" s="228">
        <v>395.15</v>
      </c>
      <c r="W148" s="228">
        <v>-0.05</v>
      </c>
      <c r="X148" s="229">
        <v>-1E-4</v>
      </c>
      <c r="Y148" s="228">
        <v>2.95</v>
      </c>
      <c r="Z148" s="228">
        <v>0.2</v>
      </c>
      <c r="AA148" s="228">
        <v>2.75</v>
      </c>
      <c r="AB148" s="229">
        <v>7.6E-3</v>
      </c>
      <c r="AC148" s="228">
        <v>0.2</v>
      </c>
      <c r="AD148" s="228">
        <v>0.2</v>
      </c>
      <c r="AE148" s="228">
        <v>0</v>
      </c>
      <c r="AF148" s="229">
        <v>5.0000000000000001E-4</v>
      </c>
      <c r="AG148" s="228">
        <v>2.95</v>
      </c>
      <c r="AH148" s="228">
        <v>3.15</v>
      </c>
      <c r="AI148" s="228">
        <v>-0.2</v>
      </c>
      <c r="AJ148" s="229">
        <v>7.6E-3</v>
      </c>
      <c r="AK148" s="228">
        <v>5.4</v>
      </c>
      <c r="AL148" s="228">
        <v>5.0999999999999996</v>
      </c>
      <c r="AM148" s="228">
        <v>0.3</v>
      </c>
      <c r="AN148" s="229">
        <v>1.3899999999999999E-2</v>
      </c>
      <c r="AO148" s="228">
        <v>390.29</v>
      </c>
      <c r="AP148" s="228">
        <v>393.49</v>
      </c>
      <c r="AQ148" s="228">
        <v>0</v>
      </c>
      <c r="AR148" s="230">
        <v>35175000</v>
      </c>
      <c r="AS148" s="230">
        <v>65059500</v>
      </c>
      <c r="AT148" s="230">
        <v>-29884500</v>
      </c>
      <c r="AU148" s="229">
        <v>-0.45929999999999999</v>
      </c>
      <c r="AV148" s="230">
        <v>16647000</v>
      </c>
      <c r="AW148" s="230">
        <v>30966000</v>
      </c>
      <c r="AX148" s="230">
        <v>-14319000</v>
      </c>
      <c r="AY148" s="229">
        <v>-0.46239999999999998</v>
      </c>
      <c r="AZ148" s="230">
        <v>18343500</v>
      </c>
      <c r="BA148" s="230">
        <v>33508500</v>
      </c>
      <c r="BB148" s="230">
        <v>-15165000</v>
      </c>
      <c r="BC148" s="229">
        <v>-0.4526</v>
      </c>
      <c r="BD148" s="230">
        <v>184500</v>
      </c>
      <c r="BE148" s="230">
        <v>585000</v>
      </c>
      <c r="BF148" s="230">
        <v>-400500</v>
      </c>
      <c r="BG148" s="229">
        <v>-0.68459999999999999</v>
      </c>
      <c r="BH148" s="230">
        <v>29055000</v>
      </c>
      <c r="BI148" s="230">
        <v>84540000</v>
      </c>
      <c r="BJ148" s="230">
        <v>-55485000</v>
      </c>
      <c r="BK148" s="229">
        <v>-0.65629999999999999</v>
      </c>
      <c r="BL148" s="230">
        <v>18448500</v>
      </c>
      <c r="BM148" s="230">
        <v>46920000</v>
      </c>
      <c r="BN148" s="230">
        <v>-28471500</v>
      </c>
      <c r="BO148" s="229">
        <v>-0.60680000000000001</v>
      </c>
      <c r="BP148" s="230">
        <v>82678500</v>
      </c>
      <c r="BQ148" s="230">
        <v>196519500</v>
      </c>
      <c r="BR148" s="230">
        <v>-113841000</v>
      </c>
      <c r="BS148" s="229">
        <v>-0.57930000000000004</v>
      </c>
      <c r="BT148" s="230">
        <v>10551778</v>
      </c>
      <c r="BU148" s="230">
        <v>10814547</v>
      </c>
      <c r="BV148" s="230">
        <v>-262769</v>
      </c>
      <c r="BW148" s="229">
        <v>-2.4299999999999999E-2</v>
      </c>
      <c r="BX148" s="230">
        <v>129490500</v>
      </c>
      <c r="BY148" s="230">
        <v>133621500</v>
      </c>
      <c r="BZ148" s="230">
        <v>-4131000</v>
      </c>
      <c r="CA148" s="229">
        <v>-3.09E-2</v>
      </c>
      <c r="CB148" s="230">
        <v>13204500</v>
      </c>
      <c r="CC148" s="230">
        <v>15648000</v>
      </c>
      <c r="CD148" s="230">
        <v>-2443500</v>
      </c>
      <c r="CE148" s="229">
        <v>-0.15620000000000001</v>
      </c>
      <c r="CF148" s="230">
        <v>120982500</v>
      </c>
      <c r="CG148" s="230">
        <v>109519500</v>
      </c>
      <c r="CH148" s="230">
        <v>11463000</v>
      </c>
      <c r="CI148" s="229">
        <v>0.1047</v>
      </c>
      <c r="CJ148" s="230">
        <v>8508000</v>
      </c>
      <c r="CK148" s="230">
        <v>8454000</v>
      </c>
      <c r="CL148" s="230">
        <v>54000</v>
      </c>
      <c r="CM148" s="229">
        <v>6.4000000000000003E-3</v>
      </c>
      <c r="CN148" s="230">
        <v>10423500</v>
      </c>
      <c r="CO148" s="230">
        <v>85668000</v>
      </c>
      <c r="CP148" s="230">
        <v>-75244500</v>
      </c>
      <c r="CQ148" s="229">
        <v>-0.87829999999999997</v>
      </c>
      <c r="CR148" s="230">
        <v>7791000</v>
      </c>
      <c r="CS148" s="230">
        <v>23011500</v>
      </c>
      <c r="CT148" s="230">
        <v>-15220500</v>
      </c>
      <c r="CU148" s="229">
        <v>-0.66139999999999999</v>
      </c>
      <c r="CV148" s="230">
        <v>147705000</v>
      </c>
      <c r="CW148" s="230">
        <v>242301000</v>
      </c>
      <c r="CX148" s="230">
        <v>-94596000</v>
      </c>
      <c r="CY148" s="229">
        <v>-0.39040000000000002</v>
      </c>
      <c r="CZ148" s="228">
        <v>19.02</v>
      </c>
      <c r="DA148" s="228">
        <v>18.5</v>
      </c>
      <c r="DB148" s="228">
        <v>0.52</v>
      </c>
      <c r="DC148" s="228">
        <v>0.52</v>
      </c>
      <c r="DD148" s="228">
        <v>26.68</v>
      </c>
      <c r="DE148" s="228">
        <v>26.74</v>
      </c>
      <c r="DF148" s="228">
        <v>-7.66</v>
      </c>
      <c r="DG148" s="228">
        <v>-0.06</v>
      </c>
      <c r="DH148" s="228">
        <v>19.05</v>
      </c>
      <c r="DI148" s="228">
        <v>18.559999999999999</v>
      </c>
      <c r="DJ148" s="228">
        <v>0.49</v>
      </c>
      <c r="DK148" s="228">
        <v>0.49</v>
      </c>
      <c r="DL148" s="228">
        <v>18.97</v>
      </c>
      <c r="DM148" s="228">
        <v>18.350000000000001</v>
      </c>
      <c r="DN148" s="228">
        <v>0.62</v>
      </c>
      <c r="DO148" s="228">
        <v>0.62</v>
      </c>
      <c r="DP148" s="228">
        <v>0.75</v>
      </c>
      <c r="DQ148" s="228">
        <v>0.27</v>
      </c>
      <c r="DR148" s="228">
        <v>0.48</v>
      </c>
      <c r="DS148" s="229">
        <v>1.7778</v>
      </c>
      <c r="DT148" s="228">
        <v>400</v>
      </c>
      <c r="DU148" s="228">
        <v>390</v>
      </c>
      <c r="DV148" s="228">
        <v>0.63</v>
      </c>
      <c r="DW148" s="228">
        <v>0.56000000000000005</v>
      </c>
      <c r="DX148" s="228">
        <v>7.0000000000000007E-2</v>
      </c>
      <c r="DY148" s="229">
        <v>0.125</v>
      </c>
      <c r="DZ148" s="229">
        <v>0.90749999999999997</v>
      </c>
      <c r="EA148" s="230">
        <v>117973500</v>
      </c>
      <c r="EB148" s="229">
        <v>7.1000000000000004E-3</v>
      </c>
      <c r="EC148" s="229">
        <v>0.90749999999999997</v>
      </c>
      <c r="ED148" s="228">
        <v>3.2</v>
      </c>
      <c r="EE148" s="229">
        <v>8.2000000000000007E-3</v>
      </c>
      <c r="EF148" s="230">
        <v>6917142</v>
      </c>
      <c r="EG148" s="230">
        <v>6122960</v>
      </c>
      <c r="EH148" s="229">
        <v>0.12970000000000001</v>
      </c>
      <c r="EI148" s="229">
        <v>0.65549999999999997</v>
      </c>
      <c r="EJ148" s="231">
        <v>116061.15</v>
      </c>
      <c r="EK148" s="231">
        <v>72739.289999999994</v>
      </c>
      <c r="EL148" s="231">
        <v>137880</v>
      </c>
      <c r="EM148" s="231">
        <v>30869</v>
      </c>
      <c r="EN148" s="231">
        <v>326680.44</v>
      </c>
      <c r="EO148" s="231">
        <v>772693.85</v>
      </c>
      <c r="EP148" s="231">
        <v>-446013.41</v>
      </c>
      <c r="EQ148" s="229">
        <v>-0.57720000000000005</v>
      </c>
      <c r="ER148" s="231">
        <v>42277</v>
      </c>
      <c r="ES148" s="231">
        <v>30475</v>
      </c>
      <c r="ET148" s="231">
        <v>508653</v>
      </c>
      <c r="EU148" s="231">
        <v>550512361</v>
      </c>
      <c r="EV148" s="231">
        <v>581405</v>
      </c>
      <c r="EW148" s="231">
        <v>962795</v>
      </c>
      <c r="EX148" s="231">
        <v>-381390</v>
      </c>
      <c r="EY148" s="229">
        <v>-0.39610000000000001</v>
      </c>
      <c r="EZ148" s="229">
        <v>0.26829999999999998</v>
      </c>
      <c r="FA148" s="227" t="s">
        <v>567</v>
      </c>
      <c r="FB148" s="161">
        <f t="shared" si="3"/>
        <v>0</v>
      </c>
    </row>
    <row r="149" spans="1:158" ht="17.25" thickBot="1" x14ac:dyDescent="0.3">
      <c r="A149" s="226">
        <v>46168</v>
      </c>
      <c r="B149" s="227" t="s">
        <v>175</v>
      </c>
      <c r="C149" s="227" t="s">
        <v>681</v>
      </c>
      <c r="D149" s="228">
        <v>500</v>
      </c>
      <c r="E149" s="231">
        <v>1523.8</v>
      </c>
      <c r="F149" s="231">
        <v>1514.7</v>
      </c>
      <c r="G149" s="228">
        <v>9.1</v>
      </c>
      <c r="H149" s="229">
        <v>6.0000000000000001E-3</v>
      </c>
      <c r="I149" s="231">
        <v>1513.4</v>
      </c>
      <c r="J149" s="231">
        <v>1504.8</v>
      </c>
      <c r="K149" s="228">
        <v>8.6</v>
      </c>
      <c r="L149" s="229">
        <v>5.7000000000000002E-3</v>
      </c>
      <c r="M149" s="231">
        <v>1516.6</v>
      </c>
      <c r="N149" s="231">
        <v>1505.2</v>
      </c>
      <c r="O149" s="228">
        <v>11.4</v>
      </c>
      <c r="P149" s="229">
        <v>7.6E-3</v>
      </c>
      <c r="Q149" s="231">
        <v>1523.8</v>
      </c>
      <c r="R149" s="231">
        <v>1514.7</v>
      </c>
      <c r="S149" s="228">
        <v>9.1</v>
      </c>
      <c r="T149" s="229">
        <v>6.0000000000000001E-3</v>
      </c>
      <c r="U149" s="231">
        <v>1514.2</v>
      </c>
      <c r="V149" s="231">
        <v>1510</v>
      </c>
      <c r="W149" s="228">
        <v>4.2</v>
      </c>
      <c r="X149" s="229">
        <v>2.8E-3</v>
      </c>
      <c r="Y149" s="228">
        <v>10.4</v>
      </c>
      <c r="Z149" s="228">
        <v>0.4</v>
      </c>
      <c r="AA149" s="228">
        <v>10</v>
      </c>
      <c r="AB149" s="229">
        <v>6.8999999999999999E-3</v>
      </c>
      <c r="AC149" s="228">
        <v>3.2</v>
      </c>
      <c r="AD149" s="228">
        <v>0.4</v>
      </c>
      <c r="AE149" s="228">
        <v>2.8</v>
      </c>
      <c r="AF149" s="229">
        <v>2.0999999999999999E-3</v>
      </c>
      <c r="AG149" s="228">
        <v>10.4</v>
      </c>
      <c r="AH149" s="228">
        <v>9.9</v>
      </c>
      <c r="AI149" s="228">
        <v>0.5</v>
      </c>
      <c r="AJ149" s="229">
        <v>6.8999999999999999E-3</v>
      </c>
      <c r="AK149" s="228">
        <v>0.8</v>
      </c>
      <c r="AL149" s="228">
        <v>5.2</v>
      </c>
      <c r="AM149" s="228">
        <v>-4.4000000000000004</v>
      </c>
      <c r="AN149" s="229">
        <v>5.0000000000000001E-4</v>
      </c>
      <c r="AO149" s="231">
        <v>1507.33</v>
      </c>
      <c r="AP149" s="231">
        <v>1516.32</v>
      </c>
      <c r="AQ149" s="228">
        <v>0</v>
      </c>
      <c r="AR149" s="230">
        <v>1789500</v>
      </c>
      <c r="AS149" s="230">
        <v>1707000</v>
      </c>
      <c r="AT149" s="230">
        <v>82500</v>
      </c>
      <c r="AU149" s="229">
        <v>4.8300000000000003E-2</v>
      </c>
      <c r="AV149" s="230">
        <v>945500</v>
      </c>
      <c r="AW149" s="230">
        <v>700500</v>
      </c>
      <c r="AX149" s="230">
        <v>245000</v>
      </c>
      <c r="AY149" s="229">
        <v>0.3498</v>
      </c>
      <c r="AZ149" s="230">
        <v>830500</v>
      </c>
      <c r="BA149" s="230">
        <v>1002500</v>
      </c>
      <c r="BB149" s="230">
        <v>-172000</v>
      </c>
      <c r="BC149" s="229">
        <v>-0.1716</v>
      </c>
      <c r="BD149" s="230">
        <v>13500</v>
      </c>
      <c r="BE149" s="230">
        <v>4000</v>
      </c>
      <c r="BF149" s="230">
        <v>9500</v>
      </c>
      <c r="BG149" s="229">
        <v>2.375</v>
      </c>
      <c r="BH149" s="230">
        <v>1410000</v>
      </c>
      <c r="BI149" s="230">
        <v>1876000</v>
      </c>
      <c r="BJ149" s="230">
        <v>-466000</v>
      </c>
      <c r="BK149" s="229">
        <v>-0.24840000000000001</v>
      </c>
      <c r="BL149" s="230">
        <v>680500</v>
      </c>
      <c r="BM149" s="230">
        <v>910000</v>
      </c>
      <c r="BN149" s="230">
        <v>-229500</v>
      </c>
      <c r="BO149" s="229">
        <v>-0.25219999999999998</v>
      </c>
      <c r="BP149" s="230">
        <v>3880000</v>
      </c>
      <c r="BQ149" s="230">
        <v>4493000</v>
      </c>
      <c r="BR149" s="230">
        <v>-613000</v>
      </c>
      <c r="BS149" s="229">
        <v>-0.13639999999999999</v>
      </c>
      <c r="BT149" s="230">
        <v>510814</v>
      </c>
      <c r="BU149" s="230">
        <v>407481</v>
      </c>
      <c r="BV149" s="230">
        <v>103333</v>
      </c>
      <c r="BW149" s="229">
        <v>0.25359999999999999</v>
      </c>
      <c r="BX149" s="230">
        <v>1574000</v>
      </c>
      <c r="BY149" s="230">
        <v>1675500</v>
      </c>
      <c r="BZ149" s="230">
        <v>-101500</v>
      </c>
      <c r="CA149" s="229">
        <v>-6.0600000000000001E-2</v>
      </c>
      <c r="CB149" s="230">
        <v>431000</v>
      </c>
      <c r="CC149" s="230">
        <v>382500</v>
      </c>
      <c r="CD149" s="230">
        <v>48500</v>
      </c>
      <c r="CE149" s="229">
        <v>0.1268</v>
      </c>
      <c r="CF149" s="230">
        <v>1557000</v>
      </c>
      <c r="CG149" s="230">
        <v>1281000</v>
      </c>
      <c r="CH149" s="230">
        <v>276000</v>
      </c>
      <c r="CI149" s="229">
        <v>0.2155</v>
      </c>
      <c r="CJ149" s="230">
        <v>17000</v>
      </c>
      <c r="CK149" s="230">
        <v>12000</v>
      </c>
      <c r="CL149" s="230">
        <v>5000</v>
      </c>
      <c r="CM149" s="229">
        <v>0.41670000000000001</v>
      </c>
      <c r="CN149" s="230">
        <v>282000</v>
      </c>
      <c r="CO149" s="230">
        <v>1765000</v>
      </c>
      <c r="CP149" s="230">
        <v>-1483000</v>
      </c>
      <c r="CQ149" s="229">
        <v>-0.84019999999999995</v>
      </c>
      <c r="CR149" s="230">
        <v>156000</v>
      </c>
      <c r="CS149" s="230">
        <v>1088000</v>
      </c>
      <c r="CT149" s="230">
        <v>-932000</v>
      </c>
      <c r="CU149" s="229">
        <v>-0.85660000000000003</v>
      </c>
      <c r="CV149" s="230">
        <v>2012000</v>
      </c>
      <c r="CW149" s="230">
        <v>4528500</v>
      </c>
      <c r="CX149" s="230">
        <v>-2516500</v>
      </c>
      <c r="CY149" s="229">
        <v>-0.55569999999999997</v>
      </c>
      <c r="CZ149" s="228">
        <v>34.92</v>
      </c>
      <c r="DA149" s="228">
        <v>36.5</v>
      </c>
      <c r="DB149" s="228">
        <v>-1.58</v>
      </c>
      <c r="DC149" s="228">
        <v>-1.58</v>
      </c>
      <c r="DD149" s="228">
        <v>50.79</v>
      </c>
      <c r="DE149" s="228">
        <v>50.91</v>
      </c>
      <c r="DF149" s="228">
        <v>-15.87</v>
      </c>
      <c r="DG149" s="228">
        <v>-0.12</v>
      </c>
      <c r="DH149" s="228">
        <v>34.31</v>
      </c>
      <c r="DI149" s="228">
        <v>36.22</v>
      </c>
      <c r="DJ149" s="228">
        <v>-1.91</v>
      </c>
      <c r="DK149" s="228">
        <v>-1.91</v>
      </c>
      <c r="DL149" s="228">
        <v>36.21</v>
      </c>
      <c r="DM149" s="228">
        <v>37.42</v>
      </c>
      <c r="DN149" s="228">
        <v>-1.21</v>
      </c>
      <c r="DO149" s="228">
        <v>-1.21</v>
      </c>
      <c r="DP149" s="228">
        <v>0.55000000000000004</v>
      </c>
      <c r="DQ149" s="228">
        <v>0.62</v>
      </c>
      <c r="DR149" s="228">
        <v>-7.0000000000000007E-2</v>
      </c>
      <c r="DS149" s="229">
        <v>-0.1129</v>
      </c>
      <c r="DT149" s="231">
        <v>1600</v>
      </c>
      <c r="DU149" s="231">
        <v>1300</v>
      </c>
      <c r="DV149" s="228">
        <v>0.48</v>
      </c>
      <c r="DW149" s="228">
        <v>0.49</v>
      </c>
      <c r="DX149" s="228">
        <v>-0.01</v>
      </c>
      <c r="DY149" s="229">
        <v>-2.0400000000000001E-2</v>
      </c>
      <c r="DZ149" s="229">
        <v>0.78500000000000003</v>
      </c>
      <c r="EA149" s="230">
        <v>1293000</v>
      </c>
      <c r="EB149" s="229">
        <v>4.7000000000000002E-3</v>
      </c>
      <c r="EC149" s="229">
        <v>0.78500000000000003</v>
      </c>
      <c r="ED149" s="228">
        <v>8.99</v>
      </c>
      <c r="EE149" s="229">
        <v>6.0000000000000001E-3</v>
      </c>
      <c r="EF149" s="230">
        <v>218204</v>
      </c>
      <c r="EG149" s="230">
        <v>195310</v>
      </c>
      <c r="EH149" s="229">
        <v>0.1172</v>
      </c>
      <c r="EI149" s="229">
        <v>0.42720000000000002</v>
      </c>
      <c r="EJ149" s="231">
        <v>21967.64</v>
      </c>
      <c r="EK149" s="231">
        <v>10086.5</v>
      </c>
      <c r="EL149" s="231">
        <v>27048.83</v>
      </c>
      <c r="EM149" s="231">
        <v>2545</v>
      </c>
      <c r="EN149" s="231">
        <v>59102.97</v>
      </c>
      <c r="EO149" s="231">
        <v>68208.38</v>
      </c>
      <c r="EP149" s="231">
        <v>-9105.41</v>
      </c>
      <c r="EQ149" s="229">
        <v>-0.13350000000000001</v>
      </c>
      <c r="ER149" s="231">
        <v>4480</v>
      </c>
      <c r="ES149" s="231">
        <v>2258</v>
      </c>
      <c r="ET149" s="231">
        <v>23983</v>
      </c>
      <c r="EU149" s="231">
        <v>12490416</v>
      </c>
      <c r="EV149" s="231">
        <v>30721</v>
      </c>
      <c r="EW149" s="231">
        <v>68222</v>
      </c>
      <c r="EX149" s="231">
        <v>-37501</v>
      </c>
      <c r="EY149" s="229">
        <v>-0.54969999999999997</v>
      </c>
      <c r="EZ149" s="229">
        <v>0.16109999999999999</v>
      </c>
      <c r="FA149" s="227" t="s">
        <v>691</v>
      </c>
      <c r="FB149" s="161">
        <f t="shared" si="3"/>
        <v>0</v>
      </c>
    </row>
    <row r="150" spans="1:158" ht="17.25" thickBot="1" x14ac:dyDescent="0.3">
      <c r="A150" s="226">
        <v>46168</v>
      </c>
      <c r="B150" s="227" t="s">
        <v>614</v>
      </c>
      <c r="C150" s="227" t="s">
        <v>612</v>
      </c>
      <c r="D150" s="228">
        <v>3125</v>
      </c>
      <c r="E150" s="228">
        <v>268.14999999999998</v>
      </c>
      <c r="F150" s="228">
        <v>271.75</v>
      </c>
      <c r="G150" s="228">
        <v>-3.6</v>
      </c>
      <c r="H150" s="229">
        <v>-1.32E-2</v>
      </c>
      <c r="I150" s="228">
        <v>266.35000000000002</v>
      </c>
      <c r="J150" s="228">
        <v>270.05</v>
      </c>
      <c r="K150" s="228">
        <v>-3.7</v>
      </c>
      <c r="L150" s="229">
        <v>-1.37E-2</v>
      </c>
      <c r="M150" s="228">
        <v>266.45</v>
      </c>
      <c r="N150" s="228">
        <v>270.10000000000002</v>
      </c>
      <c r="O150" s="228">
        <v>-3.65</v>
      </c>
      <c r="P150" s="229">
        <v>-1.35E-2</v>
      </c>
      <c r="Q150" s="228">
        <v>268.14999999999998</v>
      </c>
      <c r="R150" s="228">
        <v>271.75</v>
      </c>
      <c r="S150" s="228">
        <v>-3.6</v>
      </c>
      <c r="T150" s="229">
        <v>-1.32E-2</v>
      </c>
      <c r="U150" s="228">
        <v>269.64999999999998</v>
      </c>
      <c r="V150" s="228">
        <v>273.45</v>
      </c>
      <c r="W150" s="228">
        <v>-3.8</v>
      </c>
      <c r="X150" s="229">
        <v>-1.3899999999999999E-2</v>
      </c>
      <c r="Y150" s="228">
        <v>1.8</v>
      </c>
      <c r="Z150" s="228">
        <v>0.05</v>
      </c>
      <c r="AA150" s="228">
        <v>1.75</v>
      </c>
      <c r="AB150" s="229">
        <v>6.7999999999999996E-3</v>
      </c>
      <c r="AC150" s="228">
        <v>0.1</v>
      </c>
      <c r="AD150" s="228">
        <v>0.05</v>
      </c>
      <c r="AE150" s="228">
        <v>0.05</v>
      </c>
      <c r="AF150" s="229">
        <v>4.0000000000000002E-4</v>
      </c>
      <c r="AG150" s="228">
        <v>1.8</v>
      </c>
      <c r="AH150" s="228">
        <v>1.7</v>
      </c>
      <c r="AI150" s="228">
        <v>0.1</v>
      </c>
      <c r="AJ150" s="229">
        <v>6.7999999999999996E-3</v>
      </c>
      <c r="AK150" s="228">
        <v>3.3</v>
      </c>
      <c r="AL150" s="228">
        <v>3.4</v>
      </c>
      <c r="AM150" s="228">
        <v>-0.1</v>
      </c>
      <c r="AN150" s="229">
        <v>1.24E-2</v>
      </c>
      <c r="AO150" s="228">
        <v>267.64</v>
      </c>
      <c r="AP150" s="228">
        <v>269.72000000000003</v>
      </c>
      <c r="AQ150" s="228">
        <v>0</v>
      </c>
      <c r="AR150" s="230">
        <v>23881250</v>
      </c>
      <c r="AS150" s="230">
        <v>40006250</v>
      </c>
      <c r="AT150" s="230">
        <v>-16125000</v>
      </c>
      <c r="AU150" s="229">
        <v>-0.40310000000000001</v>
      </c>
      <c r="AV150" s="230">
        <v>10581250</v>
      </c>
      <c r="AW150" s="230">
        <v>17900000</v>
      </c>
      <c r="AX150" s="230">
        <v>-7318750</v>
      </c>
      <c r="AY150" s="229">
        <v>-0.40889999999999999</v>
      </c>
      <c r="AZ150" s="230">
        <v>13165625</v>
      </c>
      <c r="BA150" s="230">
        <v>21909375</v>
      </c>
      <c r="BB150" s="230">
        <v>-8743750</v>
      </c>
      <c r="BC150" s="229">
        <v>-0.39910000000000001</v>
      </c>
      <c r="BD150" s="230">
        <v>134375</v>
      </c>
      <c r="BE150" s="230">
        <v>196875</v>
      </c>
      <c r="BF150" s="230">
        <v>-62500</v>
      </c>
      <c r="BG150" s="229">
        <v>-0.3175</v>
      </c>
      <c r="BH150" s="230">
        <v>28750000</v>
      </c>
      <c r="BI150" s="230">
        <v>73803125</v>
      </c>
      <c r="BJ150" s="230">
        <v>-45053125</v>
      </c>
      <c r="BK150" s="229">
        <v>-0.61050000000000004</v>
      </c>
      <c r="BL150" s="230">
        <v>9421875</v>
      </c>
      <c r="BM150" s="230">
        <v>23893750</v>
      </c>
      <c r="BN150" s="230">
        <v>-14471875</v>
      </c>
      <c r="BO150" s="229">
        <v>-0.60570000000000002</v>
      </c>
      <c r="BP150" s="230">
        <v>62053125</v>
      </c>
      <c r="BQ150" s="230">
        <v>137703125</v>
      </c>
      <c r="BR150" s="230">
        <v>-75650000</v>
      </c>
      <c r="BS150" s="229">
        <v>-0.5494</v>
      </c>
      <c r="BT150" s="230">
        <v>7530095</v>
      </c>
      <c r="BU150" s="230">
        <v>8677683</v>
      </c>
      <c r="BV150" s="230">
        <v>-1147588</v>
      </c>
      <c r="BW150" s="229">
        <v>-0.13220000000000001</v>
      </c>
      <c r="BX150" s="230">
        <v>51034375</v>
      </c>
      <c r="BY150" s="230">
        <v>52312500</v>
      </c>
      <c r="BZ150" s="230">
        <v>-1278125</v>
      </c>
      <c r="CA150" s="229">
        <v>-2.4400000000000002E-2</v>
      </c>
      <c r="CB150" s="230">
        <v>1553125</v>
      </c>
      <c r="CC150" s="230">
        <v>8515625</v>
      </c>
      <c r="CD150" s="230">
        <v>-6962500</v>
      </c>
      <c r="CE150" s="229">
        <v>-0.81759999999999999</v>
      </c>
      <c r="CF150" s="230">
        <v>50696875</v>
      </c>
      <c r="CG150" s="230">
        <v>43506250</v>
      </c>
      <c r="CH150" s="230">
        <v>7190625</v>
      </c>
      <c r="CI150" s="229">
        <v>0.1653</v>
      </c>
      <c r="CJ150" s="230">
        <v>337500</v>
      </c>
      <c r="CK150" s="230">
        <v>290625</v>
      </c>
      <c r="CL150" s="230">
        <v>46875</v>
      </c>
      <c r="CM150" s="229">
        <v>0.1613</v>
      </c>
      <c r="CN150" s="230">
        <v>22037500</v>
      </c>
      <c r="CO150" s="230">
        <v>34725000</v>
      </c>
      <c r="CP150" s="230">
        <v>-12687500</v>
      </c>
      <c r="CQ150" s="229">
        <v>-0.3654</v>
      </c>
      <c r="CR150" s="230">
        <v>7359375</v>
      </c>
      <c r="CS150" s="230">
        <v>11653125</v>
      </c>
      <c r="CT150" s="230">
        <v>-4293750</v>
      </c>
      <c r="CU150" s="229">
        <v>-0.36849999999999999</v>
      </c>
      <c r="CV150" s="230">
        <v>80431250</v>
      </c>
      <c r="CW150" s="230">
        <v>98690625</v>
      </c>
      <c r="CX150" s="230">
        <v>-18259375</v>
      </c>
      <c r="CY150" s="229">
        <v>-0.185</v>
      </c>
      <c r="CZ150" s="228">
        <v>34.090000000000003</v>
      </c>
      <c r="DA150" s="228">
        <v>34.28</v>
      </c>
      <c r="DB150" s="228">
        <v>-0.19</v>
      </c>
      <c r="DC150" s="228">
        <v>-0.19</v>
      </c>
      <c r="DD150" s="228">
        <v>35.200000000000003</v>
      </c>
      <c r="DE150" s="228">
        <v>35.24</v>
      </c>
      <c r="DF150" s="228">
        <v>-1.1100000000000001</v>
      </c>
      <c r="DG150" s="228">
        <v>-0.04</v>
      </c>
      <c r="DH150" s="228">
        <v>34.5</v>
      </c>
      <c r="DI150" s="228">
        <v>34.619999999999997</v>
      </c>
      <c r="DJ150" s="228">
        <v>-0.12</v>
      </c>
      <c r="DK150" s="228">
        <v>-0.12</v>
      </c>
      <c r="DL150" s="228">
        <v>32.67</v>
      </c>
      <c r="DM150" s="228">
        <v>32.72</v>
      </c>
      <c r="DN150" s="228">
        <v>-0.05</v>
      </c>
      <c r="DO150" s="228">
        <v>-0.05</v>
      </c>
      <c r="DP150" s="228">
        <v>0.33</v>
      </c>
      <c r="DQ150" s="228">
        <v>0.34</v>
      </c>
      <c r="DR150" s="228">
        <v>-0.01</v>
      </c>
      <c r="DS150" s="229">
        <v>-2.9399999999999999E-2</v>
      </c>
      <c r="DT150" s="228">
        <v>300</v>
      </c>
      <c r="DU150" s="228">
        <v>270</v>
      </c>
      <c r="DV150" s="228">
        <v>0.33</v>
      </c>
      <c r="DW150" s="228">
        <v>0.32</v>
      </c>
      <c r="DX150" s="228">
        <v>0.01</v>
      </c>
      <c r="DY150" s="229">
        <v>3.1300000000000001E-2</v>
      </c>
      <c r="DZ150" s="229">
        <v>0.97050000000000003</v>
      </c>
      <c r="EA150" s="230">
        <v>43796875</v>
      </c>
      <c r="EB150" s="229">
        <v>6.4000000000000003E-3</v>
      </c>
      <c r="EC150" s="229">
        <v>0.97050000000000003</v>
      </c>
      <c r="ED150" s="228">
        <v>2.08</v>
      </c>
      <c r="EE150" s="229">
        <v>7.7999999999999996E-3</v>
      </c>
      <c r="EF150" s="230">
        <v>3865980</v>
      </c>
      <c r="EG150" s="230">
        <v>3018902</v>
      </c>
      <c r="EH150" s="229">
        <v>0.28060000000000002</v>
      </c>
      <c r="EI150" s="229">
        <v>0.51339999999999997</v>
      </c>
      <c r="EJ150" s="231">
        <v>82563.789999999994</v>
      </c>
      <c r="EK150" s="231">
        <v>25267.55</v>
      </c>
      <c r="EL150" s="231">
        <v>64192.5</v>
      </c>
      <c r="EM150" s="231">
        <v>9138</v>
      </c>
      <c r="EN150" s="231">
        <v>172023.84</v>
      </c>
      <c r="EO150" s="231">
        <v>387167.69</v>
      </c>
      <c r="EP150" s="231">
        <v>-215143.85</v>
      </c>
      <c r="EQ150" s="229">
        <v>-0.55569999999999997</v>
      </c>
      <c r="ER150" s="231">
        <v>64556</v>
      </c>
      <c r="ES150" s="231">
        <v>19419</v>
      </c>
      <c r="ET150" s="231">
        <v>136854</v>
      </c>
      <c r="EU150" s="231">
        <v>205669742</v>
      </c>
      <c r="EV150" s="231">
        <v>220829</v>
      </c>
      <c r="EW150" s="231">
        <v>273840</v>
      </c>
      <c r="EX150" s="231">
        <v>-53011</v>
      </c>
      <c r="EY150" s="229">
        <v>-0.19359999999999999</v>
      </c>
      <c r="EZ150" s="229">
        <v>0.3911</v>
      </c>
      <c r="FA150" s="227" t="s">
        <v>567</v>
      </c>
      <c r="FB150" s="161">
        <f t="shared" si="3"/>
        <v>0</v>
      </c>
    </row>
    <row r="151" spans="1:158" ht="17.25" thickBot="1" x14ac:dyDescent="0.3">
      <c r="A151" s="226">
        <v>46168</v>
      </c>
      <c r="B151" s="227" t="s">
        <v>206</v>
      </c>
      <c r="C151" s="227" t="s">
        <v>528</v>
      </c>
      <c r="D151" s="228">
        <v>350</v>
      </c>
      <c r="E151" s="231">
        <v>1685.7</v>
      </c>
      <c r="F151" s="231">
        <v>1699.1</v>
      </c>
      <c r="G151" s="228">
        <v>-13.4</v>
      </c>
      <c r="H151" s="229">
        <v>-7.9000000000000008E-3</v>
      </c>
      <c r="I151" s="231">
        <v>1693.7</v>
      </c>
      <c r="J151" s="231">
        <v>1712.4</v>
      </c>
      <c r="K151" s="228">
        <v>-18.7</v>
      </c>
      <c r="L151" s="229">
        <v>-1.09E-2</v>
      </c>
      <c r="M151" s="231">
        <v>1698.1</v>
      </c>
      <c r="N151" s="231">
        <v>1720.9</v>
      </c>
      <c r="O151" s="228">
        <v>-22.8</v>
      </c>
      <c r="P151" s="229">
        <v>-1.32E-2</v>
      </c>
      <c r="Q151" s="231">
        <v>1685.7</v>
      </c>
      <c r="R151" s="231">
        <v>1699.1</v>
      </c>
      <c r="S151" s="228">
        <v>-13.4</v>
      </c>
      <c r="T151" s="229">
        <v>-7.9000000000000008E-3</v>
      </c>
      <c r="U151" s="231">
        <v>1674.6</v>
      </c>
      <c r="V151" s="231">
        <v>1694.8</v>
      </c>
      <c r="W151" s="228">
        <v>-20.2</v>
      </c>
      <c r="X151" s="229">
        <v>-1.1900000000000001E-2</v>
      </c>
      <c r="Y151" s="228">
        <v>-8</v>
      </c>
      <c r="Z151" s="228">
        <v>8.5</v>
      </c>
      <c r="AA151" s="228">
        <v>-16.5</v>
      </c>
      <c r="AB151" s="229">
        <v>-4.7000000000000002E-3</v>
      </c>
      <c r="AC151" s="228">
        <v>4.4000000000000004</v>
      </c>
      <c r="AD151" s="228">
        <v>8.5</v>
      </c>
      <c r="AE151" s="228">
        <v>-4.0999999999999996</v>
      </c>
      <c r="AF151" s="229">
        <v>2.5999999999999999E-3</v>
      </c>
      <c r="AG151" s="228">
        <v>-8</v>
      </c>
      <c r="AH151" s="228">
        <v>-13.3</v>
      </c>
      <c r="AI151" s="228">
        <v>5.3</v>
      </c>
      <c r="AJ151" s="229">
        <v>-4.7000000000000002E-3</v>
      </c>
      <c r="AK151" s="228">
        <v>-19.100000000000001</v>
      </c>
      <c r="AL151" s="228">
        <v>-17.600000000000001</v>
      </c>
      <c r="AM151" s="228">
        <v>-1.5</v>
      </c>
      <c r="AN151" s="229">
        <v>-1.1299999999999999E-2</v>
      </c>
      <c r="AO151" s="231">
        <v>1706.22</v>
      </c>
      <c r="AP151" s="231">
        <v>1686.56</v>
      </c>
      <c r="AQ151" s="228">
        <v>0</v>
      </c>
      <c r="AR151" s="230">
        <v>2114700</v>
      </c>
      <c r="AS151" s="230">
        <v>6598900</v>
      </c>
      <c r="AT151" s="230">
        <v>-4484200</v>
      </c>
      <c r="AU151" s="229">
        <v>-0.67949999999999999</v>
      </c>
      <c r="AV151" s="230">
        <v>970550</v>
      </c>
      <c r="AW151" s="230">
        <v>3180100</v>
      </c>
      <c r="AX151" s="230">
        <v>-2209550</v>
      </c>
      <c r="AY151" s="229">
        <v>-0.69479999999999997</v>
      </c>
      <c r="AZ151" s="230">
        <v>1136450</v>
      </c>
      <c r="BA151" s="230">
        <v>3405150</v>
      </c>
      <c r="BB151" s="230">
        <v>-2268700</v>
      </c>
      <c r="BC151" s="229">
        <v>-0.6663</v>
      </c>
      <c r="BD151" s="230">
        <v>7700</v>
      </c>
      <c r="BE151" s="230">
        <v>13650</v>
      </c>
      <c r="BF151" s="230">
        <v>-5950</v>
      </c>
      <c r="BG151" s="229">
        <v>-0.43590000000000001</v>
      </c>
      <c r="BH151" s="230">
        <v>1115450</v>
      </c>
      <c r="BI151" s="230">
        <v>2392950</v>
      </c>
      <c r="BJ151" s="230">
        <v>-1277500</v>
      </c>
      <c r="BK151" s="229">
        <v>-0.53390000000000004</v>
      </c>
      <c r="BL151" s="230">
        <v>707700</v>
      </c>
      <c r="BM151" s="230">
        <v>1043700</v>
      </c>
      <c r="BN151" s="230">
        <v>-336000</v>
      </c>
      <c r="BO151" s="229">
        <v>-0.32190000000000002</v>
      </c>
      <c r="BP151" s="230">
        <v>3937850</v>
      </c>
      <c r="BQ151" s="230">
        <v>10035550</v>
      </c>
      <c r="BR151" s="230">
        <v>-6097700</v>
      </c>
      <c r="BS151" s="229">
        <v>-0.60760000000000003</v>
      </c>
      <c r="BT151" s="230">
        <v>362744</v>
      </c>
      <c r="BU151" s="230">
        <v>651510</v>
      </c>
      <c r="BV151" s="230">
        <v>-288766</v>
      </c>
      <c r="BW151" s="229">
        <v>-0.44319999999999998</v>
      </c>
      <c r="BX151" s="230">
        <v>6223700</v>
      </c>
      <c r="BY151" s="230">
        <v>7877800</v>
      </c>
      <c r="BZ151" s="230">
        <v>-1654100</v>
      </c>
      <c r="CA151" s="229">
        <v>-0.21</v>
      </c>
      <c r="CB151" s="230">
        <v>1094800</v>
      </c>
      <c r="CC151" s="230">
        <v>1732150</v>
      </c>
      <c r="CD151" s="230">
        <v>-637350</v>
      </c>
      <c r="CE151" s="229">
        <v>-0.36799999999999999</v>
      </c>
      <c r="CF151" s="230">
        <v>6196050</v>
      </c>
      <c r="CG151" s="230">
        <v>6123600</v>
      </c>
      <c r="CH151" s="230">
        <v>72450</v>
      </c>
      <c r="CI151" s="229">
        <v>1.18E-2</v>
      </c>
      <c r="CJ151" s="230">
        <v>27650</v>
      </c>
      <c r="CK151" s="230">
        <v>22050</v>
      </c>
      <c r="CL151" s="230">
        <v>5600</v>
      </c>
      <c r="CM151" s="229">
        <v>0.254</v>
      </c>
      <c r="CN151" s="230">
        <v>310800</v>
      </c>
      <c r="CO151" s="230">
        <v>1276450</v>
      </c>
      <c r="CP151" s="230">
        <v>-965650</v>
      </c>
      <c r="CQ151" s="229">
        <v>-0.75649999999999995</v>
      </c>
      <c r="CR151" s="230">
        <v>241150</v>
      </c>
      <c r="CS151" s="230">
        <v>793800</v>
      </c>
      <c r="CT151" s="230">
        <v>-552650</v>
      </c>
      <c r="CU151" s="229">
        <v>-0.69620000000000004</v>
      </c>
      <c r="CV151" s="230">
        <v>6775650</v>
      </c>
      <c r="CW151" s="230">
        <v>9948050</v>
      </c>
      <c r="CX151" s="230">
        <v>-3172400</v>
      </c>
      <c r="CY151" s="229">
        <v>-0.31890000000000002</v>
      </c>
      <c r="CZ151" s="228">
        <v>28.83</v>
      </c>
      <c r="DA151" s="228">
        <v>29.31</v>
      </c>
      <c r="DB151" s="228">
        <v>-0.48</v>
      </c>
      <c r="DC151" s="228">
        <v>-0.48</v>
      </c>
      <c r="DD151" s="228">
        <v>36.020000000000003</v>
      </c>
      <c r="DE151" s="228">
        <v>36.090000000000003</v>
      </c>
      <c r="DF151" s="228">
        <v>-7.19</v>
      </c>
      <c r="DG151" s="228">
        <v>-7.0000000000000007E-2</v>
      </c>
      <c r="DH151" s="228">
        <v>29.41</v>
      </c>
      <c r="DI151" s="228">
        <v>29.34</v>
      </c>
      <c r="DJ151" s="228">
        <v>7.0000000000000007E-2</v>
      </c>
      <c r="DK151" s="228">
        <v>7.0000000000000007E-2</v>
      </c>
      <c r="DL151" s="228">
        <v>28.09</v>
      </c>
      <c r="DM151" s="228">
        <v>29.24</v>
      </c>
      <c r="DN151" s="228">
        <v>-1.1499999999999999</v>
      </c>
      <c r="DO151" s="228">
        <v>-1.1499999999999999</v>
      </c>
      <c r="DP151" s="228">
        <v>0.78</v>
      </c>
      <c r="DQ151" s="228">
        <v>0.62</v>
      </c>
      <c r="DR151" s="228">
        <v>0.16</v>
      </c>
      <c r="DS151" s="229">
        <v>0.2581</v>
      </c>
      <c r="DT151" s="231">
        <v>1880</v>
      </c>
      <c r="DU151" s="231">
        <v>1500</v>
      </c>
      <c r="DV151" s="228">
        <v>0.63</v>
      </c>
      <c r="DW151" s="228">
        <v>0.44</v>
      </c>
      <c r="DX151" s="228">
        <v>0.19</v>
      </c>
      <c r="DY151" s="229">
        <v>0.43180000000000002</v>
      </c>
      <c r="DZ151" s="229">
        <v>0.85040000000000004</v>
      </c>
      <c r="EA151" s="230">
        <v>6145650</v>
      </c>
      <c r="EB151" s="229">
        <v>-7.3000000000000001E-3</v>
      </c>
      <c r="EC151" s="229">
        <v>0.85040000000000004</v>
      </c>
      <c r="ED151" s="228">
        <v>-19.66</v>
      </c>
      <c r="EE151" s="229">
        <v>-1.15E-2</v>
      </c>
      <c r="EF151" s="230">
        <v>211368</v>
      </c>
      <c r="EG151" s="230">
        <v>290341</v>
      </c>
      <c r="EH151" s="229">
        <v>-0.27200000000000002</v>
      </c>
      <c r="EI151" s="229">
        <v>0.5827</v>
      </c>
      <c r="EJ151" s="231">
        <v>19369.560000000001</v>
      </c>
      <c r="EK151" s="231">
        <v>11811.46</v>
      </c>
      <c r="EL151" s="231">
        <v>35856.22</v>
      </c>
      <c r="EM151" s="231">
        <v>9769</v>
      </c>
      <c r="EN151" s="231">
        <v>67037.240000000005</v>
      </c>
      <c r="EO151" s="231">
        <v>171459.64</v>
      </c>
      <c r="EP151" s="231">
        <v>-104422.39999999999</v>
      </c>
      <c r="EQ151" s="229">
        <v>-0.60899999999999999</v>
      </c>
      <c r="ER151" s="231">
        <v>5324</v>
      </c>
      <c r="ES151" s="231">
        <v>4032</v>
      </c>
      <c r="ET151" s="231">
        <v>104910</v>
      </c>
      <c r="EU151" s="231">
        <v>17614093</v>
      </c>
      <c r="EV151" s="231">
        <v>114267</v>
      </c>
      <c r="EW151" s="231">
        <v>169404</v>
      </c>
      <c r="EX151" s="231">
        <v>-55137</v>
      </c>
      <c r="EY151" s="229">
        <v>-0.32550000000000001</v>
      </c>
      <c r="EZ151" s="229">
        <v>0.38469999999999999</v>
      </c>
      <c r="FA151" s="227" t="s">
        <v>567</v>
      </c>
      <c r="FB151" s="161">
        <f t="shared" si="3"/>
        <v>0</v>
      </c>
    </row>
    <row r="152" spans="1:158" ht="17.25" thickBot="1" x14ac:dyDescent="0.3">
      <c r="A152" s="226">
        <v>46168</v>
      </c>
      <c r="B152" s="227" t="s">
        <v>221</v>
      </c>
      <c r="C152" s="227" t="s">
        <v>518</v>
      </c>
      <c r="D152" s="228">
        <v>75</v>
      </c>
      <c r="E152" s="231">
        <v>9783</v>
      </c>
      <c r="F152" s="231">
        <v>9624.5</v>
      </c>
      <c r="G152" s="228">
        <v>158.5</v>
      </c>
      <c r="H152" s="229">
        <v>1.6500000000000001E-2</v>
      </c>
      <c r="I152" s="231">
        <v>9882</v>
      </c>
      <c r="J152" s="231">
        <v>9703</v>
      </c>
      <c r="K152" s="228">
        <v>179</v>
      </c>
      <c r="L152" s="229">
        <v>1.84E-2</v>
      </c>
      <c r="M152" s="231">
        <v>9885.5</v>
      </c>
      <c r="N152" s="231">
        <v>9708</v>
      </c>
      <c r="O152" s="228">
        <v>177.5</v>
      </c>
      <c r="P152" s="229">
        <v>1.83E-2</v>
      </c>
      <c r="Q152" s="231">
        <v>9783</v>
      </c>
      <c r="R152" s="231">
        <v>9624.5</v>
      </c>
      <c r="S152" s="228">
        <v>158.5</v>
      </c>
      <c r="T152" s="229">
        <v>1.6500000000000001E-2</v>
      </c>
      <c r="U152" s="231">
        <v>9736.5</v>
      </c>
      <c r="V152" s="231">
        <v>9631</v>
      </c>
      <c r="W152" s="228">
        <v>105.5</v>
      </c>
      <c r="X152" s="229">
        <v>1.0999999999999999E-2</v>
      </c>
      <c r="Y152" s="228">
        <v>-99</v>
      </c>
      <c r="Z152" s="228">
        <v>5</v>
      </c>
      <c r="AA152" s="228">
        <v>-104</v>
      </c>
      <c r="AB152" s="229">
        <v>-0.01</v>
      </c>
      <c r="AC152" s="228">
        <v>3.5</v>
      </c>
      <c r="AD152" s="228">
        <v>5</v>
      </c>
      <c r="AE152" s="228">
        <v>-1.5</v>
      </c>
      <c r="AF152" s="229">
        <v>4.0000000000000002E-4</v>
      </c>
      <c r="AG152" s="228">
        <v>-99</v>
      </c>
      <c r="AH152" s="228">
        <v>-78.5</v>
      </c>
      <c r="AI152" s="228">
        <v>-20.5</v>
      </c>
      <c r="AJ152" s="229">
        <v>-0.01</v>
      </c>
      <c r="AK152" s="228">
        <v>-145.5</v>
      </c>
      <c r="AL152" s="228">
        <v>-72</v>
      </c>
      <c r="AM152" s="228">
        <v>-73.5</v>
      </c>
      <c r="AN152" s="229">
        <v>-1.47E-2</v>
      </c>
      <c r="AO152" s="231">
        <v>9798.8700000000008</v>
      </c>
      <c r="AP152" s="231">
        <v>9716.44</v>
      </c>
      <c r="AQ152" s="228">
        <v>0</v>
      </c>
      <c r="AR152" s="230">
        <v>464925</v>
      </c>
      <c r="AS152" s="230">
        <v>685125</v>
      </c>
      <c r="AT152" s="230">
        <v>-220200</v>
      </c>
      <c r="AU152" s="229">
        <v>-0.32140000000000002</v>
      </c>
      <c r="AV152" s="230">
        <v>187425</v>
      </c>
      <c r="AW152" s="230">
        <v>334050</v>
      </c>
      <c r="AX152" s="230">
        <v>-146625</v>
      </c>
      <c r="AY152" s="229">
        <v>-0.43890000000000001</v>
      </c>
      <c r="AZ152" s="230">
        <v>274125</v>
      </c>
      <c r="BA152" s="230">
        <v>349500</v>
      </c>
      <c r="BB152" s="230">
        <v>-75375</v>
      </c>
      <c r="BC152" s="229">
        <v>-0.2157</v>
      </c>
      <c r="BD152" s="230">
        <v>3375</v>
      </c>
      <c r="BE152" s="230">
        <v>1575</v>
      </c>
      <c r="BF152" s="230">
        <v>1800</v>
      </c>
      <c r="BG152" s="229">
        <v>1.1429</v>
      </c>
      <c r="BH152" s="230">
        <v>1455900</v>
      </c>
      <c r="BI152" s="230">
        <v>1832775</v>
      </c>
      <c r="BJ152" s="230">
        <v>-376875</v>
      </c>
      <c r="BK152" s="229">
        <v>-0.2056</v>
      </c>
      <c r="BL152" s="230">
        <v>875850</v>
      </c>
      <c r="BM152" s="230">
        <v>1280175</v>
      </c>
      <c r="BN152" s="230">
        <v>-404325</v>
      </c>
      <c r="BO152" s="229">
        <v>-0.31580000000000003</v>
      </c>
      <c r="BP152" s="230">
        <v>2796675</v>
      </c>
      <c r="BQ152" s="230">
        <v>3798075</v>
      </c>
      <c r="BR152" s="230">
        <v>-1001400</v>
      </c>
      <c r="BS152" s="229">
        <v>-0.26369999999999999</v>
      </c>
      <c r="BT152" s="230">
        <v>266264</v>
      </c>
      <c r="BU152" s="230">
        <v>195688</v>
      </c>
      <c r="BV152" s="230">
        <v>70576</v>
      </c>
      <c r="BW152" s="229">
        <v>0.36070000000000002</v>
      </c>
      <c r="BX152" s="230">
        <v>1056725</v>
      </c>
      <c r="BY152" s="230">
        <v>1161900</v>
      </c>
      <c r="BZ152" s="230">
        <v>-105175</v>
      </c>
      <c r="CA152" s="229">
        <v>-9.0499999999999997E-2</v>
      </c>
      <c r="CB152" s="230">
        <v>70875</v>
      </c>
      <c r="CC152" s="230">
        <v>145575</v>
      </c>
      <c r="CD152" s="230">
        <v>-74700</v>
      </c>
      <c r="CE152" s="229">
        <v>-0.5131</v>
      </c>
      <c r="CF152" s="230">
        <v>1049025</v>
      </c>
      <c r="CG152" s="230">
        <v>1008825</v>
      </c>
      <c r="CH152" s="230">
        <v>40200</v>
      </c>
      <c r="CI152" s="229">
        <v>3.9800000000000002E-2</v>
      </c>
      <c r="CJ152" s="230">
        <v>7700</v>
      </c>
      <c r="CK152" s="230">
        <v>7500</v>
      </c>
      <c r="CL152" s="228">
        <v>200</v>
      </c>
      <c r="CM152" s="229">
        <v>2.6700000000000002E-2</v>
      </c>
      <c r="CN152" s="230">
        <v>259725</v>
      </c>
      <c r="CO152" s="230">
        <v>750750</v>
      </c>
      <c r="CP152" s="230">
        <v>-491025</v>
      </c>
      <c r="CQ152" s="229">
        <v>-0.65400000000000003</v>
      </c>
      <c r="CR152" s="230">
        <v>188725</v>
      </c>
      <c r="CS152" s="230">
        <v>647800</v>
      </c>
      <c r="CT152" s="230">
        <v>-459075</v>
      </c>
      <c r="CU152" s="229">
        <v>-0.7087</v>
      </c>
      <c r="CV152" s="230">
        <v>1505175</v>
      </c>
      <c r="CW152" s="230">
        <v>2560450</v>
      </c>
      <c r="CX152" s="230">
        <v>-1055275</v>
      </c>
      <c r="CY152" s="229">
        <v>-0.41210000000000002</v>
      </c>
      <c r="CZ152" s="228">
        <v>33.33</v>
      </c>
      <c r="DA152" s="228">
        <v>31.99</v>
      </c>
      <c r="DB152" s="228">
        <v>1.34</v>
      </c>
      <c r="DC152" s="228">
        <v>1.34</v>
      </c>
      <c r="DD152" s="228">
        <v>40.82</v>
      </c>
      <c r="DE152" s="228">
        <v>40.840000000000003</v>
      </c>
      <c r="DF152" s="228">
        <v>-7.49</v>
      </c>
      <c r="DG152" s="228">
        <v>-0.02</v>
      </c>
      <c r="DH152" s="228">
        <v>33.369999999999997</v>
      </c>
      <c r="DI152" s="228">
        <v>32.42</v>
      </c>
      <c r="DJ152" s="228">
        <v>0.95</v>
      </c>
      <c r="DK152" s="228">
        <v>0.95</v>
      </c>
      <c r="DL152" s="228">
        <v>33.200000000000003</v>
      </c>
      <c r="DM152" s="228">
        <v>30.8</v>
      </c>
      <c r="DN152" s="228">
        <v>2.4</v>
      </c>
      <c r="DO152" s="228">
        <v>2.4</v>
      </c>
      <c r="DP152" s="228">
        <v>0.73</v>
      </c>
      <c r="DQ152" s="228">
        <v>0.86</v>
      </c>
      <c r="DR152" s="228">
        <v>-0.13</v>
      </c>
      <c r="DS152" s="229">
        <v>-0.1512</v>
      </c>
      <c r="DT152" s="231">
        <v>10000</v>
      </c>
      <c r="DU152" s="231">
        <v>9000</v>
      </c>
      <c r="DV152" s="228">
        <v>0.6</v>
      </c>
      <c r="DW152" s="228">
        <v>0.7</v>
      </c>
      <c r="DX152" s="228">
        <v>-0.1</v>
      </c>
      <c r="DY152" s="229">
        <v>-0.1429</v>
      </c>
      <c r="DZ152" s="229">
        <v>0.93710000000000004</v>
      </c>
      <c r="EA152" s="230">
        <v>1016325</v>
      </c>
      <c r="EB152" s="229">
        <v>-1.04E-2</v>
      </c>
      <c r="EC152" s="229">
        <v>0.93710000000000004</v>
      </c>
      <c r="ED152" s="228">
        <v>-82.43</v>
      </c>
      <c r="EE152" s="229">
        <v>-8.3999999999999995E-3</v>
      </c>
      <c r="EF152" s="230">
        <v>101572</v>
      </c>
      <c r="EG152" s="230">
        <v>64693</v>
      </c>
      <c r="EH152" s="229">
        <v>0.57010000000000005</v>
      </c>
      <c r="EI152" s="229">
        <v>0.38150000000000001</v>
      </c>
      <c r="EJ152" s="231">
        <v>147336.9</v>
      </c>
      <c r="EK152" s="231">
        <v>81650.649999999994</v>
      </c>
      <c r="EL152" s="231">
        <v>45436.43</v>
      </c>
      <c r="EM152" s="231">
        <v>9870</v>
      </c>
      <c r="EN152" s="231">
        <v>274423.98</v>
      </c>
      <c r="EO152" s="231">
        <v>366702.59</v>
      </c>
      <c r="EP152" s="231">
        <v>-92278.61</v>
      </c>
      <c r="EQ152" s="229">
        <v>-0.25159999999999999</v>
      </c>
      <c r="ER152" s="231">
        <v>26095</v>
      </c>
      <c r="ES152" s="231">
        <v>17626</v>
      </c>
      <c r="ET152" s="231">
        <v>103376</v>
      </c>
      <c r="EU152" s="231">
        <v>3594855</v>
      </c>
      <c r="EV152" s="231">
        <v>147097</v>
      </c>
      <c r="EW152" s="231">
        <v>242546</v>
      </c>
      <c r="EX152" s="231">
        <v>-95449</v>
      </c>
      <c r="EY152" s="229">
        <v>-0.39350000000000002</v>
      </c>
      <c r="EZ152" s="229">
        <v>0.41870000000000002</v>
      </c>
      <c r="FA152" s="227" t="s">
        <v>691</v>
      </c>
      <c r="FB152" s="161">
        <f t="shared" si="3"/>
        <v>0</v>
      </c>
    </row>
    <row r="153" spans="1:158" ht="17.25" thickBot="1" x14ac:dyDescent="0.3">
      <c r="A153" s="226">
        <v>46168</v>
      </c>
      <c r="B153" s="227" t="s">
        <v>193</v>
      </c>
      <c r="C153" s="227" t="s">
        <v>586</v>
      </c>
      <c r="D153" s="228">
        <v>1400</v>
      </c>
      <c r="E153" s="228">
        <v>496.35</v>
      </c>
      <c r="F153" s="228">
        <v>486.8</v>
      </c>
      <c r="G153" s="228">
        <v>9.5500000000000007</v>
      </c>
      <c r="H153" s="229">
        <v>1.9599999999999999E-2</v>
      </c>
      <c r="I153" s="228">
        <v>492.1</v>
      </c>
      <c r="J153" s="228">
        <v>482.55</v>
      </c>
      <c r="K153" s="228">
        <v>9.5500000000000007</v>
      </c>
      <c r="L153" s="229">
        <v>1.9800000000000002E-2</v>
      </c>
      <c r="M153" s="228">
        <v>492.85</v>
      </c>
      <c r="N153" s="228">
        <v>483.45</v>
      </c>
      <c r="O153" s="228">
        <v>9.4</v>
      </c>
      <c r="P153" s="229">
        <v>1.9400000000000001E-2</v>
      </c>
      <c r="Q153" s="228">
        <v>496.35</v>
      </c>
      <c r="R153" s="228">
        <v>486.8</v>
      </c>
      <c r="S153" s="228">
        <v>9.5500000000000007</v>
      </c>
      <c r="T153" s="229">
        <v>1.9599999999999999E-2</v>
      </c>
      <c r="U153" s="228">
        <v>498.65</v>
      </c>
      <c r="V153" s="228">
        <v>489.05</v>
      </c>
      <c r="W153" s="228">
        <v>9.6</v>
      </c>
      <c r="X153" s="229">
        <v>1.9599999999999999E-2</v>
      </c>
      <c r="Y153" s="228">
        <v>4.25</v>
      </c>
      <c r="Z153" s="228">
        <v>0.9</v>
      </c>
      <c r="AA153" s="228">
        <v>3.35</v>
      </c>
      <c r="AB153" s="229">
        <v>8.6E-3</v>
      </c>
      <c r="AC153" s="228">
        <v>0.75</v>
      </c>
      <c r="AD153" s="228">
        <v>0.9</v>
      </c>
      <c r="AE153" s="228">
        <v>-0.15</v>
      </c>
      <c r="AF153" s="229">
        <v>1.5E-3</v>
      </c>
      <c r="AG153" s="228">
        <v>4.25</v>
      </c>
      <c r="AH153" s="228">
        <v>4.25</v>
      </c>
      <c r="AI153" s="228">
        <v>0</v>
      </c>
      <c r="AJ153" s="229">
        <v>8.6E-3</v>
      </c>
      <c r="AK153" s="228">
        <v>6.55</v>
      </c>
      <c r="AL153" s="228">
        <v>6.5</v>
      </c>
      <c r="AM153" s="228">
        <v>0.05</v>
      </c>
      <c r="AN153" s="229">
        <v>1.3299999999999999E-2</v>
      </c>
      <c r="AO153" s="228">
        <v>492.75</v>
      </c>
      <c r="AP153" s="228">
        <v>496.45</v>
      </c>
      <c r="AQ153" s="228">
        <v>0</v>
      </c>
      <c r="AR153" s="230">
        <v>7019600</v>
      </c>
      <c r="AS153" s="230">
        <v>10617600</v>
      </c>
      <c r="AT153" s="230">
        <v>-3598000</v>
      </c>
      <c r="AU153" s="229">
        <v>-0.33889999999999998</v>
      </c>
      <c r="AV153" s="230">
        <v>3022600</v>
      </c>
      <c r="AW153" s="230">
        <v>4995200</v>
      </c>
      <c r="AX153" s="230">
        <v>-1972600</v>
      </c>
      <c r="AY153" s="229">
        <v>-0.39489999999999997</v>
      </c>
      <c r="AZ153" s="230">
        <v>3953600</v>
      </c>
      <c r="BA153" s="230">
        <v>5574800</v>
      </c>
      <c r="BB153" s="230">
        <v>-1621200</v>
      </c>
      <c r="BC153" s="229">
        <v>-0.2908</v>
      </c>
      <c r="BD153" s="230">
        <v>43400</v>
      </c>
      <c r="BE153" s="230">
        <v>47600</v>
      </c>
      <c r="BF153" s="230">
        <v>-4200</v>
      </c>
      <c r="BG153" s="229">
        <v>-8.8200000000000001E-2</v>
      </c>
      <c r="BH153" s="230">
        <v>10728200</v>
      </c>
      <c r="BI153" s="230">
        <v>11299400</v>
      </c>
      <c r="BJ153" s="230">
        <v>-571200</v>
      </c>
      <c r="BK153" s="229">
        <v>-5.0599999999999999E-2</v>
      </c>
      <c r="BL153" s="230">
        <v>5517400</v>
      </c>
      <c r="BM153" s="230">
        <v>11067000</v>
      </c>
      <c r="BN153" s="230">
        <v>-5549600</v>
      </c>
      <c r="BO153" s="229">
        <v>-0.50149999999999995</v>
      </c>
      <c r="BP153" s="230">
        <v>23265200</v>
      </c>
      <c r="BQ153" s="230">
        <v>32984000</v>
      </c>
      <c r="BR153" s="230">
        <v>-9718800</v>
      </c>
      <c r="BS153" s="229">
        <v>-0.29470000000000002</v>
      </c>
      <c r="BT153" s="230">
        <v>3171316</v>
      </c>
      <c r="BU153" s="230">
        <v>4197648</v>
      </c>
      <c r="BV153" s="230">
        <v>-1026332</v>
      </c>
      <c r="BW153" s="229">
        <v>-0.2445</v>
      </c>
      <c r="BX153" s="230">
        <v>15373400</v>
      </c>
      <c r="BY153" s="230">
        <v>17316600</v>
      </c>
      <c r="BZ153" s="230">
        <v>-1943200</v>
      </c>
      <c r="CA153" s="229">
        <v>-0.11219999999999999</v>
      </c>
      <c r="CB153" s="230">
        <v>2039800</v>
      </c>
      <c r="CC153" s="230">
        <v>3820600</v>
      </c>
      <c r="CD153" s="230">
        <v>-1780800</v>
      </c>
      <c r="CE153" s="229">
        <v>-0.46610000000000001</v>
      </c>
      <c r="CF153" s="230">
        <v>15258600</v>
      </c>
      <c r="CG153" s="230">
        <v>13379800</v>
      </c>
      <c r="CH153" s="230">
        <v>1878800</v>
      </c>
      <c r="CI153" s="229">
        <v>0.1404</v>
      </c>
      <c r="CJ153" s="230">
        <v>114800</v>
      </c>
      <c r="CK153" s="230">
        <v>116200</v>
      </c>
      <c r="CL153" s="230">
        <v>-1400</v>
      </c>
      <c r="CM153" s="229">
        <v>-1.2E-2</v>
      </c>
      <c r="CN153" s="230">
        <v>2123800</v>
      </c>
      <c r="CO153" s="230">
        <v>9263800</v>
      </c>
      <c r="CP153" s="230">
        <v>-7140000</v>
      </c>
      <c r="CQ153" s="229">
        <v>-0.77070000000000005</v>
      </c>
      <c r="CR153" s="230">
        <v>1442000</v>
      </c>
      <c r="CS153" s="230">
        <v>6286000</v>
      </c>
      <c r="CT153" s="230">
        <v>-4844000</v>
      </c>
      <c r="CU153" s="229">
        <v>-0.77059999999999995</v>
      </c>
      <c r="CV153" s="230">
        <v>18939200</v>
      </c>
      <c r="CW153" s="230">
        <v>32866400</v>
      </c>
      <c r="CX153" s="230">
        <v>-13927200</v>
      </c>
      <c r="CY153" s="229">
        <v>-0.42380000000000001</v>
      </c>
      <c r="CZ153" s="228">
        <v>29.7</v>
      </c>
      <c r="DA153" s="228">
        <v>32.020000000000003</v>
      </c>
      <c r="DB153" s="228">
        <v>-2.3199999999999998</v>
      </c>
      <c r="DC153" s="228">
        <v>-2.3199999999999998</v>
      </c>
      <c r="DD153" s="228">
        <v>42.39</v>
      </c>
      <c r="DE153" s="228">
        <v>42.41</v>
      </c>
      <c r="DF153" s="228">
        <v>-12.69</v>
      </c>
      <c r="DG153" s="228">
        <v>-0.02</v>
      </c>
      <c r="DH153" s="228">
        <v>29.88</v>
      </c>
      <c r="DI153" s="228">
        <v>32.1</v>
      </c>
      <c r="DJ153" s="228">
        <v>-2.2200000000000002</v>
      </c>
      <c r="DK153" s="228">
        <v>-2.2200000000000002</v>
      </c>
      <c r="DL153" s="228">
        <v>29.33</v>
      </c>
      <c r="DM153" s="228">
        <v>31.91</v>
      </c>
      <c r="DN153" s="228">
        <v>-2.58</v>
      </c>
      <c r="DO153" s="228">
        <v>-2.58</v>
      </c>
      <c r="DP153" s="228">
        <v>0.68</v>
      </c>
      <c r="DQ153" s="228">
        <v>0.68</v>
      </c>
      <c r="DR153" s="228">
        <v>0</v>
      </c>
      <c r="DS153" s="229">
        <v>0</v>
      </c>
      <c r="DT153" s="228">
        <v>530</v>
      </c>
      <c r="DU153" s="228">
        <v>480</v>
      </c>
      <c r="DV153" s="228">
        <v>0.51</v>
      </c>
      <c r="DW153" s="228">
        <v>0.98</v>
      </c>
      <c r="DX153" s="228">
        <v>-0.47</v>
      </c>
      <c r="DY153" s="229">
        <v>-0.47960000000000003</v>
      </c>
      <c r="DZ153" s="229">
        <v>0.88290000000000002</v>
      </c>
      <c r="EA153" s="230">
        <v>13496000</v>
      </c>
      <c r="EB153" s="229">
        <v>7.1000000000000004E-3</v>
      </c>
      <c r="EC153" s="229">
        <v>0.88290000000000002</v>
      </c>
      <c r="ED153" s="228">
        <v>3.7</v>
      </c>
      <c r="EE153" s="229">
        <v>7.4999999999999997E-3</v>
      </c>
      <c r="EF153" s="230">
        <v>1259240</v>
      </c>
      <c r="EG153" s="230">
        <v>2028247</v>
      </c>
      <c r="EH153" s="229">
        <v>-0.37909999999999999</v>
      </c>
      <c r="EI153" s="229">
        <v>0.39710000000000001</v>
      </c>
      <c r="EJ153" s="231">
        <v>54880.480000000003</v>
      </c>
      <c r="EK153" s="231">
        <v>26661.72</v>
      </c>
      <c r="EL153" s="231">
        <v>34737.599999999999</v>
      </c>
      <c r="EM153" s="231">
        <v>6198</v>
      </c>
      <c r="EN153" s="231">
        <v>116279.8</v>
      </c>
      <c r="EO153" s="231">
        <v>163679.32999999999</v>
      </c>
      <c r="EP153" s="231">
        <v>-47399.53</v>
      </c>
      <c r="EQ153" s="229">
        <v>-0.28960000000000002</v>
      </c>
      <c r="ER153" s="231">
        <v>11131</v>
      </c>
      <c r="ES153" s="231">
        <v>6797</v>
      </c>
      <c r="ET153" s="231">
        <v>76309</v>
      </c>
      <c r="EU153" s="231">
        <v>105756420</v>
      </c>
      <c r="EV153" s="231">
        <v>94237</v>
      </c>
      <c r="EW153" s="231">
        <v>161831</v>
      </c>
      <c r="EX153" s="231">
        <v>-67594</v>
      </c>
      <c r="EY153" s="229">
        <v>-0.41770000000000002</v>
      </c>
      <c r="EZ153" s="229">
        <v>0.17910000000000001</v>
      </c>
      <c r="FA153" s="227" t="s">
        <v>691</v>
      </c>
      <c r="FB153" s="161">
        <f>BX228-CB228</f>
        <v>0</v>
      </c>
    </row>
    <row r="154" spans="1:158" ht="17.25" thickBot="1" x14ac:dyDescent="0.3">
      <c r="A154" s="226">
        <v>46168</v>
      </c>
      <c r="B154" s="227" t="s">
        <v>193</v>
      </c>
      <c r="C154" s="227" t="s">
        <v>269</v>
      </c>
      <c r="D154" s="228">
        <v>2250</v>
      </c>
      <c r="E154" s="228">
        <v>289.85000000000002</v>
      </c>
      <c r="F154" s="228">
        <v>287.2</v>
      </c>
      <c r="G154" s="228">
        <v>2.65</v>
      </c>
      <c r="H154" s="229">
        <v>9.1999999999999998E-3</v>
      </c>
      <c r="I154" s="228">
        <v>287.5</v>
      </c>
      <c r="J154" s="228">
        <v>284.95</v>
      </c>
      <c r="K154" s="228">
        <v>2.5499999999999998</v>
      </c>
      <c r="L154" s="229">
        <v>8.8999999999999999E-3</v>
      </c>
      <c r="M154" s="228">
        <v>288.39999999999998</v>
      </c>
      <c r="N154" s="228">
        <v>285.25</v>
      </c>
      <c r="O154" s="228">
        <v>3.15</v>
      </c>
      <c r="P154" s="229">
        <v>1.0999999999999999E-2</v>
      </c>
      <c r="Q154" s="228">
        <v>289.85000000000002</v>
      </c>
      <c r="R154" s="228">
        <v>287.2</v>
      </c>
      <c r="S154" s="228">
        <v>2.65</v>
      </c>
      <c r="T154" s="229">
        <v>9.1999999999999998E-3</v>
      </c>
      <c r="U154" s="228">
        <v>291.7</v>
      </c>
      <c r="V154" s="228">
        <v>288.85000000000002</v>
      </c>
      <c r="W154" s="228">
        <v>2.85</v>
      </c>
      <c r="X154" s="229">
        <v>9.9000000000000008E-3</v>
      </c>
      <c r="Y154" s="228">
        <v>2.35</v>
      </c>
      <c r="Z154" s="228">
        <v>0.3</v>
      </c>
      <c r="AA154" s="228">
        <v>2.0499999999999998</v>
      </c>
      <c r="AB154" s="229">
        <v>8.2000000000000007E-3</v>
      </c>
      <c r="AC154" s="228">
        <v>0.9</v>
      </c>
      <c r="AD154" s="228">
        <v>0.3</v>
      </c>
      <c r="AE154" s="228">
        <v>0.6</v>
      </c>
      <c r="AF154" s="229">
        <v>3.0999999999999999E-3</v>
      </c>
      <c r="AG154" s="228">
        <v>2.35</v>
      </c>
      <c r="AH154" s="228">
        <v>2.25</v>
      </c>
      <c r="AI154" s="228">
        <v>0.1</v>
      </c>
      <c r="AJ154" s="229">
        <v>8.2000000000000007E-3</v>
      </c>
      <c r="AK154" s="228">
        <v>4.2</v>
      </c>
      <c r="AL154" s="228">
        <v>3.9</v>
      </c>
      <c r="AM154" s="228">
        <v>0.3</v>
      </c>
      <c r="AN154" s="229">
        <v>1.46E-2</v>
      </c>
      <c r="AO154" s="228">
        <v>287.7</v>
      </c>
      <c r="AP154" s="228">
        <v>289.58999999999997</v>
      </c>
      <c r="AQ154" s="228">
        <v>0</v>
      </c>
      <c r="AR154" s="230">
        <v>26271000</v>
      </c>
      <c r="AS154" s="230">
        <v>50802750</v>
      </c>
      <c r="AT154" s="230">
        <v>-24531750</v>
      </c>
      <c r="AU154" s="229">
        <v>-0.4829</v>
      </c>
      <c r="AV154" s="230">
        <v>10597500</v>
      </c>
      <c r="AW154" s="230">
        <v>23487750</v>
      </c>
      <c r="AX154" s="230">
        <v>-12890250</v>
      </c>
      <c r="AY154" s="229">
        <v>-0.54879999999999995</v>
      </c>
      <c r="AZ154" s="230">
        <v>15522750</v>
      </c>
      <c r="BA154" s="230">
        <v>27006750</v>
      </c>
      <c r="BB154" s="230">
        <v>-11484000</v>
      </c>
      <c r="BC154" s="229">
        <v>-0.42520000000000002</v>
      </c>
      <c r="BD154" s="230">
        <v>150750</v>
      </c>
      <c r="BE154" s="230">
        <v>308250</v>
      </c>
      <c r="BF154" s="230">
        <v>-157500</v>
      </c>
      <c r="BG154" s="229">
        <v>-0.51090000000000002</v>
      </c>
      <c r="BH154" s="230">
        <v>65605500</v>
      </c>
      <c r="BI154" s="230">
        <v>66744000</v>
      </c>
      <c r="BJ154" s="230">
        <v>-1138500</v>
      </c>
      <c r="BK154" s="229">
        <v>-1.7100000000000001E-2</v>
      </c>
      <c r="BL154" s="230">
        <v>33990750</v>
      </c>
      <c r="BM154" s="230">
        <v>47983500</v>
      </c>
      <c r="BN154" s="230">
        <v>-13992750</v>
      </c>
      <c r="BO154" s="229">
        <v>-0.29160000000000003</v>
      </c>
      <c r="BP154" s="230">
        <v>125867250</v>
      </c>
      <c r="BQ154" s="230">
        <v>165530250</v>
      </c>
      <c r="BR154" s="230">
        <v>-39663000</v>
      </c>
      <c r="BS154" s="229">
        <v>-0.23960000000000001</v>
      </c>
      <c r="BT154" s="230">
        <v>11156866</v>
      </c>
      <c r="BU154" s="230">
        <v>13607767</v>
      </c>
      <c r="BV154" s="230">
        <v>-2450901</v>
      </c>
      <c r="BW154" s="229">
        <v>-0.18010000000000001</v>
      </c>
      <c r="BX154" s="230">
        <v>94416750</v>
      </c>
      <c r="BY154" s="230">
        <v>100350000</v>
      </c>
      <c r="BZ154" s="230">
        <v>-5933250</v>
      </c>
      <c r="CA154" s="229">
        <v>-5.91E-2</v>
      </c>
      <c r="CB154" s="230">
        <v>7708500</v>
      </c>
      <c r="CC154" s="230">
        <v>12645000</v>
      </c>
      <c r="CD154" s="230">
        <v>-4936500</v>
      </c>
      <c r="CE154" s="229">
        <v>-0.39040000000000002</v>
      </c>
      <c r="CF154" s="230">
        <v>88758000</v>
      </c>
      <c r="CG154" s="230">
        <v>82113750</v>
      </c>
      <c r="CH154" s="230">
        <v>6644250</v>
      </c>
      <c r="CI154" s="229">
        <v>8.09E-2</v>
      </c>
      <c r="CJ154" s="230">
        <v>5658750</v>
      </c>
      <c r="CK154" s="230">
        <v>5591250</v>
      </c>
      <c r="CL154" s="230">
        <v>67500</v>
      </c>
      <c r="CM154" s="229">
        <v>1.21E-2</v>
      </c>
      <c r="CN154" s="230">
        <v>21033000</v>
      </c>
      <c r="CO154" s="230">
        <v>78738750</v>
      </c>
      <c r="CP154" s="230">
        <v>-57705750</v>
      </c>
      <c r="CQ154" s="229">
        <v>-0.7329</v>
      </c>
      <c r="CR154" s="230">
        <v>13047750</v>
      </c>
      <c r="CS154" s="230">
        <v>25575750</v>
      </c>
      <c r="CT154" s="230">
        <v>-12528000</v>
      </c>
      <c r="CU154" s="229">
        <v>-0.48980000000000001</v>
      </c>
      <c r="CV154" s="230">
        <v>128497500</v>
      </c>
      <c r="CW154" s="230">
        <v>204664500</v>
      </c>
      <c r="CX154" s="230">
        <v>-76167000</v>
      </c>
      <c r="CY154" s="229">
        <v>-0.37219999999999998</v>
      </c>
      <c r="CZ154" s="228">
        <v>25.8</v>
      </c>
      <c r="DA154" s="228">
        <v>26.54</v>
      </c>
      <c r="DB154" s="228">
        <v>-0.74</v>
      </c>
      <c r="DC154" s="228">
        <v>-0.74</v>
      </c>
      <c r="DD154" s="228">
        <v>32.06</v>
      </c>
      <c r="DE154" s="228">
        <v>32.119999999999997</v>
      </c>
      <c r="DF154" s="228">
        <v>-6.26</v>
      </c>
      <c r="DG154" s="228">
        <v>-0.06</v>
      </c>
      <c r="DH154" s="228">
        <v>25.81</v>
      </c>
      <c r="DI154" s="228">
        <v>27.01</v>
      </c>
      <c r="DJ154" s="228">
        <v>-1.2</v>
      </c>
      <c r="DK154" s="228">
        <v>-1.2</v>
      </c>
      <c r="DL154" s="228">
        <v>25.78</v>
      </c>
      <c r="DM154" s="228">
        <v>25.72</v>
      </c>
      <c r="DN154" s="228">
        <v>0.06</v>
      </c>
      <c r="DO154" s="228">
        <v>0.06</v>
      </c>
      <c r="DP154" s="228">
        <v>0.62</v>
      </c>
      <c r="DQ154" s="228">
        <v>0.32</v>
      </c>
      <c r="DR154" s="228">
        <v>0.3</v>
      </c>
      <c r="DS154" s="229">
        <v>0.9375</v>
      </c>
      <c r="DT154" s="228">
        <v>305</v>
      </c>
      <c r="DU154" s="228">
        <v>280</v>
      </c>
      <c r="DV154" s="228">
        <v>0.52</v>
      </c>
      <c r="DW154" s="228">
        <v>0.72</v>
      </c>
      <c r="DX154" s="228">
        <v>-0.2</v>
      </c>
      <c r="DY154" s="229">
        <v>-0.27779999999999999</v>
      </c>
      <c r="DZ154" s="229">
        <v>0.92449999999999999</v>
      </c>
      <c r="EA154" s="230">
        <v>87705000</v>
      </c>
      <c r="EB154" s="229">
        <v>5.0000000000000001E-3</v>
      </c>
      <c r="EC154" s="229">
        <v>0.92449999999999999</v>
      </c>
      <c r="ED154" s="228">
        <v>1.89</v>
      </c>
      <c r="EE154" s="229">
        <v>6.6E-3</v>
      </c>
      <c r="EF154" s="230">
        <v>4915104</v>
      </c>
      <c r="EG154" s="230">
        <v>5685536</v>
      </c>
      <c r="EH154" s="229">
        <v>-0.13550000000000001</v>
      </c>
      <c r="EI154" s="229">
        <v>0.4405</v>
      </c>
      <c r="EJ154" s="231">
        <v>198606.02</v>
      </c>
      <c r="EK154" s="231">
        <v>97149.45</v>
      </c>
      <c r="EL154" s="231">
        <v>75880.92</v>
      </c>
      <c r="EM154" s="231">
        <v>16714</v>
      </c>
      <c r="EN154" s="231">
        <v>371636.39</v>
      </c>
      <c r="EO154" s="231">
        <v>482004.73</v>
      </c>
      <c r="EP154" s="231">
        <v>-110368.34</v>
      </c>
      <c r="EQ154" s="229">
        <v>-0.22900000000000001</v>
      </c>
      <c r="ER154" s="231">
        <v>63906</v>
      </c>
      <c r="ES154" s="231">
        <v>36696</v>
      </c>
      <c r="ET154" s="231">
        <v>273772</v>
      </c>
      <c r="EU154" s="231">
        <v>711370982</v>
      </c>
      <c r="EV154" s="231">
        <v>374374</v>
      </c>
      <c r="EW154" s="231">
        <v>600862</v>
      </c>
      <c r="EX154" s="231">
        <v>-226488</v>
      </c>
      <c r="EY154" s="229">
        <v>-0.37690000000000001</v>
      </c>
      <c r="EZ154" s="229">
        <v>0.18060000000000001</v>
      </c>
      <c r="FA154" s="227" t="s">
        <v>691</v>
      </c>
      <c r="FB154" s="161">
        <f t="shared" si="3"/>
        <v>0</v>
      </c>
    </row>
    <row r="155" spans="1:158" ht="17.25" thickBot="1" x14ac:dyDescent="0.3">
      <c r="A155" s="226">
        <v>46168</v>
      </c>
      <c r="B155" s="227" t="s">
        <v>197</v>
      </c>
      <c r="C155" s="227" t="s">
        <v>270</v>
      </c>
      <c r="D155" s="228">
        <v>15</v>
      </c>
      <c r="E155" s="231">
        <v>38375</v>
      </c>
      <c r="F155" s="231">
        <v>38560</v>
      </c>
      <c r="G155" s="228">
        <v>-185</v>
      </c>
      <c r="H155" s="229">
        <v>-4.7999999999999996E-3</v>
      </c>
      <c r="I155" s="231">
        <v>38305</v>
      </c>
      <c r="J155" s="231">
        <v>38545</v>
      </c>
      <c r="K155" s="228">
        <v>-240</v>
      </c>
      <c r="L155" s="229">
        <v>-6.1999999999999998E-3</v>
      </c>
      <c r="M155" s="231">
        <v>38315</v>
      </c>
      <c r="N155" s="231">
        <v>38545</v>
      </c>
      <c r="O155" s="228">
        <v>-230</v>
      </c>
      <c r="P155" s="229">
        <v>-6.0000000000000001E-3</v>
      </c>
      <c r="Q155" s="231">
        <v>38375</v>
      </c>
      <c r="R155" s="231">
        <v>38560</v>
      </c>
      <c r="S155" s="228">
        <v>-185</v>
      </c>
      <c r="T155" s="229">
        <v>-4.7999999999999996E-3</v>
      </c>
      <c r="U155" s="231">
        <v>38200</v>
      </c>
      <c r="V155" s="231">
        <v>38650</v>
      </c>
      <c r="W155" s="228">
        <v>-450</v>
      </c>
      <c r="X155" s="229">
        <v>-1.1599999999999999E-2</v>
      </c>
      <c r="Y155" s="228">
        <v>70</v>
      </c>
      <c r="Z155" s="228">
        <v>0</v>
      </c>
      <c r="AA155" s="228">
        <v>70</v>
      </c>
      <c r="AB155" s="229">
        <v>1.8E-3</v>
      </c>
      <c r="AC155" s="228">
        <v>10</v>
      </c>
      <c r="AD155" s="228">
        <v>0</v>
      </c>
      <c r="AE155" s="228">
        <v>10</v>
      </c>
      <c r="AF155" s="229">
        <v>2.9999999999999997E-4</v>
      </c>
      <c r="AG155" s="228">
        <v>70</v>
      </c>
      <c r="AH155" s="228">
        <v>15</v>
      </c>
      <c r="AI155" s="228">
        <v>55</v>
      </c>
      <c r="AJ155" s="229">
        <v>1.8E-3</v>
      </c>
      <c r="AK155" s="228">
        <v>-105</v>
      </c>
      <c r="AL155" s="228">
        <v>105</v>
      </c>
      <c r="AM155" s="228">
        <v>-210</v>
      </c>
      <c r="AN155" s="229">
        <v>-2.7000000000000001E-3</v>
      </c>
      <c r="AO155" s="231">
        <v>38325.74</v>
      </c>
      <c r="AP155" s="231">
        <v>38400.07</v>
      </c>
      <c r="AQ155" s="228">
        <v>0</v>
      </c>
      <c r="AR155" s="230">
        <v>53745</v>
      </c>
      <c r="AS155" s="230">
        <v>215850</v>
      </c>
      <c r="AT155" s="230">
        <v>-162105</v>
      </c>
      <c r="AU155" s="229">
        <v>-0.751</v>
      </c>
      <c r="AV155" s="230">
        <v>26070</v>
      </c>
      <c r="AW155" s="230">
        <v>101250</v>
      </c>
      <c r="AX155" s="230">
        <v>-75180</v>
      </c>
      <c r="AY155" s="229">
        <v>-0.74250000000000005</v>
      </c>
      <c r="AZ155" s="230">
        <v>27390</v>
      </c>
      <c r="BA155" s="230">
        <v>114150</v>
      </c>
      <c r="BB155" s="230">
        <v>-86760</v>
      </c>
      <c r="BC155" s="229">
        <v>-0.7601</v>
      </c>
      <c r="BD155" s="228">
        <v>285</v>
      </c>
      <c r="BE155" s="228">
        <v>450</v>
      </c>
      <c r="BF155" s="228">
        <v>-165</v>
      </c>
      <c r="BG155" s="229">
        <v>-0.36670000000000003</v>
      </c>
      <c r="BH155" s="230">
        <v>179895</v>
      </c>
      <c r="BI155" s="230">
        <v>596235</v>
      </c>
      <c r="BJ155" s="230">
        <v>-416340</v>
      </c>
      <c r="BK155" s="229">
        <v>-0.69830000000000003</v>
      </c>
      <c r="BL155" s="230">
        <v>84360</v>
      </c>
      <c r="BM155" s="230">
        <v>468045</v>
      </c>
      <c r="BN155" s="230">
        <v>-383685</v>
      </c>
      <c r="BO155" s="229">
        <v>-0.81979999999999997</v>
      </c>
      <c r="BP155" s="230">
        <v>318000</v>
      </c>
      <c r="BQ155" s="230">
        <v>1280130</v>
      </c>
      <c r="BR155" s="230">
        <v>-962130</v>
      </c>
      <c r="BS155" s="229">
        <v>-0.75160000000000005</v>
      </c>
      <c r="BT155" s="230">
        <v>13516</v>
      </c>
      <c r="BU155" s="230">
        <v>34022</v>
      </c>
      <c r="BV155" s="230">
        <v>-20506</v>
      </c>
      <c r="BW155" s="229">
        <v>-0.60270000000000001</v>
      </c>
      <c r="BX155" s="230">
        <v>278895</v>
      </c>
      <c r="BY155" s="230">
        <v>298180</v>
      </c>
      <c r="BZ155" s="230">
        <v>-19285</v>
      </c>
      <c r="CA155" s="229">
        <v>-6.4699999999999994E-2</v>
      </c>
      <c r="CB155" s="230">
        <v>18045</v>
      </c>
      <c r="CC155" s="230">
        <v>26820</v>
      </c>
      <c r="CD155" s="230">
        <v>-8775</v>
      </c>
      <c r="CE155" s="229">
        <v>-0.32719999999999999</v>
      </c>
      <c r="CF155" s="230">
        <v>277275</v>
      </c>
      <c r="CG155" s="230">
        <v>269940</v>
      </c>
      <c r="CH155" s="230">
        <v>7335</v>
      </c>
      <c r="CI155" s="229">
        <v>2.7199999999999998E-2</v>
      </c>
      <c r="CJ155" s="230">
        <v>1620</v>
      </c>
      <c r="CK155" s="230">
        <v>1420</v>
      </c>
      <c r="CL155" s="228">
        <v>200</v>
      </c>
      <c r="CM155" s="229">
        <v>0.14080000000000001</v>
      </c>
      <c r="CN155" s="230">
        <v>44835</v>
      </c>
      <c r="CO155" s="230">
        <v>154020</v>
      </c>
      <c r="CP155" s="230">
        <v>-109185</v>
      </c>
      <c r="CQ155" s="229">
        <v>-0.70889999999999997</v>
      </c>
      <c r="CR155" s="230">
        <v>17250</v>
      </c>
      <c r="CS155" s="230">
        <v>64575</v>
      </c>
      <c r="CT155" s="230">
        <v>-47325</v>
      </c>
      <c r="CU155" s="229">
        <v>-0.7329</v>
      </c>
      <c r="CV155" s="230">
        <v>340980</v>
      </c>
      <c r="CW155" s="230">
        <v>516775</v>
      </c>
      <c r="CX155" s="230">
        <v>-175795</v>
      </c>
      <c r="CY155" s="229">
        <v>-0.3402</v>
      </c>
      <c r="CZ155" s="228">
        <v>28.17</v>
      </c>
      <c r="DA155" s="228">
        <v>28.98</v>
      </c>
      <c r="DB155" s="228">
        <v>-0.81</v>
      </c>
      <c r="DC155" s="228">
        <v>-0.81</v>
      </c>
      <c r="DD155" s="228">
        <v>29.16</v>
      </c>
      <c r="DE155" s="228">
        <v>29.23</v>
      </c>
      <c r="DF155" s="228">
        <v>-0.99</v>
      </c>
      <c r="DG155" s="228">
        <v>-7.0000000000000007E-2</v>
      </c>
      <c r="DH155" s="228">
        <v>28.03</v>
      </c>
      <c r="DI155" s="228">
        <v>28.86</v>
      </c>
      <c r="DJ155" s="228">
        <v>-0.83</v>
      </c>
      <c r="DK155" s="228">
        <v>-0.83</v>
      </c>
      <c r="DL155" s="228">
        <v>28.42</v>
      </c>
      <c r="DM155" s="228">
        <v>29.33</v>
      </c>
      <c r="DN155" s="228">
        <v>-0.91</v>
      </c>
      <c r="DO155" s="228">
        <v>-0.91</v>
      </c>
      <c r="DP155" s="228">
        <v>0.38</v>
      </c>
      <c r="DQ155" s="228">
        <v>0.42</v>
      </c>
      <c r="DR155" s="228">
        <v>-0.04</v>
      </c>
      <c r="DS155" s="229">
        <v>-9.5200000000000007E-2</v>
      </c>
      <c r="DT155" s="231">
        <v>40000</v>
      </c>
      <c r="DU155" s="231">
        <v>37000</v>
      </c>
      <c r="DV155" s="228">
        <v>0.47</v>
      </c>
      <c r="DW155" s="228">
        <v>0.79</v>
      </c>
      <c r="DX155" s="228">
        <v>-0.32</v>
      </c>
      <c r="DY155" s="229">
        <v>-0.40510000000000002</v>
      </c>
      <c r="DZ155" s="229">
        <v>0.93920000000000003</v>
      </c>
      <c r="EA155" s="230">
        <v>271360</v>
      </c>
      <c r="EB155" s="229">
        <v>1.6000000000000001E-3</v>
      </c>
      <c r="EC155" s="229">
        <v>0.93920000000000003</v>
      </c>
      <c r="ED155" s="228">
        <v>74.33</v>
      </c>
      <c r="EE155" s="229">
        <v>1.9E-3</v>
      </c>
      <c r="EF155" s="230">
        <v>4446</v>
      </c>
      <c r="EG155" s="230">
        <v>13254</v>
      </c>
      <c r="EH155" s="229">
        <v>-0.66459999999999997</v>
      </c>
      <c r="EI155" s="229">
        <v>0.32890000000000003</v>
      </c>
      <c r="EJ155" s="231">
        <v>72613.570000000007</v>
      </c>
      <c r="EK155" s="231">
        <v>31382.85</v>
      </c>
      <c r="EL155" s="231">
        <v>20655.11</v>
      </c>
      <c r="EM155" s="231">
        <v>15421</v>
      </c>
      <c r="EN155" s="231">
        <v>124651.53</v>
      </c>
      <c r="EO155" s="231">
        <v>499682.29</v>
      </c>
      <c r="EP155" s="231">
        <v>-375030.76</v>
      </c>
      <c r="EQ155" s="229">
        <v>-0.75049999999999994</v>
      </c>
      <c r="ER155" s="231">
        <v>18205</v>
      </c>
      <c r="ES155" s="231">
        <v>6310</v>
      </c>
      <c r="ET155" s="231">
        <v>107023</v>
      </c>
      <c r="EU155" s="231">
        <v>955549</v>
      </c>
      <c r="EV155" s="231">
        <v>131539</v>
      </c>
      <c r="EW155" s="231">
        <v>200824</v>
      </c>
      <c r="EX155" s="231">
        <v>-69285</v>
      </c>
      <c r="EY155" s="229">
        <v>-0.34499999999999997</v>
      </c>
      <c r="EZ155" s="229">
        <v>0.35680000000000001</v>
      </c>
      <c r="FA155" s="227" t="s">
        <v>567</v>
      </c>
      <c r="FB155" s="161">
        <f t="shared" si="3"/>
        <v>0</v>
      </c>
    </row>
    <row r="156" spans="1:158" ht="17.25" thickBot="1" x14ac:dyDescent="0.3">
      <c r="A156" s="226">
        <v>46168</v>
      </c>
      <c r="B156" s="227" t="s">
        <v>168</v>
      </c>
      <c r="C156" s="227" t="s">
        <v>663</v>
      </c>
      <c r="D156" s="228">
        <v>900</v>
      </c>
      <c r="E156" s="228">
        <v>467.35</v>
      </c>
      <c r="F156" s="228">
        <v>471.15</v>
      </c>
      <c r="G156" s="228">
        <v>-3.8</v>
      </c>
      <c r="H156" s="229">
        <v>-8.0999999999999996E-3</v>
      </c>
      <c r="I156" s="228">
        <v>465.75</v>
      </c>
      <c r="J156" s="228">
        <v>468.45</v>
      </c>
      <c r="K156" s="228">
        <v>-2.7</v>
      </c>
      <c r="L156" s="229">
        <v>-5.7999999999999996E-3</v>
      </c>
      <c r="M156" s="228">
        <v>464.3</v>
      </c>
      <c r="N156" s="228">
        <v>468.25</v>
      </c>
      <c r="O156" s="228">
        <v>-3.95</v>
      </c>
      <c r="P156" s="229">
        <v>-8.3999999999999995E-3</v>
      </c>
      <c r="Q156" s="228">
        <v>467.35</v>
      </c>
      <c r="R156" s="228">
        <v>471.15</v>
      </c>
      <c r="S156" s="228">
        <v>-3.8</v>
      </c>
      <c r="T156" s="229">
        <v>-8.0999999999999996E-3</v>
      </c>
      <c r="U156" s="228">
        <v>470.55</v>
      </c>
      <c r="V156" s="228">
        <v>472.5</v>
      </c>
      <c r="W156" s="228">
        <v>-1.95</v>
      </c>
      <c r="X156" s="229">
        <v>-4.1000000000000003E-3</v>
      </c>
      <c r="Y156" s="228">
        <v>1.6</v>
      </c>
      <c r="Z156" s="228">
        <v>-0.2</v>
      </c>
      <c r="AA156" s="228">
        <v>1.8</v>
      </c>
      <c r="AB156" s="229">
        <v>3.3999999999999998E-3</v>
      </c>
      <c r="AC156" s="228">
        <v>-1.45</v>
      </c>
      <c r="AD156" s="228">
        <v>-0.2</v>
      </c>
      <c r="AE156" s="228">
        <v>-1.25</v>
      </c>
      <c r="AF156" s="229">
        <v>-3.0999999999999999E-3</v>
      </c>
      <c r="AG156" s="228">
        <v>1.6</v>
      </c>
      <c r="AH156" s="228">
        <v>2.7</v>
      </c>
      <c r="AI156" s="228">
        <v>-1.1000000000000001</v>
      </c>
      <c r="AJ156" s="229">
        <v>3.3999999999999998E-3</v>
      </c>
      <c r="AK156" s="228">
        <v>4.8</v>
      </c>
      <c r="AL156" s="228">
        <v>4.05</v>
      </c>
      <c r="AM156" s="228">
        <v>0.75</v>
      </c>
      <c r="AN156" s="229">
        <v>1.03E-2</v>
      </c>
      <c r="AO156" s="228">
        <v>465.28</v>
      </c>
      <c r="AP156" s="228">
        <v>468.31</v>
      </c>
      <c r="AQ156" s="228">
        <v>0</v>
      </c>
      <c r="AR156" s="230">
        <v>13426200</v>
      </c>
      <c r="AS156" s="230">
        <v>23123700</v>
      </c>
      <c r="AT156" s="230">
        <v>-9697500</v>
      </c>
      <c r="AU156" s="229">
        <v>-0.4194</v>
      </c>
      <c r="AV156" s="230">
        <v>5998500</v>
      </c>
      <c r="AW156" s="230">
        <v>11439000</v>
      </c>
      <c r="AX156" s="230">
        <v>-5440500</v>
      </c>
      <c r="AY156" s="229">
        <v>-0.47560000000000002</v>
      </c>
      <c r="AZ156" s="230">
        <v>7396200</v>
      </c>
      <c r="BA156" s="230">
        <v>11660400</v>
      </c>
      <c r="BB156" s="230">
        <v>-4264200</v>
      </c>
      <c r="BC156" s="229">
        <v>-0.36570000000000003</v>
      </c>
      <c r="BD156" s="230">
        <v>31500</v>
      </c>
      <c r="BE156" s="230">
        <v>24300</v>
      </c>
      <c r="BF156" s="230">
        <v>7200</v>
      </c>
      <c r="BG156" s="229">
        <v>0.29630000000000001</v>
      </c>
      <c r="BH156" s="230">
        <v>2830500</v>
      </c>
      <c r="BI156" s="230">
        <v>6280200</v>
      </c>
      <c r="BJ156" s="230">
        <v>-3449700</v>
      </c>
      <c r="BK156" s="229">
        <v>-0.54930000000000001</v>
      </c>
      <c r="BL156" s="230">
        <v>1701000</v>
      </c>
      <c r="BM156" s="230">
        <v>4340700</v>
      </c>
      <c r="BN156" s="230">
        <v>-2639700</v>
      </c>
      <c r="BO156" s="229">
        <v>-0.60809999999999997</v>
      </c>
      <c r="BP156" s="230">
        <v>17957700</v>
      </c>
      <c r="BQ156" s="230">
        <v>33744600</v>
      </c>
      <c r="BR156" s="230">
        <v>-15786900</v>
      </c>
      <c r="BS156" s="229">
        <v>-0.46779999999999999</v>
      </c>
      <c r="BT156" s="230">
        <v>1824975</v>
      </c>
      <c r="BU156" s="230">
        <v>2185053</v>
      </c>
      <c r="BV156" s="230">
        <v>-360078</v>
      </c>
      <c r="BW156" s="229">
        <v>-0.1648</v>
      </c>
      <c r="BX156" s="230">
        <v>32344300</v>
      </c>
      <c r="BY156" s="230">
        <v>33241175</v>
      </c>
      <c r="BZ156" s="230">
        <v>-896875</v>
      </c>
      <c r="CA156" s="229">
        <v>-2.7E-2</v>
      </c>
      <c r="CB156" s="230">
        <v>521100</v>
      </c>
      <c r="CC156" s="230">
        <v>4781700</v>
      </c>
      <c r="CD156" s="230">
        <v>-4260600</v>
      </c>
      <c r="CE156" s="229">
        <v>-0.89100000000000001</v>
      </c>
      <c r="CF156" s="230">
        <v>32249700</v>
      </c>
      <c r="CG156" s="230">
        <v>28389600</v>
      </c>
      <c r="CH156" s="230">
        <v>3860100</v>
      </c>
      <c r="CI156" s="229">
        <v>0.13600000000000001</v>
      </c>
      <c r="CJ156" s="230">
        <v>94600</v>
      </c>
      <c r="CK156" s="230">
        <v>69875</v>
      </c>
      <c r="CL156" s="230">
        <v>24725</v>
      </c>
      <c r="CM156" s="229">
        <v>0.3538</v>
      </c>
      <c r="CN156" s="230">
        <v>2190600</v>
      </c>
      <c r="CO156" s="230">
        <v>5348700</v>
      </c>
      <c r="CP156" s="230">
        <v>-3158100</v>
      </c>
      <c r="CQ156" s="229">
        <v>-0.59040000000000004</v>
      </c>
      <c r="CR156" s="230">
        <v>2054700</v>
      </c>
      <c r="CS156" s="230">
        <v>4270500</v>
      </c>
      <c r="CT156" s="230">
        <v>-2215800</v>
      </c>
      <c r="CU156" s="229">
        <v>-0.51890000000000003</v>
      </c>
      <c r="CV156" s="230">
        <v>36589600</v>
      </c>
      <c r="CW156" s="230">
        <v>42860375</v>
      </c>
      <c r="CX156" s="230">
        <v>-6270775</v>
      </c>
      <c r="CY156" s="229">
        <v>-0.14630000000000001</v>
      </c>
      <c r="CZ156" s="228">
        <v>29.08</v>
      </c>
      <c r="DA156" s="228">
        <v>28.39</v>
      </c>
      <c r="DB156" s="228">
        <v>0.69</v>
      </c>
      <c r="DC156" s="228">
        <v>0.69</v>
      </c>
      <c r="DD156" s="228">
        <v>31.53</v>
      </c>
      <c r="DE156" s="228">
        <v>31.59</v>
      </c>
      <c r="DF156" s="228">
        <v>-2.4500000000000002</v>
      </c>
      <c r="DG156" s="228">
        <v>-0.06</v>
      </c>
      <c r="DH156" s="228">
        <v>29.44</v>
      </c>
      <c r="DI156" s="228">
        <v>29.07</v>
      </c>
      <c r="DJ156" s="228">
        <v>0.37</v>
      </c>
      <c r="DK156" s="228">
        <v>0.37</v>
      </c>
      <c r="DL156" s="228">
        <v>28.14</v>
      </c>
      <c r="DM156" s="228">
        <v>27.64</v>
      </c>
      <c r="DN156" s="228">
        <v>0.5</v>
      </c>
      <c r="DO156" s="228">
        <v>0.5</v>
      </c>
      <c r="DP156" s="228">
        <v>0.94</v>
      </c>
      <c r="DQ156" s="228">
        <v>0.8</v>
      </c>
      <c r="DR156" s="228">
        <v>0.14000000000000001</v>
      </c>
      <c r="DS156" s="229">
        <v>0.17499999999999999</v>
      </c>
      <c r="DT156" s="228">
        <v>500</v>
      </c>
      <c r="DU156" s="228">
        <v>510</v>
      </c>
      <c r="DV156" s="228">
        <v>0.6</v>
      </c>
      <c r="DW156" s="228">
        <v>0.69</v>
      </c>
      <c r="DX156" s="228">
        <v>-0.09</v>
      </c>
      <c r="DY156" s="229">
        <v>-0.13039999999999999</v>
      </c>
      <c r="DZ156" s="229">
        <v>0.98409999999999997</v>
      </c>
      <c r="EA156" s="230">
        <v>28459475</v>
      </c>
      <c r="EB156" s="229">
        <v>6.6E-3</v>
      </c>
      <c r="EC156" s="229">
        <v>0.98409999999999997</v>
      </c>
      <c r="ED156" s="228">
        <v>3.03</v>
      </c>
      <c r="EE156" s="229">
        <v>6.4999999999999997E-3</v>
      </c>
      <c r="EF156" s="230">
        <v>705054</v>
      </c>
      <c r="EG156" s="230">
        <v>660490</v>
      </c>
      <c r="EH156" s="229">
        <v>6.7500000000000004E-2</v>
      </c>
      <c r="EI156" s="229">
        <v>0.38629999999999998</v>
      </c>
      <c r="EJ156" s="231">
        <v>13712.22</v>
      </c>
      <c r="EK156" s="231">
        <v>8022.21</v>
      </c>
      <c r="EL156" s="231">
        <v>62723.89</v>
      </c>
      <c r="EM156" s="231">
        <v>18367</v>
      </c>
      <c r="EN156" s="231">
        <v>84458.32</v>
      </c>
      <c r="EO156" s="231">
        <v>161622.26999999999</v>
      </c>
      <c r="EP156" s="231">
        <v>-77163.95</v>
      </c>
      <c r="EQ156" s="229">
        <v>-0.47739999999999999</v>
      </c>
      <c r="ER156" s="231">
        <v>10813</v>
      </c>
      <c r="ES156" s="231">
        <v>9960</v>
      </c>
      <c r="ET156" s="231">
        <v>151164</v>
      </c>
      <c r="EU156" s="231">
        <v>51786533</v>
      </c>
      <c r="EV156" s="231">
        <v>171936</v>
      </c>
      <c r="EW156" s="231">
        <v>202558</v>
      </c>
      <c r="EX156" s="231">
        <v>-30622</v>
      </c>
      <c r="EY156" s="229">
        <v>-0.1512</v>
      </c>
      <c r="EZ156" s="229">
        <v>0.70650000000000002</v>
      </c>
      <c r="FA156" s="227" t="s">
        <v>567</v>
      </c>
      <c r="FB156" s="161">
        <f t="shared" si="3"/>
        <v>0</v>
      </c>
    </row>
    <row r="157" spans="1:158" ht="17.25" thickBot="1" x14ac:dyDescent="0.3">
      <c r="A157" s="226">
        <v>46168</v>
      </c>
      <c r="B157" s="227" t="s">
        <v>614</v>
      </c>
      <c r="C157" s="227" t="s">
        <v>574</v>
      </c>
      <c r="D157" s="228">
        <v>725</v>
      </c>
      <c r="E157" s="231">
        <v>1141.3</v>
      </c>
      <c r="F157" s="231">
        <v>1106.5</v>
      </c>
      <c r="G157" s="228">
        <v>34.799999999999997</v>
      </c>
      <c r="H157" s="229">
        <v>3.15E-2</v>
      </c>
      <c r="I157" s="231">
        <v>1131.5999999999999</v>
      </c>
      <c r="J157" s="231">
        <v>1097.4000000000001</v>
      </c>
      <c r="K157" s="228">
        <v>34.200000000000003</v>
      </c>
      <c r="L157" s="229">
        <v>3.1199999999999999E-2</v>
      </c>
      <c r="M157" s="231">
        <v>1132.4000000000001</v>
      </c>
      <c r="N157" s="231">
        <v>1097.4000000000001</v>
      </c>
      <c r="O157" s="228">
        <v>35</v>
      </c>
      <c r="P157" s="229">
        <v>3.1899999999999998E-2</v>
      </c>
      <c r="Q157" s="231">
        <v>1141.3</v>
      </c>
      <c r="R157" s="231">
        <v>1106.5</v>
      </c>
      <c r="S157" s="228">
        <v>34.799999999999997</v>
      </c>
      <c r="T157" s="229">
        <v>3.15E-2</v>
      </c>
      <c r="U157" s="231">
        <v>1145.9000000000001</v>
      </c>
      <c r="V157" s="231">
        <v>1116.4000000000001</v>
      </c>
      <c r="W157" s="228">
        <v>29.5</v>
      </c>
      <c r="X157" s="229">
        <v>2.64E-2</v>
      </c>
      <c r="Y157" s="228">
        <v>9.6999999999999993</v>
      </c>
      <c r="Z157" s="228">
        <v>0</v>
      </c>
      <c r="AA157" s="228">
        <v>9.6999999999999993</v>
      </c>
      <c r="AB157" s="229">
        <v>8.6E-3</v>
      </c>
      <c r="AC157" s="228">
        <v>0.8</v>
      </c>
      <c r="AD157" s="228">
        <v>0</v>
      </c>
      <c r="AE157" s="228">
        <v>0.8</v>
      </c>
      <c r="AF157" s="229">
        <v>6.9999999999999999E-4</v>
      </c>
      <c r="AG157" s="228">
        <v>9.6999999999999993</v>
      </c>
      <c r="AH157" s="228">
        <v>9.1</v>
      </c>
      <c r="AI157" s="228">
        <v>0.6</v>
      </c>
      <c r="AJ157" s="229">
        <v>8.6E-3</v>
      </c>
      <c r="AK157" s="228">
        <v>14.3</v>
      </c>
      <c r="AL157" s="228">
        <v>19</v>
      </c>
      <c r="AM157" s="228">
        <v>-4.7</v>
      </c>
      <c r="AN157" s="229">
        <v>1.26E-2</v>
      </c>
      <c r="AO157" s="231">
        <v>1118.55</v>
      </c>
      <c r="AP157" s="231">
        <v>1128.82</v>
      </c>
      <c r="AQ157" s="228">
        <v>0</v>
      </c>
      <c r="AR157" s="230">
        <v>11545625</v>
      </c>
      <c r="AS157" s="230">
        <v>12225675</v>
      </c>
      <c r="AT157" s="230">
        <v>-680050</v>
      </c>
      <c r="AU157" s="229">
        <v>-5.5599999999999997E-2</v>
      </c>
      <c r="AV157" s="230">
        <v>3948350</v>
      </c>
      <c r="AW157" s="230">
        <v>6021125</v>
      </c>
      <c r="AX157" s="230">
        <v>-2072775</v>
      </c>
      <c r="AY157" s="229">
        <v>-0.34429999999999999</v>
      </c>
      <c r="AZ157" s="230">
        <v>7541450</v>
      </c>
      <c r="BA157" s="230">
        <v>6165400</v>
      </c>
      <c r="BB157" s="230">
        <v>1376050</v>
      </c>
      <c r="BC157" s="229">
        <v>0.22320000000000001</v>
      </c>
      <c r="BD157" s="230">
        <v>55825</v>
      </c>
      <c r="BE157" s="230">
        <v>39150</v>
      </c>
      <c r="BF157" s="230">
        <v>16675</v>
      </c>
      <c r="BG157" s="229">
        <v>0.4259</v>
      </c>
      <c r="BH157" s="230">
        <v>16201575</v>
      </c>
      <c r="BI157" s="230">
        <v>12588175</v>
      </c>
      <c r="BJ157" s="230">
        <v>3613400</v>
      </c>
      <c r="BK157" s="229">
        <v>0.28699999999999998</v>
      </c>
      <c r="BL157" s="230">
        <v>8028650</v>
      </c>
      <c r="BM157" s="230">
        <v>10270350</v>
      </c>
      <c r="BN157" s="230">
        <v>-2241700</v>
      </c>
      <c r="BO157" s="229">
        <v>-0.21829999999999999</v>
      </c>
      <c r="BP157" s="230">
        <v>35775850</v>
      </c>
      <c r="BQ157" s="230">
        <v>35084200</v>
      </c>
      <c r="BR157" s="230">
        <v>691650</v>
      </c>
      <c r="BS157" s="229">
        <v>1.9699999999999999E-2</v>
      </c>
      <c r="BT157" s="230">
        <v>3672732</v>
      </c>
      <c r="BU157" s="230">
        <v>1922788</v>
      </c>
      <c r="BV157" s="230">
        <v>1749944</v>
      </c>
      <c r="BW157" s="229">
        <v>0.91010000000000002</v>
      </c>
      <c r="BX157" s="230">
        <v>17144800</v>
      </c>
      <c r="BY157" s="230">
        <v>16592350</v>
      </c>
      <c r="BZ157" s="230">
        <v>552450</v>
      </c>
      <c r="CA157" s="229">
        <v>3.3300000000000003E-2</v>
      </c>
      <c r="CB157" s="230">
        <v>2929000</v>
      </c>
      <c r="CC157" s="230">
        <v>3081975</v>
      </c>
      <c r="CD157" s="230">
        <v>-152975</v>
      </c>
      <c r="CE157" s="229">
        <v>-4.9599999999999998E-2</v>
      </c>
      <c r="CF157" s="230">
        <v>15902150</v>
      </c>
      <c r="CG157" s="230">
        <v>12272075</v>
      </c>
      <c r="CH157" s="230">
        <v>3630075</v>
      </c>
      <c r="CI157" s="229">
        <v>0.29580000000000001</v>
      </c>
      <c r="CJ157" s="230">
        <v>1242650</v>
      </c>
      <c r="CK157" s="230">
        <v>1238300</v>
      </c>
      <c r="CL157" s="230">
        <v>4350</v>
      </c>
      <c r="CM157" s="229">
        <v>3.5000000000000001E-3</v>
      </c>
      <c r="CN157" s="230">
        <v>3024700</v>
      </c>
      <c r="CO157" s="230">
        <v>9083525</v>
      </c>
      <c r="CP157" s="230">
        <v>-6058825</v>
      </c>
      <c r="CQ157" s="229">
        <v>-0.66700000000000004</v>
      </c>
      <c r="CR157" s="230">
        <v>1963300</v>
      </c>
      <c r="CS157" s="230">
        <v>6594600</v>
      </c>
      <c r="CT157" s="230">
        <v>-4631300</v>
      </c>
      <c r="CU157" s="229">
        <v>-0.70230000000000004</v>
      </c>
      <c r="CV157" s="230">
        <v>22132800</v>
      </c>
      <c r="CW157" s="230">
        <v>32270475</v>
      </c>
      <c r="CX157" s="230">
        <v>-10137675</v>
      </c>
      <c r="CY157" s="229">
        <v>-0.31409999999999999</v>
      </c>
      <c r="CZ157" s="228">
        <v>32.65</v>
      </c>
      <c r="DA157" s="228">
        <v>34.42</v>
      </c>
      <c r="DB157" s="228">
        <v>-1.77</v>
      </c>
      <c r="DC157" s="228">
        <v>-1.77</v>
      </c>
      <c r="DD157" s="228">
        <v>51.91</v>
      </c>
      <c r="DE157" s="228">
        <v>51.88</v>
      </c>
      <c r="DF157" s="228">
        <v>-19.260000000000002</v>
      </c>
      <c r="DG157" s="228">
        <v>0.03</v>
      </c>
      <c r="DH157" s="228">
        <v>32.26</v>
      </c>
      <c r="DI157" s="228">
        <v>34.75</v>
      </c>
      <c r="DJ157" s="228">
        <v>-2.4900000000000002</v>
      </c>
      <c r="DK157" s="228">
        <v>-2.4900000000000002</v>
      </c>
      <c r="DL157" s="228">
        <v>33.43</v>
      </c>
      <c r="DM157" s="228">
        <v>33.950000000000003</v>
      </c>
      <c r="DN157" s="228">
        <v>-0.52</v>
      </c>
      <c r="DO157" s="228">
        <v>-0.52</v>
      </c>
      <c r="DP157" s="228">
        <v>0.65</v>
      </c>
      <c r="DQ157" s="228">
        <v>0.73</v>
      </c>
      <c r="DR157" s="228">
        <v>-0.08</v>
      </c>
      <c r="DS157" s="229">
        <v>-0.1096</v>
      </c>
      <c r="DT157" s="231">
        <v>1200</v>
      </c>
      <c r="DU157" s="231">
        <v>1100</v>
      </c>
      <c r="DV157" s="228">
        <v>0.5</v>
      </c>
      <c r="DW157" s="228">
        <v>0.82</v>
      </c>
      <c r="DX157" s="228">
        <v>-0.32</v>
      </c>
      <c r="DY157" s="229">
        <v>-0.39019999999999999</v>
      </c>
      <c r="DZ157" s="229">
        <v>0.85409999999999997</v>
      </c>
      <c r="EA157" s="230">
        <v>13510375</v>
      </c>
      <c r="EB157" s="229">
        <v>7.9000000000000008E-3</v>
      </c>
      <c r="EC157" s="229">
        <v>0.85409999999999997</v>
      </c>
      <c r="ED157" s="228">
        <v>10.27</v>
      </c>
      <c r="EE157" s="229">
        <v>9.1999999999999998E-3</v>
      </c>
      <c r="EF157" s="230">
        <v>1871844</v>
      </c>
      <c r="EG157" s="230">
        <v>802037</v>
      </c>
      <c r="EH157" s="229">
        <v>1.3339000000000001</v>
      </c>
      <c r="EI157" s="229">
        <v>0.50970000000000004</v>
      </c>
      <c r="EJ157" s="231">
        <v>188999.8</v>
      </c>
      <c r="EK157" s="231">
        <v>89888.57</v>
      </c>
      <c r="EL157" s="231">
        <v>129927.47</v>
      </c>
      <c r="EM157" s="231">
        <v>11077</v>
      </c>
      <c r="EN157" s="231">
        <v>408815.84</v>
      </c>
      <c r="EO157" s="231">
        <v>393848.16</v>
      </c>
      <c r="EP157" s="231">
        <v>14967.68</v>
      </c>
      <c r="EQ157" s="229">
        <v>3.7999999999999999E-2</v>
      </c>
      <c r="ER157" s="231">
        <v>35336</v>
      </c>
      <c r="ES157" s="231">
        <v>21630</v>
      </c>
      <c r="ET157" s="231">
        <v>195731</v>
      </c>
      <c r="EU157" s="231">
        <v>95930888</v>
      </c>
      <c r="EV157" s="231">
        <v>252697</v>
      </c>
      <c r="EW157" s="231">
        <v>361819</v>
      </c>
      <c r="EX157" s="231">
        <v>-109122</v>
      </c>
      <c r="EY157" s="229">
        <v>-0.30159999999999998</v>
      </c>
      <c r="EZ157" s="229">
        <v>0.23069999999999999</v>
      </c>
      <c r="FA157" s="227" t="s">
        <v>555</v>
      </c>
      <c r="FB157" s="161">
        <f t="shared" si="3"/>
        <v>0</v>
      </c>
    </row>
    <row r="158" spans="1:158" ht="17.25" thickBot="1" x14ac:dyDescent="0.3">
      <c r="A158" s="226">
        <v>46168</v>
      </c>
      <c r="B158" s="227" t="s">
        <v>221</v>
      </c>
      <c r="C158" s="227" t="s">
        <v>529</v>
      </c>
      <c r="D158" s="228">
        <v>100</v>
      </c>
      <c r="E158" s="231">
        <v>5111.8</v>
      </c>
      <c r="F158" s="231">
        <v>5009.1000000000004</v>
      </c>
      <c r="G158" s="228">
        <v>102.7</v>
      </c>
      <c r="H158" s="229">
        <v>2.0500000000000001E-2</v>
      </c>
      <c r="I158" s="231">
        <v>5105.8</v>
      </c>
      <c r="J158" s="231">
        <v>5038</v>
      </c>
      <c r="K158" s="228">
        <v>67.8</v>
      </c>
      <c r="L158" s="229">
        <v>1.35E-2</v>
      </c>
      <c r="M158" s="231">
        <v>5115.2</v>
      </c>
      <c r="N158" s="231">
        <v>5059.2</v>
      </c>
      <c r="O158" s="228">
        <v>56</v>
      </c>
      <c r="P158" s="229">
        <v>1.11E-2</v>
      </c>
      <c r="Q158" s="231">
        <v>5111.8</v>
      </c>
      <c r="R158" s="231">
        <v>5009.1000000000004</v>
      </c>
      <c r="S158" s="228">
        <v>102.7</v>
      </c>
      <c r="T158" s="229">
        <v>2.0500000000000001E-2</v>
      </c>
      <c r="U158" s="231">
        <v>5087</v>
      </c>
      <c r="V158" s="231">
        <v>5003.5</v>
      </c>
      <c r="W158" s="228">
        <v>83.5</v>
      </c>
      <c r="X158" s="229">
        <v>1.67E-2</v>
      </c>
      <c r="Y158" s="228">
        <v>6</v>
      </c>
      <c r="Z158" s="228">
        <v>21.2</v>
      </c>
      <c r="AA158" s="228">
        <v>-15.2</v>
      </c>
      <c r="AB158" s="229">
        <v>1.1999999999999999E-3</v>
      </c>
      <c r="AC158" s="228">
        <v>9.4</v>
      </c>
      <c r="AD158" s="228">
        <v>21.2</v>
      </c>
      <c r="AE158" s="228">
        <v>-11.8</v>
      </c>
      <c r="AF158" s="229">
        <v>1.8E-3</v>
      </c>
      <c r="AG158" s="228">
        <v>6</v>
      </c>
      <c r="AH158" s="228">
        <v>-28.9</v>
      </c>
      <c r="AI158" s="228">
        <v>34.9</v>
      </c>
      <c r="AJ158" s="229">
        <v>1.1999999999999999E-3</v>
      </c>
      <c r="AK158" s="228">
        <v>-18.8</v>
      </c>
      <c r="AL158" s="228">
        <v>-34.5</v>
      </c>
      <c r="AM158" s="228">
        <v>15.7</v>
      </c>
      <c r="AN158" s="229">
        <v>-3.7000000000000002E-3</v>
      </c>
      <c r="AO158" s="231">
        <v>5113.37</v>
      </c>
      <c r="AP158" s="231">
        <v>5078.74</v>
      </c>
      <c r="AQ158" s="228">
        <v>0</v>
      </c>
      <c r="AR158" s="230">
        <v>1336800</v>
      </c>
      <c r="AS158" s="230">
        <v>2306700</v>
      </c>
      <c r="AT158" s="230">
        <v>-969900</v>
      </c>
      <c r="AU158" s="229">
        <v>-0.42049999999999998</v>
      </c>
      <c r="AV158" s="230">
        <v>589300</v>
      </c>
      <c r="AW158" s="230">
        <v>1102700</v>
      </c>
      <c r="AX158" s="230">
        <v>-513400</v>
      </c>
      <c r="AY158" s="229">
        <v>-0.46560000000000001</v>
      </c>
      <c r="AZ158" s="230">
        <v>734300</v>
      </c>
      <c r="BA158" s="230">
        <v>1188700</v>
      </c>
      <c r="BB158" s="230">
        <v>-454400</v>
      </c>
      <c r="BC158" s="229">
        <v>-0.38229999999999997</v>
      </c>
      <c r="BD158" s="230">
        <v>13200</v>
      </c>
      <c r="BE158" s="230">
        <v>15300</v>
      </c>
      <c r="BF158" s="230">
        <v>-2100</v>
      </c>
      <c r="BG158" s="229">
        <v>-0.13730000000000001</v>
      </c>
      <c r="BH158" s="230">
        <v>1749900</v>
      </c>
      <c r="BI158" s="230">
        <v>1948500</v>
      </c>
      <c r="BJ158" s="230">
        <v>-198600</v>
      </c>
      <c r="BK158" s="229">
        <v>-0.1019</v>
      </c>
      <c r="BL158" s="230">
        <v>993700</v>
      </c>
      <c r="BM158" s="230">
        <v>1102500</v>
      </c>
      <c r="BN158" s="230">
        <v>-108800</v>
      </c>
      <c r="BO158" s="229">
        <v>-9.8699999999999996E-2</v>
      </c>
      <c r="BP158" s="230">
        <v>4080400</v>
      </c>
      <c r="BQ158" s="230">
        <v>5357700</v>
      </c>
      <c r="BR158" s="230">
        <v>-1277300</v>
      </c>
      <c r="BS158" s="229">
        <v>-0.2384</v>
      </c>
      <c r="BT158" s="230">
        <v>466458</v>
      </c>
      <c r="BU158" s="230">
        <v>351910</v>
      </c>
      <c r="BV158" s="230">
        <v>114548</v>
      </c>
      <c r="BW158" s="229">
        <v>0.32550000000000001</v>
      </c>
      <c r="BX158" s="230">
        <v>3391075</v>
      </c>
      <c r="BY158" s="230">
        <v>4031125</v>
      </c>
      <c r="BZ158" s="230">
        <v>-640050</v>
      </c>
      <c r="CA158" s="229">
        <v>-0.1588</v>
      </c>
      <c r="CB158" s="230">
        <v>562100</v>
      </c>
      <c r="CC158" s="230">
        <v>676900</v>
      </c>
      <c r="CD158" s="230">
        <v>-114800</v>
      </c>
      <c r="CE158" s="229">
        <v>-0.1696</v>
      </c>
      <c r="CF158" s="230">
        <v>3353700</v>
      </c>
      <c r="CG158" s="230">
        <v>3320100</v>
      </c>
      <c r="CH158" s="230">
        <v>33600</v>
      </c>
      <c r="CI158" s="229">
        <v>1.01E-2</v>
      </c>
      <c r="CJ158" s="230">
        <v>37375</v>
      </c>
      <c r="CK158" s="230">
        <v>34125</v>
      </c>
      <c r="CL158" s="230">
        <v>3250</v>
      </c>
      <c r="CM158" s="229">
        <v>9.5200000000000007E-2</v>
      </c>
      <c r="CN158" s="230">
        <v>410800</v>
      </c>
      <c r="CO158" s="230">
        <v>1441200</v>
      </c>
      <c r="CP158" s="230">
        <v>-1030400</v>
      </c>
      <c r="CQ158" s="229">
        <v>-0.71499999999999997</v>
      </c>
      <c r="CR158" s="230">
        <v>312325</v>
      </c>
      <c r="CS158" s="230">
        <v>1200025</v>
      </c>
      <c r="CT158" s="230">
        <v>-887700</v>
      </c>
      <c r="CU158" s="229">
        <v>-0.73970000000000002</v>
      </c>
      <c r="CV158" s="230">
        <v>4114200</v>
      </c>
      <c r="CW158" s="230">
        <v>6672350</v>
      </c>
      <c r="CX158" s="230">
        <v>-2558150</v>
      </c>
      <c r="CY158" s="229">
        <v>-0.38340000000000002</v>
      </c>
      <c r="CZ158" s="228">
        <v>34.049999999999997</v>
      </c>
      <c r="DA158" s="228">
        <v>35.47</v>
      </c>
      <c r="DB158" s="228">
        <v>-1.42</v>
      </c>
      <c r="DC158" s="228">
        <v>-1.42</v>
      </c>
      <c r="DD158" s="228">
        <v>41.59</v>
      </c>
      <c r="DE158" s="228">
        <v>41.61</v>
      </c>
      <c r="DF158" s="228">
        <v>-7.54</v>
      </c>
      <c r="DG158" s="228">
        <v>-0.02</v>
      </c>
      <c r="DH158" s="228">
        <v>33.83</v>
      </c>
      <c r="DI158" s="228">
        <v>35.6</v>
      </c>
      <c r="DJ158" s="228">
        <v>-1.77</v>
      </c>
      <c r="DK158" s="228">
        <v>-1.77</v>
      </c>
      <c r="DL158" s="228">
        <v>34.5</v>
      </c>
      <c r="DM158" s="228">
        <v>35.15</v>
      </c>
      <c r="DN158" s="228">
        <v>-0.65</v>
      </c>
      <c r="DO158" s="228">
        <v>-0.65</v>
      </c>
      <c r="DP158" s="228">
        <v>0.76</v>
      </c>
      <c r="DQ158" s="228">
        <v>0.83</v>
      </c>
      <c r="DR158" s="228">
        <v>-7.0000000000000007E-2</v>
      </c>
      <c r="DS158" s="229">
        <v>-8.43E-2</v>
      </c>
      <c r="DT158" s="231">
        <v>5200</v>
      </c>
      <c r="DU158" s="231">
        <v>4850</v>
      </c>
      <c r="DV158" s="228">
        <v>0.56999999999999995</v>
      </c>
      <c r="DW158" s="228">
        <v>0.56999999999999995</v>
      </c>
      <c r="DX158" s="228">
        <v>0</v>
      </c>
      <c r="DY158" s="229">
        <v>0</v>
      </c>
      <c r="DZ158" s="229">
        <v>0.85780000000000001</v>
      </c>
      <c r="EA158" s="230">
        <v>3354225</v>
      </c>
      <c r="EB158" s="229">
        <v>-6.9999999999999999E-4</v>
      </c>
      <c r="EC158" s="229">
        <v>0.85780000000000001</v>
      </c>
      <c r="ED158" s="228">
        <v>-34.630000000000003</v>
      </c>
      <c r="EE158" s="229">
        <v>-6.7999999999999996E-3</v>
      </c>
      <c r="EF158" s="230">
        <v>150737</v>
      </c>
      <c r="EG158" s="230">
        <v>138243</v>
      </c>
      <c r="EH158" s="229">
        <v>9.0399999999999994E-2</v>
      </c>
      <c r="EI158" s="229">
        <v>0.32319999999999999</v>
      </c>
      <c r="EJ158" s="231">
        <v>92488.97</v>
      </c>
      <c r="EK158" s="231">
        <v>49479.01</v>
      </c>
      <c r="EL158" s="231">
        <v>68260.710000000006</v>
      </c>
      <c r="EM158" s="231">
        <v>21771</v>
      </c>
      <c r="EN158" s="231">
        <v>210228.69</v>
      </c>
      <c r="EO158" s="231">
        <v>272082.28999999998</v>
      </c>
      <c r="EP158" s="231">
        <v>-61853.599999999999</v>
      </c>
      <c r="EQ158" s="229">
        <v>-0.2273</v>
      </c>
      <c r="ER158" s="231">
        <v>21358</v>
      </c>
      <c r="ES158" s="231">
        <v>15144</v>
      </c>
      <c r="ET158" s="231">
        <v>173336</v>
      </c>
      <c r="EU158" s="231">
        <v>16286398</v>
      </c>
      <c r="EV158" s="231">
        <v>209838</v>
      </c>
      <c r="EW158" s="231">
        <v>334222</v>
      </c>
      <c r="EX158" s="231">
        <v>-124384</v>
      </c>
      <c r="EY158" s="229">
        <v>-0.37219999999999998</v>
      </c>
      <c r="EZ158" s="229">
        <v>0.25259999999999999</v>
      </c>
      <c r="FA158" s="227" t="s">
        <v>691</v>
      </c>
      <c r="FB158" s="161">
        <f t="shared" si="3"/>
        <v>0</v>
      </c>
    </row>
    <row r="159" spans="1:158" ht="17.25" thickBot="1" x14ac:dyDescent="0.3">
      <c r="A159" s="226">
        <v>46168</v>
      </c>
      <c r="B159" s="227" t="s">
        <v>193</v>
      </c>
      <c r="C159" s="227" t="s">
        <v>272</v>
      </c>
      <c r="D159" s="228">
        <v>1900</v>
      </c>
      <c r="E159" s="228">
        <v>281.85000000000002</v>
      </c>
      <c r="F159" s="228">
        <v>283.45</v>
      </c>
      <c r="G159" s="228">
        <v>-1.6</v>
      </c>
      <c r="H159" s="229">
        <v>-5.5999999999999999E-3</v>
      </c>
      <c r="I159" s="228">
        <v>280.2</v>
      </c>
      <c r="J159" s="228">
        <v>282.25</v>
      </c>
      <c r="K159" s="228">
        <v>-2.0499999999999998</v>
      </c>
      <c r="L159" s="229">
        <v>-7.3000000000000001E-3</v>
      </c>
      <c r="M159" s="228">
        <v>280.60000000000002</v>
      </c>
      <c r="N159" s="228">
        <v>282.39999999999998</v>
      </c>
      <c r="O159" s="228">
        <v>-1.8</v>
      </c>
      <c r="P159" s="229">
        <v>-6.4000000000000003E-3</v>
      </c>
      <c r="Q159" s="228">
        <v>281.85000000000002</v>
      </c>
      <c r="R159" s="228">
        <v>283.45</v>
      </c>
      <c r="S159" s="228">
        <v>-1.6</v>
      </c>
      <c r="T159" s="229">
        <v>-5.5999999999999999E-3</v>
      </c>
      <c r="U159" s="228">
        <v>281.55</v>
      </c>
      <c r="V159" s="228">
        <v>283.2</v>
      </c>
      <c r="W159" s="228">
        <v>-1.65</v>
      </c>
      <c r="X159" s="229">
        <v>-5.7999999999999996E-3</v>
      </c>
      <c r="Y159" s="228">
        <v>1.65</v>
      </c>
      <c r="Z159" s="228">
        <v>0.15</v>
      </c>
      <c r="AA159" s="228">
        <v>1.5</v>
      </c>
      <c r="AB159" s="229">
        <v>5.8999999999999999E-3</v>
      </c>
      <c r="AC159" s="228">
        <v>0.4</v>
      </c>
      <c r="AD159" s="228">
        <v>0.15</v>
      </c>
      <c r="AE159" s="228">
        <v>0.25</v>
      </c>
      <c r="AF159" s="229">
        <v>1.4E-3</v>
      </c>
      <c r="AG159" s="228">
        <v>1.65</v>
      </c>
      <c r="AH159" s="228">
        <v>1.2</v>
      </c>
      <c r="AI159" s="228">
        <v>0.45</v>
      </c>
      <c r="AJ159" s="229">
        <v>5.8999999999999999E-3</v>
      </c>
      <c r="AK159" s="228">
        <v>1.35</v>
      </c>
      <c r="AL159" s="228">
        <v>0.95</v>
      </c>
      <c r="AM159" s="228">
        <v>0.4</v>
      </c>
      <c r="AN159" s="229">
        <v>4.7999999999999996E-3</v>
      </c>
      <c r="AO159" s="228">
        <v>279.08999999999997</v>
      </c>
      <c r="AP159" s="228">
        <v>280.81</v>
      </c>
      <c r="AQ159" s="228">
        <v>0</v>
      </c>
      <c r="AR159" s="230">
        <v>13178400</v>
      </c>
      <c r="AS159" s="230">
        <v>20128600</v>
      </c>
      <c r="AT159" s="230">
        <v>-6950200</v>
      </c>
      <c r="AU159" s="229">
        <v>-0.3453</v>
      </c>
      <c r="AV159" s="230">
        <v>5306700</v>
      </c>
      <c r="AW159" s="230">
        <v>8664000</v>
      </c>
      <c r="AX159" s="230">
        <v>-3357300</v>
      </c>
      <c r="AY159" s="229">
        <v>-0.38750000000000001</v>
      </c>
      <c r="AZ159" s="230">
        <v>7784300</v>
      </c>
      <c r="BA159" s="230">
        <v>11286000</v>
      </c>
      <c r="BB159" s="230">
        <v>-3501700</v>
      </c>
      <c r="BC159" s="229">
        <v>-0.31030000000000002</v>
      </c>
      <c r="BD159" s="230">
        <v>87400</v>
      </c>
      <c r="BE159" s="230">
        <v>178600</v>
      </c>
      <c r="BF159" s="230">
        <v>-91200</v>
      </c>
      <c r="BG159" s="229">
        <v>-0.51060000000000005</v>
      </c>
      <c r="BH159" s="230">
        <v>9872400</v>
      </c>
      <c r="BI159" s="230">
        <v>17227300</v>
      </c>
      <c r="BJ159" s="230">
        <v>-7354900</v>
      </c>
      <c r="BK159" s="229">
        <v>-0.4269</v>
      </c>
      <c r="BL159" s="230">
        <v>7455600</v>
      </c>
      <c r="BM159" s="230">
        <v>9726100</v>
      </c>
      <c r="BN159" s="230">
        <v>-2270500</v>
      </c>
      <c r="BO159" s="229">
        <v>-0.2334</v>
      </c>
      <c r="BP159" s="230">
        <v>30506400</v>
      </c>
      <c r="BQ159" s="230">
        <v>47082000</v>
      </c>
      <c r="BR159" s="230">
        <v>-16575600</v>
      </c>
      <c r="BS159" s="229">
        <v>-0.35210000000000002</v>
      </c>
      <c r="BT159" s="230">
        <v>1722751</v>
      </c>
      <c r="BU159" s="230">
        <v>1878443</v>
      </c>
      <c r="BV159" s="230">
        <v>-155692</v>
      </c>
      <c r="BW159" s="229">
        <v>-8.2900000000000001E-2</v>
      </c>
      <c r="BX159" s="230">
        <v>27114900</v>
      </c>
      <c r="BY159" s="230">
        <v>32330400</v>
      </c>
      <c r="BZ159" s="230">
        <v>-5215500</v>
      </c>
      <c r="CA159" s="229">
        <v>-0.1613</v>
      </c>
      <c r="CB159" s="230">
        <v>4535300</v>
      </c>
      <c r="CC159" s="230">
        <v>7286500</v>
      </c>
      <c r="CD159" s="230">
        <v>-2751200</v>
      </c>
      <c r="CE159" s="229">
        <v>-0.37759999999999999</v>
      </c>
      <c r="CF159" s="230">
        <v>26734900</v>
      </c>
      <c r="CG159" s="230">
        <v>24705700</v>
      </c>
      <c r="CH159" s="230">
        <v>2029200</v>
      </c>
      <c r="CI159" s="229">
        <v>8.2100000000000006E-2</v>
      </c>
      <c r="CJ159" s="230">
        <v>380000</v>
      </c>
      <c r="CK159" s="230">
        <v>338200</v>
      </c>
      <c r="CL159" s="230">
        <v>41800</v>
      </c>
      <c r="CM159" s="229">
        <v>0.1236</v>
      </c>
      <c r="CN159" s="230">
        <v>6551200</v>
      </c>
      <c r="CO159" s="230">
        <v>10719800</v>
      </c>
      <c r="CP159" s="230">
        <v>-4168600</v>
      </c>
      <c r="CQ159" s="229">
        <v>-0.38890000000000002</v>
      </c>
      <c r="CR159" s="230">
        <v>7212400</v>
      </c>
      <c r="CS159" s="230">
        <v>10985800</v>
      </c>
      <c r="CT159" s="230">
        <v>-3773400</v>
      </c>
      <c r="CU159" s="229">
        <v>-0.34350000000000003</v>
      </c>
      <c r="CV159" s="230">
        <v>40878500</v>
      </c>
      <c r="CW159" s="230">
        <v>54036000</v>
      </c>
      <c r="CX159" s="230">
        <v>-13157500</v>
      </c>
      <c r="CY159" s="229">
        <v>-0.24349999999999999</v>
      </c>
      <c r="CZ159" s="228">
        <v>24.52</v>
      </c>
      <c r="DA159" s="228">
        <v>27.37</v>
      </c>
      <c r="DB159" s="228">
        <v>-2.85</v>
      </c>
      <c r="DC159" s="228">
        <v>-2.85</v>
      </c>
      <c r="DD159" s="228">
        <v>37.96</v>
      </c>
      <c r="DE159" s="228">
        <v>38.04</v>
      </c>
      <c r="DF159" s="228">
        <v>-13.44</v>
      </c>
      <c r="DG159" s="228">
        <v>-0.08</v>
      </c>
      <c r="DH159" s="228">
        <v>24.9</v>
      </c>
      <c r="DI159" s="228">
        <v>27.29</v>
      </c>
      <c r="DJ159" s="228">
        <v>-2.39</v>
      </c>
      <c r="DK159" s="228">
        <v>-2.39</v>
      </c>
      <c r="DL159" s="228">
        <v>24.02</v>
      </c>
      <c r="DM159" s="228">
        <v>27.48</v>
      </c>
      <c r="DN159" s="228">
        <v>-3.46</v>
      </c>
      <c r="DO159" s="228">
        <v>-3.46</v>
      </c>
      <c r="DP159" s="228">
        <v>1.1000000000000001</v>
      </c>
      <c r="DQ159" s="228">
        <v>1.02</v>
      </c>
      <c r="DR159" s="228">
        <v>0.08</v>
      </c>
      <c r="DS159" s="229">
        <v>7.8399999999999997E-2</v>
      </c>
      <c r="DT159" s="228">
        <v>300</v>
      </c>
      <c r="DU159" s="228">
        <v>280</v>
      </c>
      <c r="DV159" s="228">
        <v>0.76</v>
      </c>
      <c r="DW159" s="228">
        <v>0.56000000000000005</v>
      </c>
      <c r="DX159" s="228">
        <v>0.2</v>
      </c>
      <c r="DY159" s="229">
        <v>0.35709999999999997</v>
      </c>
      <c r="DZ159" s="229">
        <v>0.85670000000000002</v>
      </c>
      <c r="EA159" s="230">
        <v>25043900</v>
      </c>
      <c r="EB159" s="229">
        <v>4.4999999999999997E-3</v>
      </c>
      <c r="EC159" s="229">
        <v>0.85670000000000002</v>
      </c>
      <c r="ED159" s="228">
        <v>1.72</v>
      </c>
      <c r="EE159" s="229">
        <v>6.1999999999999998E-3</v>
      </c>
      <c r="EF159" s="230">
        <v>810264</v>
      </c>
      <c r="EG159" s="230">
        <v>737022</v>
      </c>
      <c r="EH159" s="229">
        <v>9.9400000000000002E-2</v>
      </c>
      <c r="EI159" s="229">
        <v>0.4703</v>
      </c>
      <c r="EJ159" s="231">
        <v>29252.23</v>
      </c>
      <c r="EK159" s="231">
        <v>21952.560000000001</v>
      </c>
      <c r="EL159" s="231">
        <v>36915.29</v>
      </c>
      <c r="EM159" s="231">
        <v>9356</v>
      </c>
      <c r="EN159" s="231">
        <v>88120.08</v>
      </c>
      <c r="EO159" s="231">
        <v>134189.54</v>
      </c>
      <c r="EP159" s="231">
        <v>-46069.46</v>
      </c>
      <c r="EQ159" s="229">
        <v>-0.34329999999999999</v>
      </c>
      <c r="ER159" s="231">
        <v>19005</v>
      </c>
      <c r="ES159" s="231">
        <v>20001</v>
      </c>
      <c r="ET159" s="231">
        <v>76422</v>
      </c>
      <c r="EU159" s="231">
        <v>112500013</v>
      </c>
      <c r="EV159" s="231">
        <v>115429</v>
      </c>
      <c r="EW159" s="231">
        <v>152272</v>
      </c>
      <c r="EX159" s="231">
        <v>-36843</v>
      </c>
      <c r="EY159" s="229">
        <v>-0.24199999999999999</v>
      </c>
      <c r="EZ159" s="229">
        <v>0.3634</v>
      </c>
      <c r="FA159" s="227" t="s">
        <v>567</v>
      </c>
      <c r="FB159" s="161">
        <f t="shared" si="3"/>
        <v>0</v>
      </c>
    </row>
    <row r="160" spans="1:158" ht="17.25" thickBot="1" x14ac:dyDescent="0.3">
      <c r="A160" s="226">
        <v>46168</v>
      </c>
      <c r="B160" s="227" t="s">
        <v>175</v>
      </c>
      <c r="C160" s="227" t="s">
        <v>273</v>
      </c>
      <c r="D160" s="228">
        <v>1300</v>
      </c>
      <c r="E160" s="228">
        <v>434.5</v>
      </c>
      <c r="F160" s="228">
        <v>438.9</v>
      </c>
      <c r="G160" s="228">
        <v>-4.4000000000000004</v>
      </c>
      <c r="H160" s="229">
        <v>-0.01</v>
      </c>
      <c r="I160" s="228">
        <v>433.7</v>
      </c>
      <c r="J160" s="228">
        <v>438.9</v>
      </c>
      <c r="K160" s="228">
        <v>-5.2</v>
      </c>
      <c r="L160" s="229">
        <v>-1.18E-2</v>
      </c>
      <c r="M160" s="228">
        <v>433.3</v>
      </c>
      <c r="N160" s="228">
        <v>439.5</v>
      </c>
      <c r="O160" s="228">
        <v>-6.2</v>
      </c>
      <c r="P160" s="229">
        <v>-1.41E-2</v>
      </c>
      <c r="Q160" s="228">
        <v>434.5</v>
      </c>
      <c r="R160" s="228">
        <v>438.9</v>
      </c>
      <c r="S160" s="228">
        <v>-4.4000000000000004</v>
      </c>
      <c r="T160" s="229">
        <v>-0.01</v>
      </c>
      <c r="U160" s="228">
        <v>436</v>
      </c>
      <c r="V160" s="228">
        <v>440.7</v>
      </c>
      <c r="W160" s="228">
        <v>-4.7</v>
      </c>
      <c r="X160" s="229">
        <v>-1.0699999999999999E-2</v>
      </c>
      <c r="Y160" s="228">
        <v>0.8</v>
      </c>
      <c r="Z160" s="228">
        <v>0.6</v>
      </c>
      <c r="AA160" s="228">
        <v>0.2</v>
      </c>
      <c r="AB160" s="229">
        <v>1.8E-3</v>
      </c>
      <c r="AC160" s="228">
        <v>-0.4</v>
      </c>
      <c r="AD160" s="228">
        <v>0.6</v>
      </c>
      <c r="AE160" s="228">
        <v>-1</v>
      </c>
      <c r="AF160" s="229">
        <v>-8.9999999999999998E-4</v>
      </c>
      <c r="AG160" s="228">
        <v>0.8</v>
      </c>
      <c r="AH160" s="228">
        <v>0</v>
      </c>
      <c r="AI160" s="228">
        <v>0.8</v>
      </c>
      <c r="AJ160" s="229">
        <v>1.8E-3</v>
      </c>
      <c r="AK160" s="228">
        <v>2.2999999999999998</v>
      </c>
      <c r="AL160" s="228">
        <v>1.8</v>
      </c>
      <c r="AM160" s="228">
        <v>0.5</v>
      </c>
      <c r="AN160" s="229">
        <v>5.3E-3</v>
      </c>
      <c r="AO160" s="228">
        <v>435.7</v>
      </c>
      <c r="AP160" s="228">
        <v>435.97</v>
      </c>
      <c r="AQ160" s="228">
        <v>0</v>
      </c>
      <c r="AR160" s="230">
        <v>22545900</v>
      </c>
      <c r="AS160" s="230">
        <v>33120100</v>
      </c>
      <c r="AT160" s="230">
        <v>-10574200</v>
      </c>
      <c r="AU160" s="229">
        <v>-0.31929999999999997</v>
      </c>
      <c r="AV160" s="230">
        <v>10242700</v>
      </c>
      <c r="AW160" s="230">
        <v>15589600</v>
      </c>
      <c r="AX160" s="230">
        <v>-5346900</v>
      </c>
      <c r="AY160" s="229">
        <v>-0.34300000000000003</v>
      </c>
      <c r="AZ160" s="230">
        <v>11581700</v>
      </c>
      <c r="BA160" s="230">
        <v>15969200</v>
      </c>
      <c r="BB160" s="230">
        <v>-4387500</v>
      </c>
      <c r="BC160" s="229">
        <v>-0.2747</v>
      </c>
      <c r="BD160" s="230">
        <v>721500</v>
      </c>
      <c r="BE160" s="230">
        <v>1561300</v>
      </c>
      <c r="BF160" s="230">
        <v>-839800</v>
      </c>
      <c r="BG160" s="229">
        <v>-0.53790000000000004</v>
      </c>
      <c r="BH160" s="230">
        <v>15876900</v>
      </c>
      <c r="BI160" s="230">
        <v>24739000</v>
      </c>
      <c r="BJ160" s="230">
        <v>-8862100</v>
      </c>
      <c r="BK160" s="229">
        <v>-0.35820000000000002</v>
      </c>
      <c r="BL160" s="230">
        <v>8010600</v>
      </c>
      <c r="BM160" s="230">
        <v>11826100</v>
      </c>
      <c r="BN160" s="230">
        <v>-3815500</v>
      </c>
      <c r="BO160" s="229">
        <v>-0.3226</v>
      </c>
      <c r="BP160" s="230">
        <v>46433400</v>
      </c>
      <c r="BQ160" s="230">
        <v>69685200</v>
      </c>
      <c r="BR160" s="230">
        <v>-23251800</v>
      </c>
      <c r="BS160" s="229">
        <v>-0.3337</v>
      </c>
      <c r="BT160" s="230">
        <v>4808947</v>
      </c>
      <c r="BU160" s="230">
        <v>4729675</v>
      </c>
      <c r="BV160" s="230">
        <v>79272</v>
      </c>
      <c r="BW160" s="229">
        <v>1.6799999999999999E-2</v>
      </c>
      <c r="BX160" s="230">
        <v>57625100</v>
      </c>
      <c r="BY160" s="230">
        <v>62853700</v>
      </c>
      <c r="BZ160" s="230">
        <v>-5228600</v>
      </c>
      <c r="CA160" s="229">
        <v>-8.3199999999999996E-2</v>
      </c>
      <c r="CB160" s="230">
        <v>5652400</v>
      </c>
      <c r="CC160" s="230">
        <v>12935000</v>
      </c>
      <c r="CD160" s="230">
        <v>-7282600</v>
      </c>
      <c r="CE160" s="229">
        <v>-0.56299999999999994</v>
      </c>
      <c r="CF160" s="230">
        <v>53102400</v>
      </c>
      <c r="CG160" s="230">
        <v>45809400</v>
      </c>
      <c r="CH160" s="230">
        <v>7293000</v>
      </c>
      <c r="CI160" s="229">
        <v>0.15920000000000001</v>
      </c>
      <c r="CJ160" s="230">
        <v>4522700</v>
      </c>
      <c r="CK160" s="230">
        <v>4109300</v>
      </c>
      <c r="CL160" s="230">
        <v>413400</v>
      </c>
      <c r="CM160" s="229">
        <v>0.10059999999999999</v>
      </c>
      <c r="CN160" s="230">
        <v>8483800</v>
      </c>
      <c r="CO160" s="230">
        <v>21661900</v>
      </c>
      <c r="CP160" s="230">
        <v>-13178100</v>
      </c>
      <c r="CQ160" s="229">
        <v>-0.60840000000000005</v>
      </c>
      <c r="CR160" s="230">
        <v>7385300</v>
      </c>
      <c r="CS160" s="230">
        <v>13417300</v>
      </c>
      <c r="CT160" s="230">
        <v>-6032000</v>
      </c>
      <c r="CU160" s="229">
        <v>-0.4496</v>
      </c>
      <c r="CV160" s="230">
        <v>73494200</v>
      </c>
      <c r="CW160" s="230">
        <v>97932900</v>
      </c>
      <c r="CX160" s="230">
        <v>-24438700</v>
      </c>
      <c r="CY160" s="229">
        <v>-0.2495</v>
      </c>
      <c r="CZ160" s="228">
        <v>27.36</v>
      </c>
      <c r="DA160" s="228">
        <v>29.1</v>
      </c>
      <c r="DB160" s="228">
        <v>-1.74</v>
      </c>
      <c r="DC160" s="228">
        <v>-1.74</v>
      </c>
      <c r="DD160" s="228">
        <v>41.08</v>
      </c>
      <c r="DE160" s="228">
        <v>41.16</v>
      </c>
      <c r="DF160" s="228">
        <v>-13.72</v>
      </c>
      <c r="DG160" s="228">
        <v>-0.08</v>
      </c>
      <c r="DH160" s="228">
        <v>27.82</v>
      </c>
      <c r="DI160" s="228">
        <v>29.43</v>
      </c>
      <c r="DJ160" s="228">
        <v>-1.61</v>
      </c>
      <c r="DK160" s="228">
        <v>-1.61</v>
      </c>
      <c r="DL160" s="228">
        <v>26.59</v>
      </c>
      <c r="DM160" s="228">
        <v>28.34</v>
      </c>
      <c r="DN160" s="228">
        <v>-1.75</v>
      </c>
      <c r="DO160" s="228">
        <v>-1.75</v>
      </c>
      <c r="DP160" s="228">
        <v>0.87</v>
      </c>
      <c r="DQ160" s="228">
        <v>0.62</v>
      </c>
      <c r="DR160" s="228">
        <v>0.25</v>
      </c>
      <c r="DS160" s="229">
        <v>0.4032</v>
      </c>
      <c r="DT160" s="228">
        <v>450</v>
      </c>
      <c r="DU160" s="228">
        <v>440</v>
      </c>
      <c r="DV160" s="228">
        <v>0.5</v>
      </c>
      <c r="DW160" s="228">
        <v>0.48</v>
      </c>
      <c r="DX160" s="228">
        <v>0.02</v>
      </c>
      <c r="DY160" s="229">
        <v>4.1700000000000001E-2</v>
      </c>
      <c r="DZ160" s="229">
        <v>0.91069999999999995</v>
      </c>
      <c r="EA160" s="230">
        <v>49918700</v>
      </c>
      <c r="EB160" s="229">
        <v>2.8E-3</v>
      </c>
      <c r="EC160" s="229">
        <v>0.91069999999999995</v>
      </c>
      <c r="ED160" s="228">
        <v>0.27</v>
      </c>
      <c r="EE160" s="229">
        <v>5.9999999999999995E-4</v>
      </c>
      <c r="EF160" s="230">
        <v>2854078</v>
      </c>
      <c r="EG160" s="230">
        <v>2466019</v>
      </c>
      <c r="EH160" s="229">
        <v>0.15740000000000001</v>
      </c>
      <c r="EI160" s="229">
        <v>0.59350000000000003</v>
      </c>
      <c r="EJ160" s="231">
        <v>72628.990000000005</v>
      </c>
      <c r="EK160" s="231">
        <v>35773.75</v>
      </c>
      <c r="EL160" s="231">
        <v>98281.32</v>
      </c>
      <c r="EM160" s="231">
        <v>18197</v>
      </c>
      <c r="EN160" s="231">
        <v>206684.06</v>
      </c>
      <c r="EO160" s="231">
        <v>311124.75</v>
      </c>
      <c r="EP160" s="231">
        <v>-104440.69</v>
      </c>
      <c r="EQ160" s="229">
        <v>-0.3357</v>
      </c>
      <c r="ER160" s="231">
        <v>38982</v>
      </c>
      <c r="ES160" s="231">
        <v>31718</v>
      </c>
      <c r="ET160" s="231">
        <v>250449</v>
      </c>
      <c r="EU160" s="231">
        <v>217835555</v>
      </c>
      <c r="EV160" s="231">
        <v>321148</v>
      </c>
      <c r="EW160" s="231">
        <v>435769</v>
      </c>
      <c r="EX160" s="231">
        <v>-114621</v>
      </c>
      <c r="EY160" s="229">
        <v>-0.26300000000000001</v>
      </c>
      <c r="EZ160" s="229">
        <v>0.33739999999999998</v>
      </c>
      <c r="FA160" s="227" t="s">
        <v>567</v>
      </c>
      <c r="FB160" s="161">
        <f t="shared" si="3"/>
        <v>0</v>
      </c>
    </row>
    <row r="161" spans="1:158" ht="17.25" thickBot="1" x14ac:dyDescent="0.3">
      <c r="A161" s="226">
        <v>46168</v>
      </c>
      <c r="B161" s="227" t="s">
        <v>184</v>
      </c>
      <c r="C161" s="227" t="s">
        <v>676</v>
      </c>
      <c r="D161" s="228">
        <v>950</v>
      </c>
      <c r="E161" s="228">
        <v>468.3</v>
      </c>
      <c r="F161" s="228">
        <v>468.45</v>
      </c>
      <c r="G161" s="228">
        <v>-0.15</v>
      </c>
      <c r="H161" s="229">
        <v>-2.9999999999999997E-4</v>
      </c>
      <c r="I161" s="228">
        <v>466.95</v>
      </c>
      <c r="J161" s="228">
        <v>471.25</v>
      </c>
      <c r="K161" s="228">
        <v>-4.3</v>
      </c>
      <c r="L161" s="229">
        <v>-9.1000000000000004E-3</v>
      </c>
      <c r="M161" s="228">
        <v>467</v>
      </c>
      <c r="N161" s="228">
        <v>472.85</v>
      </c>
      <c r="O161" s="228">
        <v>-5.85</v>
      </c>
      <c r="P161" s="229">
        <v>-1.24E-2</v>
      </c>
      <c r="Q161" s="228">
        <v>468.3</v>
      </c>
      <c r="R161" s="228">
        <v>468.45</v>
      </c>
      <c r="S161" s="228">
        <v>-0.15</v>
      </c>
      <c r="T161" s="229">
        <v>-2.9999999999999997E-4</v>
      </c>
      <c r="U161" s="228">
        <v>467.3</v>
      </c>
      <c r="V161" s="228">
        <v>467.6</v>
      </c>
      <c r="W161" s="228">
        <v>-0.3</v>
      </c>
      <c r="X161" s="229">
        <v>-5.9999999999999995E-4</v>
      </c>
      <c r="Y161" s="228">
        <v>1.35</v>
      </c>
      <c r="Z161" s="228">
        <v>1.6</v>
      </c>
      <c r="AA161" s="228">
        <v>-0.25</v>
      </c>
      <c r="AB161" s="229">
        <v>2.8999999999999998E-3</v>
      </c>
      <c r="AC161" s="228">
        <v>0.05</v>
      </c>
      <c r="AD161" s="228">
        <v>1.6</v>
      </c>
      <c r="AE161" s="228">
        <v>-1.55</v>
      </c>
      <c r="AF161" s="229">
        <v>1E-4</v>
      </c>
      <c r="AG161" s="228">
        <v>1.35</v>
      </c>
      <c r="AH161" s="228">
        <v>-2.8</v>
      </c>
      <c r="AI161" s="228">
        <v>4.1500000000000004</v>
      </c>
      <c r="AJ161" s="229">
        <v>2.8999999999999998E-3</v>
      </c>
      <c r="AK161" s="228">
        <v>0.35</v>
      </c>
      <c r="AL161" s="228">
        <v>-3.65</v>
      </c>
      <c r="AM161" s="228">
        <v>4</v>
      </c>
      <c r="AN161" s="229">
        <v>6.9999999999999999E-4</v>
      </c>
      <c r="AO161" s="228">
        <v>473.64</v>
      </c>
      <c r="AP161" s="228">
        <v>471.24</v>
      </c>
      <c r="AQ161" s="228">
        <v>0</v>
      </c>
      <c r="AR161" s="230">
        <v>10327450</v>
      </c>
      <c r="AS161" s="230">
        <v>10112750</v>
      </c>
      <c r="AT161" s="230">
        <v>214700</v>
      </c>
      <c r="AU161" s="229">
        <v>2.12E-2</v>
      </c>
      <c r="AV161" s="230">
        <v>3690750</v>
      </c>
      <c r="AW161" s="230">
        <v>4090700</v>
      </c>
      <c r="AX161" s="230">
        <v>-399950</v>
      </c>
      <c r="AY161" s="229">
        <v>-9.7799999999999998E-2</v>
      </c>
      <c r="AZ161" s="230">
        <v>6448600</v>
      </c>
      <c r="BA161" s="230">
        <v>5930850</v>
      </c>
      <c r="BB161" s="230">
        <v>517750</v>
      </c>
      <c r="BC161" s="229">
        <v>8.7300000000000003E-2</v>
      </c>
      <c r="BD161" s="230">
        <v>188100</v>
      </c>
      <c r="BE161" s="230">
        <v>91200</v>
      </c>
      <c r="BF161" s="230">
        <v>96900</v>
      </c>
      <c r="BG161" s="229">
        <v>1.0625</v>
      </c>
      <c r="BH161" s="230">
        <v>10938300</v>
      </c>
      <c r="BI161" s="230">
        <v>13476700</v>
      </c>
      <c r="BJ161" s="230">
        <v>-2538400</v>
      </c>
      <c r="BK161" s="229">
        <v>-0.18840000000000001</v>
      </c>
      <c r="BL161" s="230">
        <v>6611050</v>
      </c>
      <c r="BM161" s="230">
        <v>5512850</v>
      </c>
      <c r="BN161" s="230">
        <v>1098200</v>
      </c>
      <c r="BO161" s="229">
        <v>0.19919999999999999</v>
      </c>
      <c r="BP161" s="230">
        <v>27876800</v>
      </c>
      <c r="BQ161" s="230">
        <v>29102300</v>
      </c>
      <c r="BR161" s="230">
        <v>-1225500</v>
      </c>
      <c r="BS161" s="229">
        <v>-4.2099999999999999E-2</v>
      </c>
      <c r="BT161" s="230">
        <v>2367430</v>
      </c>
      <c r="BU161" s="230">
        <v>3011092</v>
      </c>
      <c r="BV161" s="230">
        <v>-643662</v>
      </c>
      <c r="BW161" s="229">
        <v>-0.21379999999999999</v>
      </c>
      <c r="BX161" s="230">
        <v>13100500</v>
      </c>
      <c r="BY161" s="230">
        <v>14368750</v>
      </c>
      <c r="BZ161" s="230">
        <v>-1268250</v>
      </c>
      <c r="CA161" s="229">
        <v>-8.8300000000000003E-2</v>
      </c>
      <c r="CB161" s="230">
        <v>1444000</v>
      </c>
      <c r="CC161" s="230">
        <v>3126450</v>
      </c>
      <c r="CD161" s="230">
        <v>-1682450</v>
      </c>
      <c r="CE161" s="229">
        <v>-0.53810000000000002</v>
      </c>
      <c r="CF161" s="230">
        <v>12683450</v>
      </c>
      <c r="CG161" s="230">
        <v>10871800</v>
      </c>
      <c r="CH161" s="230">
        <v>1811650</v>
      </c>
      <c r="CI161" s="229">
        <v>0.1666</v>
      </c>
      <c r="CJ161" s="230">
        <v>417050</v>
      </c>
      <c r="CK161" s="230">
        <v>370500</v>
      </c>
      <c r="CL161" s="230">
        <v>46550</v>
      </c>
      <c r="CM161" s="229">
        <v>0.12559999999999999</v>
      </c>
      <c r="CN161" s="230">
        <v>4893450</v>
      </c>
      <c r="CO161" s="230">
        <v>10359750</v>
      </c>
      <c r="CP161" s="230">
        <v>-5466300</v>
      </c>
      <c r="CQ161" s="229">
        <v>-0.52759999999999996</v>
      </c>
      <c r="CR161" s="230">
        <v>4163850</v>
      </c>
      <c r="CS161" s="230">
        <v>6457150</v>
      </c>
      <c r="CT161" s="230">
        <v>-2293300</v>
      </c>
      <c r="CU161" s="229">
        <v>-0.35520000000000002</v>
      </c>
      <c r="CV161" s="230">
        <v>22157800</v>
      </c>
      <c r="CW161" s="230">
        <v>31185650</v>
      </c>
      <c r="CX161" s="230">
        <v>-9027850</v>
      </c>
      <c r="CY161" s="229">
        <v>-0.28949999999999998</v>
      </c>
      <c r="CZ161" s="228">
        <v>48.9</v>
      </c>
      <c r="DA161" s="228">
        <v>52.71</v>
      </c>
      <c r="DB161" s="228">
        <v>-3.81</v>
      </c>
      <c r="DC161" s="228">
        <v>-3.81</v>
      </c>
      <c r="DD161" s="228">
        <v>65.510000000000005</v>
      </c>
      <c r="DE161" s="228">
        <v>65.67</v>
      </c>
      <c r="DF161" s="228">
        <v>-16.61</v>
      </c>
      <c r="DG161" s="228">
        <v>-0.16</v>
      </c>
      <c r="DH161" s="228">
        <v>49.39</v>
      </c>
      <c r="DI161" s="228">
        <v>53.1</v>
      </c>
      <c r="DJ161" s="228">
        <v>-3.71</v>
      </c>
      <c r="DK161" s="228">
        <v>-3.71</v>
      </c>
      <c r="DL161" s="228">
        <v>48.17</v>
      </c>
      <c r="DM161" s="228">
        <v>51.96</v>
      </c>
      <c r="DN161" s="228">
        <v>-3.79</v>
      </c>
      <c r="DO161" s="228">
        <v>-3.79</v>
      </c>
      <c r="DP161" s="228">
        <v>0.85</v>
      </c>
      <c r="DQ161" s="228">
        <v>0.62</v>
      </c>
      <c r="DR161" s="228">
        <v>0.23</v>
      </c>
      <c r="DS161" s="229">
        <v>0.371</v>
      </c>
      <c r="DT161" s="228">
        <v>500</v>
      </c>
      <c r="DU161" s="228">
        <v>470</v>
      </c>
      <c r="DV161" s="228">
        <v>0.6</v>
      </c>
      <c r="DW161" s="228">
        <v>0.41</v>
      </c>
      <c r="DX161" s="228">
        <v>0.19</v>
      </c>
      <c r="DY161" s="229">
        <v>0.46339999999999998</v>
      </c>
      <c r="DZ161" s="229">
        <v>0.90069999999999995</v>
      </c>
      <c r="EA161" s="230">
        <v>11242300</v>
      </c>
      <c r="EB161" s="229">
        <v>2.8E-3</v>
      </c>
      <c r="EC161" s="229">
        <v>0.90069999999999995</v>
      </c>
      <c r="ED161" s="228">
        <v>-2.4</v>
      </c>
      <c r="EE161" s="229">
        <v>-5.1000000000000004E-3</v>
      </c>
      <c r="EF161" s="230">
        <v>712162</v>
      </c>
      <c r="EG161" s="230">
        <v>1027720</v>
      </c>
      <c r="EH161" s="229">
        <v>-0.307</v>
      </c>
      <c r="EI161" s="229">
        <v>0.30080000000000001</v>
      </c>
      <c r="EJ161" s="231">
        <v>56254.239999999998</v>
      </c>
      <c r="EK161" s="231">
        <v>30835.17</v>
      </c>
      <c r="EL161" s="231">
        <v>48751.47</v>
      </c>
      <c r="EM161" s="231">
        <v>8836</v>
      </c>
      <c r="EN161" s="231">
        <v>135840.88</v>
      </c>
      <c r="EO161" s="231">
        <v>140820.54999999999</v>
      </c>
      <c r="EP161" s="231">
        <v>-4979.67</v>
      </c>
      <c r="EQ161" s="229">
        <v>-3.5400000000000001E-2</v>
      </c>
      <c r="ER161" s="231">
        <v>25570</v>
      </c>
      <c r="ES161" s="231">
        <v>18759</v>
      </c>
      <c r="ET161" s="231">
        <v>61345</v>
      </c>
      <c r="EU161" s="231">
        <v>24101986</v>
      </c>
      <c r="EV161" s="231">
        <v>105675</v>
      </c>
      <c r="EW161" s="231">
        <v>152016</v>
      </c>
      <c r="EX161" s="231">
        <v>-46341</v>
      </c>
      <c r="EY161" s="229">
        <v>-0.30480000000000002</v>
      </c>
      <c r="EZ161" s="229">
        <v>0.91930000000000001</v>
      </c>
      <c r="FA161" s="227" t="s">
        <v>567</v>
      </c>
      <c r="FB161" s="161">
        <f t="shared" si="3"/>
        <v>0</v>
      </c>
    </row>
    <row r="162" spans="1:158" ht="17.25" thickBot="1" x14ac:dyDescent="0.3">
      <c r="A162" s="226">
        <v>46168</v>
      </c>
      <c r="B162" s="227" t="s">
        <v>206</v>
      </c>
      <c r="C162" s="227" t="s">
        <v>644</v>
      </c>
      <c r="D162" s="228">
        <v>350</v>
      </c>
      <c r="E162" s="231">
        <v>1796.1</v>
      </c>
      <c r="F162" s="231">
        <v>1824.6</v>
      </c>
      <c r="G162" s="228">
        <v>-28.5</v>
      </c>
      <c r="H162" s="229">
        <v>-1.5599999999999999E-2</v>
      </c>
      <c r="I162" s="231">
        <v>1785.4</v>
      </c>
      <c r="J162" s="231">
        <v>1809.6</v>
      </c>
      <c r="K162" s="228">
        <v>-24.2</v>
      </c>
      <c r="L162" s="229">
        <v>-1.34E-2</v>
      </c>
      <c r="M162" s="231">
        <v>1787</v>
      </c>
      <c r="N162" s="231">
        <v>1813.8</v>
      </c>
      <c r="O162" s="228">
        <v>-26.8</v>
      </c>
      <c r="P162" s="229">
        <v>-1.4800000000000001E-2</v>
      </c>
      <c r="Q162" s="231">
        <v>1796.1</v>
      </c>
      <c r="R162" s="231">
        <v>1824.6</v>
      </c>
      <c r="S162" s="228">
        <v>-28.5</v>
      </c>
      <c r="T162" s="229">
        <v>-1.5599999999999999E-2</v>
      </c>
      <c r="U162" s="231">
        <v>1800</v>
      </c>
      <c r="V162" s="231">
        <v>1828.1</v>
      </c>
      <c r="W162" s="228">
        <v>-28.1</v>
      </c>
      <c r="X162" s="229">
        <v>-1.54E-2</v>
      </c>
      <c r="Y162" s="228">
        <v>10.7</v>
      </c>
      <c r="Z162" s="228">
        <v>4.2</v>
      </c>
      <c r="AA162" s="228">
        <v>6.5</v>
      </c>
      <c r="AB162" s="229">
        <v>6.0000000000000001E-3</v>
      </c>
      <c r="AC162" s="228">
        <v>1.6</v>
      </c>
      <c r="AD162" s="228">
        <v>4.2</v>
      </c>
      <c r="AE162" s="228">
        <v>-2.6</v>
      </c>
      <c r="AF162" s="229">
        <v>8.9999999999999998E-4</v>
      </c>
      <c r="AG162" s="228">
        <v>10.7</v>
      </c>
      <c r="AH162" s="228">
        <v>15</v>
      </c>
      <c r="AI162" s="228">
        <v>-4.3</v>
      </c>
      <c r="AJ162" s="229">
        <v>6.0000000000000001E-3</v>
      </c>
      <c r="AK162" s="228">
        <v>14.6</v>
      </c>
      <c r="AL162" s="228">
        <v>18.5</v>
      </c>
      <c r="AM162" s="228">
        <v>-3.9</v>
      </c>
      <c r="AN162" s="229">
        <v>8.2000000000000007E-3</v>
      </c>
      <c r="AO162" s="231">
        <v>1793.34</v>
      </c>
      <c r="AP162" s="231">
        <v>1805.95</v>
      </c>
      <c r="AQ162" s="228">
        <v>0</v>
      </c>
      <c r="AR162" s="230">
        <v>704200</v>
      </c>
      <c r="AS162" s="230">
        <v>2155650</v>
      </c>
      <c r="AT162" s="230">
        <v>-1451450</v>
      </c>
      <c r="AU162" s="229">
        <v>-0.67330000000000001</v>
      </c>
      <c r="AV162" s="230">
        <v>360150</v>
      </c>
      <c r="AW162" s="230">
        <v>1150450</v>
      </c>
      <c r="AX162" s="230">
        <v>-790300</v>
      </c>
      <c r="AY162" s="229">
        <v>-0.68689999999999996</v>
      </c>
      <c r="AZ162" s="230">
        <v>343000</v>
      </c>
      <c r="BA162" s="230">
        <v>1002050</v>
      </c>
      <c r="BB162" s="230">
        <v>-659050</v>
      </c>
      <c r="BC162" s="229">
        <v>-0.65769999999999995</v>
      </c>
      <c r="BD162" s="230">
        <v>1050</v>
      </c>
      <c r="BE162" s="230">
        <v>3150</v>
      </c>
      <c r="BF162" s="230">
        <v>-2100</v>
      </c>
      <c r="BG162" s="229">
        <v>-0.66669999999999996</v>
      </c>
      <c r="BH162" s="230">
        <v>663250</v>
      </c>
      <c r="BI162" s="230">
        <v>953050</v>
      </c>
      <c r="BJ162" s="230">
        <v>-289800</v>
      </c>
      <c r="BK162" s="229">
        <v>-0.30409999999999998</v>
      </c>
      <c r="BL162" s="230">
        <v>267400</v>
      </c>
      <c r="BM162" s="230">
        <v>642600</v>
      </c>
      <c r="BN162" s="230">
        <v>-375200</v>
      </c>
      <c r="BO162" s="229">
        <v>-0.58389999999999997</v>
      </c>
      <c r="BP162" s="230">
        <v>1634850</v>
      </c>
      <c r="BQ162" s="230">
        <v>3751300</v>
      </c>
      <c r="BR162" s="230">
        <v>-2116450</v>
      </c>
      <c r="BS162" s="229">
        <v>-0.56420000000000003</v>
      </c>
      <c r="BT162" s="230">
        <v>305766</v>
      </c>
      <c r="BU162" s="230">
        <v>265765</v>
      </c>
      <c r="BV162" s="230">
        <v>40001</v>
      </c>
      <c r="BW162" s="229">
        <v>0.15049999999999999</v>
      </c>
      <c r="BX162" s="230">
        <v>3513300</v>
      </c>
      <c r="BY162" s="230">
        <v>4188800</v>
      </c>
      <c r="BZ162" s="230">
        <v>-675500</v>
      </c>
      <c r="CA162" s="229">
        <v>-0.1613</v>
      </c>
      <c r="CB162" s="230">
        <v>670250</v>
      </c>
      <c r="CC162" s="230">
        <v>770350</v>
      </c>
      <c r="CD162" s="230">
        <v>-100100</v>
      </c>
      <c r="CE162" s="229">
        <v>-0.12989999999999999</v>
      </c>
      <c r="CF162" s="230">
        <v>3356500</v>
      </c>
      <c r="CG162" s="230">
        <v>3261650</v>
      </c>
      <c r="CH162" s="230">
        <v>94850</v>
      </c>
      <c r="CI162" s="229">
        <v>2.9100000000000001E-2</v>
      </c>
      <c r="CJ162" s="230">
        <v>156800</v>
      </c>
      <c r="CK162" s="230">
        <v>156800</v>
      </c>
      <c r="CL162" s="228">
        <v>0</v>
      </c>
      <c r="CM162" s="229">
        <v>0</v>
      </c>
      <c r="CN162" s="230">
        <v>189000</v>
      </c>
      <c r="CO162" s="230">
        <v>954450</v>
      </c>
      <c r="CP162" s="230">
        <v>-765450</v>
      </c>
      <c r="CQ162" s="229">
        <v>-0.80200000000000005</v>
      </c>
      <c r="CR162" s="230">
        <v>77350</v>
      </c>
      <c r="CS162" s="230">
        <v>615650</v>
      </c>
      <c r="CT162" s="230">
        <v>-538300</v>
      </c>
      <c r="CU162" s="229">
        <v>-0.87439999999999996</v>
      </c>
      <c r="CV162" s="230">
        <v>3779650</v>
      </c>
      <c r="CW162" s="230">
        <v>5758900</v>
      </c>
      <c r="CX162" s="230">
        <v>-1979250</v>
      </c>
      <c r="CY162" s="229">
        <v>-0.34370000000000001</v>
      </c>
      <c r="CZ162" s="228">
        <v>28.04</v>
      </c>
      <c r="DA162" s="228">
        <v>29.61</v>
      </c>
      <c r="DB162" s="228">
        <v>-1.57</v>
      </c>
      <c r="DC162" s="228">
        <v>-1.57</v>
      </c>
      <c r="DD162" s="228">
        <v>39.01</v>
      </c>
      <c r="DE162" s="228">
        <v>39.06</v>
      </c>
      <c r="DF162" s="228">
        <v>-10.97</v>
      </c>
      <c r="DG162" s="228">
        <v>-0.05</v>
      </c>
      <c r="DH162" s="228">
        <v>28.12</v>
      </c>
      <c r="DI162" s="228">
        <v>28.85</v>
      </c>
      <c r="DJ162" s="228">
        <v>-0.73</v>
      </c>
      <c r="DK162" s="228">
        <v>-0.73</v>
      </c>
      <c r="DL162" s="228">
        <v>27.85</v>
      </c>
      <c r="DM162" s="228">
        <v>31.49</v>
      </c>
      <c r="DN162" s="228">
        <v>-3.64</v>
      </c>
      <c r="DO162" s="228">
        <v>-3.64</v>
      </c>
      <c r="DP162" s="228">
        <v>0.41</v>
      </c>
      <c r="DQ162" s="228">
        <v>0.65</v>
      </c>
      <c r="DR162" s="228">
        <v>-0.24</v>
      </c>
      <c r="DS162" s="229">
        <v>-0.36919999999999997</v>
      </c>
      <c r="DT162" s="231">
        <v>1840</v>
      </c>
      <c r="DU162" s="231">
        <v>1700</v>
      </c>
      <c r="DV162" s="228">
        <v>0.4</v>
      </c>
      <c r="DW162" s="228">
        <v>0.67</v>
      </c>
      <c r="DX162" s="228">
        <v>-0.27</v>
      </c>
      <c r="DY162" s="229">
        <v>-0.40300000000000002</v>
      </c>
      <c r="DZ162" s="229">
        <v>0.83979999999999999</v>
      </c>
      <c r="EA162" s="230">
        <v>3418450</v>
      </c>
      <c r="EB162" s="229">
        <v>5.1000000000000004E-3</v>
      </c>
      <c r="EC162" s="229">
        <v>0.83979999999999999</v>
      </c>
      <c r="ED162" s="228">
        <v>12.61</v>
      </c>
      <c r="EE162" s="229">
        <v>7.0000000000000001E-3</v>
      </c>
      <c r="EF162" s="230">
        <v>166932</v>
      </c>
      <c r="EG162" s="230">
        <v>125059</v>
      </c>
      <c r="EH162" s="229">
        <v>0.33479999999999999</v>
      </c>
      <c r="EI162" s="229">
        <v>0.54590000000000005</v>
      </c>
      <c r="EJ162" s="231">
        <v>12289.37</v>
      </c>
      <c r="EK162" s="231">
        <v>4857.82</v>
      </c>
      <c r="EL162" s="231">
        <v>12671.99</v>
      </c>
      <c r="EM162" s="231">
        <v>4359</v>
      </c>
      <c r="EN162" s="231">
        <v>29819.18</v>
      </c>
      <c r="EO162" s="231">
        <v>68132.34</v>
      </c>
      <c r="EP162" s="231">
        <v>-38313.160000000003</v>
      </c>
      <c r="EQ162" s="229">
        <v>-0.56230000000000002</v>
      </c>
      <c r="ER162" s="231">
        <v>3497</v>
      </c>
      <c r="ES162" s="231">
        <v>1343</v>
      </c>
      <c r="ET162" s="231">
        <v>63108</v>
      </c>
      <c r="EU162" s="231">
        <v>21502901</v>
      </c>
      <c r="EV162" s="231">
        <v>67949</v>
      </c>
      <c r="EW162" s="231">
        <v>104602</v>
      </c>
      <c r="EX162" s="231">
        <v>-36653</v>
      </c>
      <c r="EY162" s="229">
        <v>-0.35039999999999999</v>
      </c>
      <c r="EZ162" s="229">
        <v>0.17580000000000001</v>
      </c>
      <c r="FA162" s="227" t="s">
        <v>567</v>
      </c>
      <c r="FB162" s="161">
        <f t="shared" ref="FB162:FB194" si="4">BX229-CB229</f>
        <v>0</v>
      </c>
    </row>
    <row r="163" spans="1:158" ht="17.25" thickBot="1" x14ac:dyDescent="0.3">
      <c r="A163" s="226">
        <v>46168</v>
      </c>
      <c r="B163" s="227" t="s">
        <v>168</v>
      </c>
      <c r="C163" s="227" t="s">
        <v>274</v>
      </c>
      <c r="D163" s="228">
        <v>500</v>
      </c>
      <c r="E163" s="231">
        <v>1485.6</v>
      </c>
      <c r="F163" s="231">
        <v>1488</v>
      </c>
      <c r="G163" s="228">
        <v>-2.4</v>
      </c>
      <c r="H163" s="229">
        <v>-1.6000000000000001E-3</v>
      </c>
      <c r="I163" s="231">
        <v>1478.5</v>
      </c>
      <c r="J163" s="231">
        <v>1477.2</v>
      </c>
      <c r="K163" s="228">
        <v>1.3</v>
      </c>
      <c r="L163" s="229">
        <v>8.9999999999999998E-4</v>
      </c>
      <c r="M163" s="231">
        <v>1474.9</v>
      </c>
      <c r="N163" s="231">
        <v>1478.1</v>
      </c>
      <c r="O163" s="228">
        <v>-3.2</v>
      </c>
      <c r="P163" s="229">
        <v>-2.2000000000000001E-3</v>
      </c>
      <c r="Q163" s="231">
        <v>1485.6</v>
      </c>
      <c r="R163" s="231">
        <v>1488</v>
      </c>
      <c r="S163" s="228">
        <v>-2.4</v>
      </c>
      <c r="T163" s="229">
        <v>-1.6000000000000001E-3</v>
      </c>
      <c r="U163" s="231">
        <v>1481</v>
      </c>
      <c r="V163" s="231">
        <v>1491.6</v>
      </c>
      <c r="W163" s="228">
        <v>-10.6</v>
      </c>
      <c r="X163" s="229">
        <v>-7.1000000000000004E-3</v>
      </c>
      <c r="Y163" s="228">
        <v>7.1</v>
      </c>
      <c r="Z163" s="228">
        <v>0.9</v>
      </c>
      <c r="AA163" s="228">
        <v>6.2</v>
      </c>
      <c r="AB163" s="229">
        <v>4.7999999999999996E-3</v>
      </c>
      <c r="AC163" s="228">
        <v>-3.6</v>
      </c>
      <c r="AD163" s="228">
        <v>0.9</v>
      </c>
      <c r="AE163" s="228">
        <v>-4.5</v>
      </c>
      <c r="AF163" s="229">
        <v>-2.3999999999999998E-3</v>
      </c>
      <c r="AG163" s="228">
        <v>7.1</v>
      </c>
      <c r="AH163" s="228">
        <v>10.8</v>
      </c>
      <c r="AI163" s="228">
        <v>-3.7</v>
      </c>
      <c r="AJ163" s="229">
        <v>4.7999999999999996E-3</v>
      </c>
      <c r="AK163" s="228">
        <v>2.5</v>
      </c>
      <c r="AL163" s="228">
        <v>14.4</v>
      </c>
      <c r="AM163" s="228">
        <v>-11.9</v>
      </c>
      <c r="AN163" s="229">
        <v>1.6999999999999999E-3</v>
      </c>
      <c r="AO163" s="231">
        <v>1472.63</v>
      </c>
      <c r="AP163" s="231">
        <v>1483.13</v>
      </c>
      <c r="AQ163" s="228">
        <v>0</v>
      </c>
      <c r="AR163" s="230">
        <v>2715000</v>
      </c>
      <c r="AS163" s="230">
        <v>4916500</v>
      </c>
      <c r="AT163" s="230">
        <v>-2201500</v>
      </c>
      <c r="AU163" s="229">
        <v>-0.44779999999999998</v>
      </c>
      <c r="AV163" s="230">
        <v>1297500</v>
      </c>
      <c r="AW163" s="230">
        <v>2302000</v>
      </c>
      <c r="AX163" s="230">
        <v>-1004500</v>
      </c>
      <c r="AY163" s="229">
        <v>-0.43640000000000001</v>
      </c>
      <c r="AZ163" s="230">
        <v>1379500</v>
      </c>
      <c r="BA163" s="230">
        <v>2597000</v>
      </c>
      <c r="BB163" s="230">
        <v>-1217500</v>
      </c>
      <c r="BC163" s="229">
        <v>-0.46879999999999999</v>
      </c>
      <c r="BD163" s="230">
        <v>38000</v>
      </c>
      <c r="BE163" s="230">
        <v>17500</v>
      </c>
      <c r="BF163" s="230">
        <v>20500</v>
      </c>
      <c r="BG163" s="229">
        <v>1.1714</v>
      </c>
      <c r="BH163" s="230">
        <v>2031500</v>
      </c>
      <c r="BI163" s="230">
        <v>3567000</v>
      </c>
      <c r="BJ163" s="230">
        <v>-1535500</v>
      </c>
      <c r="BK163" s="229">
        <v>-0.43049999999999999</v>
      </c>
      <c r="BL163" s="230">
        <v>831500</v>
      </c>
      <c r="BM163" s="230">
        <v>1256500</v>
      </c>
      <c r="BN163" s="230">
        <v>-425000</v>
      </c>
      <c r="BO163" s="229">
        <v>-0.3382</v>
      </c>
      <c r="BP163" s="230">
        <v>5578000</v>
      </c>
      <c r="BQ163" s="230">
        <v>9740000</v>
      </c>
      <c r="BR163" s="230">
        <v>-4162000</v>
      </c>
      <c r="BS163" s="229">
        <v>-0.42730000000000001</v>
      </c>
      <c r="BT163" s="230">
        <v>461653</v>
      </c>
      <c r="BU163" s="230">
        <v>664332</v>
      </c>
      <c r="BV163" s="230">
        <v>-202679</v>
      </c>
      <c r="BW163" s="229">
        <v>-0.30509999999999998</v>
      </c>
      <c r="BX163" s="230">
        <v>6704500</v>
      </c>
      <c r="BY163" s="230">
        <v>7140000</v>
      </c>
      <c r="BZ163" s="230">
        <v>-435500</v>
      </c>
      <c r="CA163" s="229">
        <v>-6.0999999999999999E-2</v>
      </c>
      <c r="CB163" s="230">
        <v>268500</v>
      </c>
      <c r="CC163" s="230">
        <v>1153500</v>
      </c>
      <c r="CD163" s="230">
        <v>-885000</v>
      </c>
      <c r="CE163" s="229">
        <v>-0.76719999999999999</v>
      </c>
      <c r="CF163" s="230">
        <v>6612000</v>
      </c>
      <c r="CG163" s="230">
        <v>5915500</v>
      </c>
      <c r="CH163" s="230">
        <v>696500</v>
      </c>
      <c r="CI163" s="229">
        <v>0.1177</v>
      </c>
      <c r="CJ163" s="230">
        <v>92500</v>
      </c>
      <c r="CK163" s="230">
        <v>71000</v>
      </c>
      <c r="CL163" s="230">
        <v>21500</v>
      </c>
      <c r="CM163" s="229">
        <v>0.30280000000000001</v>
      </c>
      <c r="CN163" s="230">
        <v>571500</v>
      </c>
      <c r="CO163" s="230">
        <v>3393500</v>
      </c>
      <c r="CP163" s="230">
        <v>-2822000</v>
      </c>
      <c r="CQ163" s="229">
        <v>-0.83160000000000001</v>
      </c>
      <c r="CR163" s="230">
        <v>341500</v>
      </c>
      <c r="CS163" s="230">
        <v>1643500</v>
      </c>
      <c r="CT163" s="230">
        <v>-1302000</v>
      </c>
      <c r="CU163" s="229">
        <v>-0.79220000000000002</v>
      </c>
      <c r="CV163" s="230">
        <v>7617500</v>
      </c>
      <c r="CW163" s="230">
        <v>12177000</v>
      </c>
      <c r="CX163" s="230">
        <v>-4559500</v>
      </c>
      <c r="CY163" s="229">
        <v>-0.37440000000000001</v>
      </c>
      <c r="CZ163" s="228">
        <v>23.46</v>
      </c>
      <c r="DA163" s="228">
        <v>23.98</v>
      </c>
      <c r="DB163" s="228">
        <v>-0.52</v>
      </c>
      <c r="DC163" s="228">
        <v>-0.52</v>
      </c>
      <c r="DD163" s="228">
        <v>26.22</v>
      </c>
      <c r="DE163" s="228">
        <v>26.28</v>
      </c>
      <c r="DF163" s="228">
        <v>-2.76</v>
      </c>
      <c r="DG163" s="228">
        <v>-0.06</v>
      </c>
      <c r="DH163" s="228">
        <v>23.45</v>
      </c>
      <c r="DI163" s="228">
        <v>23.99</v>
      </c>
      <c r="DJ163" s="228">
        <v>-0.54</v>
      </c>
      <c r="DK163" s="228">
        <v>-0.54</v>
      </c>
      <c r="DL163" s="228">
        <v>23.49</v>
      </c>
      <c r="DM163" s="228">
        <v>23.97</v>
      </c>
      <c r="DN163" s="228">
        <v>-0.48</v>
      </c>
      <c r="DO163" s="228">
        <v>-0.48</v>
      </c>
      <c r="DP163" s="228">
        <v>0.6</v>
      </c>
      <c r="DQ163" s="228">
        <v>0.48</v>
      </c>
      <c r="DR163" s="228">
        <v>0.12</v>
      </c>
      <c r="DS163" s="229">
        <v>0.25</v>
      </c>
      <c r="DT163" s="231">
        <v>1500</v>
      </c>
      <c r="DU163" s="231">
        <v>1340</v>
      </c>
      <c r="DV163" s="228">
        <v>0.41</v>
      </c>
      <c r="DW163" s="228">
        <v>0.35</v>
      </c>
      <c r="DX163" s="228">
        <v>0.06</v>
      </c>
      <c r="DY163" s="229">
        <v>0.1714</v>
      </c>
      <c r="DZ163" s="229">
        <v>0.96150000000000002</v>
      </c>
      <c r="EA163" s="230">
        <v>5986500</v>
      </c>
      <c r="EB163" s="229">
        <v>7.3000000000000001E-3</v>
      </c>
      <c r="EC163" s="229">
        <v>0.96150000000000002</v>
      </c>
      <c r="ED163" s="228">
        <v>10.5</v>
      </c>
      <c r="EE163" s="229">
        <v>7.1000000000000004E-3</v>
      </c>
      <c r="EF163" s="230">
        <v>262982</v>
      </c>
      <c r="EG163" s="230">
        <v>332597</v>
      </c>
      <c r="EH163" s="229">
        <v>-0.20930000000000001</v>
      </c>
      <c r="EI163" s="229">
        <v>0.56969999999999998</v>
      </c>
      <c r="EJ163" s="231">
        <v>30932.86</v>
      </c>
      <c r="EK163" s="231">
        <v>12008.57</v>
      </c>
      <c r="EL163" s="231">
        <v>40130.94</v>
      </c>
      <c r="EM163" s="231">
        <v>6248</v>
      </c>
      <c r="EN163" s="231">
        <v>83072.37</v>
      </c>
      <c r="EO163" s="231">
        <v>145894.16</v>
      </c>
      <c r="EP163" s="231">
        <v>-62821.79</v>
      </c>
      <c r="EQ163" s="229">
        <v>-0.43059999999999998</v>
      </c>
      <c r="ER163" s="231">
        <v>8745</v>
      </c>
      <c r="ES163" s="231">
        <v>4835</v>
      </c>
      <c r="ET163" s="231">
        <v>99598</v>
      </c>
      <c r="EU163" s="231">
        <v>31214205</v>
      </c>
      <c r="EV163" s="231">
        <v>113177</v>
      </c>
      <c r="EW163" s="231">
        <v>180813</v>
      </c>
      <c r="EX163" s="231">
        <v>-67636</v>
      </c>
      <c r="EY163" s="229">
        <v>-0.37409999999999999</v>
      </c>
      <c r="EZ163" s="229">
        <v>0.24399999999999999</v>
      </c>
      <c r="FA163" s="227" t="s">
        <v>567</v>
      </c>
      <c r="FB163" s="161">
        <f t="shared" si="4"/>
        <v>0</v>
      </c>
    </row>
    <row r="164" spans="1:158" ht="17.25" thickBot="1" x14ac:dyDescent="0.3">
      <c r="A164" s="226">
        <v>46168</v>
      </c>
      <c r="B164" s="227" t="s">
        <v>498</v>
      </c>
      <c r="C164" s="227" t="s">
        <v>483</v>
      </c>
      <c r="D164" s="228">
        <v>175</v>
      </c>
      <c r="E164" s="231">
        <v>2807.2</v>
      </c>
      <c r="F164" s="231">
        <v>2818.1</v>
      </c>
      <c r="G164" s="228">
        <v>-10.9</v>
      </c>
      <c r="H164" s="229">
        <v>-3.8999999999999998E-3</v>
      </c>
      <c r="I164" s="231">
        <v>2837.9</v>
      </c>
      <c r="J164" s="231">
        <v>2849</v>
      </c>
      <c r="K164" s="228">
        <v>-11.1</v>
      </c>
      <c r="L164" s="229">
        <v>-3.8999999999999998E-3</v>
      </c>
      <c r="M164" s="231">
        <v>2844.9</v>
      </c>
      <c r="N164" s="231">
        <v>2862.8</v>
      </c>
      <c r="O164" s="228">
        <v>-17.899999999999999</v>
      </c>
      <c r="P164" s="229">
        <v>-6.3E-3</v>
      </c>
      <c r="Q164" s="231">
        <v>2807.2</v>
      </c>
      <c r="R164" s="231">
        <v>2818.1</v>
      </c>
      <c r="S164" s="228">
        <v>-10.9</v>
      </c>
      <c r="T164" s="229">
        <v>-3.8999999999999998E-3</v>
      </c>
      <c r="U164" s="231">
        <v>2783.4</v>
      </c>
      <c r="V164" s="231">
        <v>2787.7</v>
      </c>
      <c r="W164" s="228">
        <v>-4.3</v>
      </c>
      <c r="X164" s="229">
        <v>-1.5E-3</v>
      </c>
      <c r="Y164" s="228">
        <v>-30.7</v>
      </c>
      <c r="Z164" s="228">
        <v>13.8</v>
      </c>
      <c r="AA164" s="228">
        <v>-44.5</v>
      </c>
      <c r="AB164" s="229">
        <v>-1.0800000000000001E-2</v>
      </c>
      <c r="AC164" s="228">
        <v>7</v>
      </c>
      <c r="AD164" s="228">
        <v>13.8</v>
      </c>
      <c r="AE164" s="228">
        <v>-6.8</v>
      </c>
      <c r="AF164" s="229">
        <v>2.5000000000000001E-3</v>
      </c>
      <c r="AG164" s="228">
        <v>-30.7</v>
      </c>
      <c r="AH164" s="228">
        <v>-30.9</v>
      </c>
      <c r="AI164" s="228">
        <v>0.2</v>
      </c>
      <c r="AJ164" s="229">
        <v>-1.0800000000000001E-2</v>
      </c>
      <c r="AK164" s="228">
        <v>-54.5</v>
      </c>
      <c r="AL164" s="228">
        <v>-61.3</v>
      </c>
      <c r="AM164" s="228">
        <v>6.8</v>
      </c>
      <c r="AN164" s="229">
        <v>-1.9199999999999998E-2</v>
      </c>
      <c r="AO164" s="231">
        <v>2841.63</v>
      </c>
      <c r="AP164" s="231">
        <v>2808.99</v>
      </c>
      <c r="AQ164" s="228">
        <v>0</v>
      </c>
      <c r="AR164" s="230">
        <v>1292900</v>
      </c>
      <c r="AS164" s="230">
        <v>2772875</v>
      </c>
      <c r="AT164" s="230">
        <v>-1479975</v>
      </c>
      <c r="AU164" s="229">
        <v>-0.53369999999999995</v>
      </c>
      <c r="AV164" s="230">
        <v>518700</v>
      </c>
      <c r="AW164" s="230">
        <v>1289400</v>
      </c>
      <c r="AX164" s="230">
        <v>-770700</v>
      </c>
      <c r="AY164" s="229">
        <v>-0.59770000000000001</v>
      </c>
      <c r="AZ164" s="230">
        <v>741650</v>
      </c>
      <c r="BA164" s="230">
        <v>1434300</v>
      </c>
      <c r="BB164" s="230">
        <v>-692650</v>
      </c>
      <c r="BC164" s="229">
        <v>-0.4829</v>
      </c>
      <c r="BD164" s="230">
        <v>32550</v>
      </c>
      <c r="BE164" s="230">
        <v>49175</v>
      </c>
      <c r="BF164" s="230">
        <v>-16625</v>
      </c>
      <c r="BG164" s="229">
        <v>-0.33810000000000001</v>
      </c>
      <c r="BH164" s="230">
        <v>1590050</v>
      </c>
      <c r="BI164" s="230">
        <v>5007800</v>
      </c>
      <c r="BJ164" s="230">
        <v>-3417750</v>
      </c>
      <c r="BK164" s="229">
        <v>-0.6825</v>
      </c>
      <c r="BL164" s="230">
        <v>1082725</v>
      </c>
      <c r="BM164" s="230">
        <v>1645175</v>
      </c>
      <c r="BN164" s="230">
        <v>-562450</v>
      </c>
      <c r="BO164" s="229">
        <v>-0.34189999999999998</v>
      </c>
      <c r="BP164" s="230">
        <v>3965675</v>
      </c>
      <c r="BQ164" s="230">
        <v>9425850</v>
      </c>
      <c r="BR164" s="230">
        <v>-5460175</v>
      </c>
      <c r="BS164" s="229">
        <v>-0.57930000000000004</v>
      </c>
      <c r="BT164" s="230">
        <v>255962</v>
      </c>
      <c r="BU164" s="230">
        <v>379740</v>
      </c>
      <c r="BV164" s="230">
        <v>-123778</v>
      </c>
      <c r="BW164" s="229">
        <v>-0.32600000000000001</v>
      </c>
      <c r="BX164" s="230">
        <v>3674125</v>
      </c>
      <c r="BY164" s="230">
        <v>4117575</v>
      </c>
      <c r="BZ164" s="230">
        <v>-443450</v>
      </c>
      <c r="CA164" s="229">
        <v>-0.1077</v>
      </c>
      <c r="CB164" s="230">
        <v>256550</v>
      </c>
      <c r="CC164" s="230">
        <v>579950</v>
      </c>
      <c r="CD164" s="230">
        <v>-323400</v>
      </c>
      <c r="CE164" s="229">
        <v>-0.55759999999999998</v>
      </c>
      <c r="CF164" s="230">
        <v>3587850</v>
      </c>
      <c r="CG164" s="230">
        <v>3466925</v>
      </c>
      <c r="CH164" s="230">
        <v>120925</v>
      </c>
      <c r="CI164" s="229">
        <v>3.49E-2</v>
      </c>
      <c r="CJ164" s="230">
        <v>86275</v>
      </c>
      <c r="CK164" s="230">
        <v>70700</v>
      </c>
      <c r="CL164" s="230">
        <v>15575</v>
      </c>
      <c r="CM164" s="229">
        <v>0.2203</v>
      </c>
      <c r="CN164" s="230">
        <v>1130850</v>
      </c>
      <c r="CO164" s="230">
        <v>2148125</v>
      </c>
      <c r="CP164" s="230">
        <v>-1017275</v>
      </c>
      <c r="CQ164" s="229">
        <v>-0.47360000000000002</v>
      </c>
      <c r="CR164" s="230">
        <v>547400</v>
      </c>
      <c r="CS164" s="230">
        <v>1217125</v>
      </c>
      <c r="CT164" s="230">
        <v>-669725</v>
      </c>
      <c r="CU164" s="229">
        <v>-0.55030000000000001</v>
      </c>
      <c r="CV164" s="230">
        <v>5352375</v>
      </c>
      <c r="CW164" s="230">
        <v>7482825</v>
      </c>
      <c r="CX164" s="230">
        <v>-2130450</v>
      </c>
      <c r="CY164" s="229">
        <v>-0.28470000000000001</v>
      </c>
      <c r="CZ164" s="228">
        <v>30.54</v>
      </c>
      <c r="DA164" s="228">
        <v>30.7</v>
      </c>
      <c r="DB164" s="228">
        <v>-0.16</v>
      </c>
      <c r="DC164" s="228">
        <v>-0.16</v>
      </c>
      <c r="DD164" s="228">
        <v>33.78</v>
      </c>
      <c r="DE164" s="228">
        <v>33.86</v>
      </c>
      <c r="DF164" s="228">
        <v>-3.24</v>
      </c>
      <c r="DG164" s="228">
        <v>-0.08</v>
      </c>
      <c r="DH164" s="228">
        <v>31.17</v>
      </c>
      <c r="DI164" s="228">
        <v>30.65</v>
      </c>
      <c r="DJ164" s="228">
        <v>0.52</v>
      </c>
      <c r="DK164" s="228">
        <v>0.52</v>
      </c>
      <c r="DL164" s="228">
        <v>29.2</v>
      </c>
      <c r="DM164" s="228">
        <v>30.88</v>
      </c>
      <c r="DN164" s="228">
        <v>-1.68</v>
      </c>
      <c r="DO164" s="228">
        <v>-1.68</v>
      </c>
      <c r="DP164" s="228">
        <v>0.48</v>
      </c>
      <c r="DQ164" s="228">
        <v>0.56999999999999995</v>
      </c>
      <c r="DR164" s="228">
        <v>-0.09</v>
      </c>
      <c r="DS164" s="229">
        <v>-0.15790000000000001</v>
      </c>
      <c r="DT164" s="231">
        <v>3200</v>
      </c>
      <c r="DU164" s="231">
        <v>2800</v>
      </c>
      <c r="DV164" s="228">
        <v>0.68</v>
      </c>
      <c r="DW164" s="228">
        <v>0.33</v>
      </c>
      <c r="DX164" s="228">
        <v>0.35</v>
      </c>
      <c r="DY164" s="229">
        <v>1.0606</v>
      </c>
      <c r="DZ164" s="229">
        <v>0.93469999999999998</v>
      </c>
      <c r="EA164" s="230">
        <v>3537625</v>
      </c>
      <c r="EB164" s="229">
        <v>-1.3299999999999999E-2</v>
      </c>
      <c r="EC164" s="229">
        <v>0.93469999999999998</v>
      </c>
      <c r="ED164" s="228">
        <v>-32.64</v>
      </c>
      <c r="EE164" s="229">
        <v>-1.15E-2</v>
      </c>
      <c r="EF164" s="230">
        <v>146860</v>
      </c>
      <c r="EG164" s="230">
        <v>174354</v>
      </c>
      <c r="EH164" s="229">
        <v>-0.15770000000000001</v>
      </c>
      <c r="EI164" s="229">
        <v>0.57379999999999998</v>
      </c>
      <c r="EJ164" s="231">
        <v>48334.02</v>
      </c>
      <c r="EK164" s="231">
        <v>30522.17</v>
      </c>
      <c r="EL164" s="231">
        <v>36481.65</v>
      </c>
      <c r="EM164" s="231">
        <v>16011</v>
      </c>
      <c r="EN164" s="231">
        <v>115337.84</v>
      </c>
      <c r="EO164" s="231">
        <v>271739.90999999997</v>
      </c>
      <c r="EP164" s="231">
        <v>-156402.07</v>
      </c>
      <c r="EQ164" s="229">
        <v>-0.5756</v>
      </c>
      <c r="ER164" s="231">
        <v>34589</v>
      </c>
      <c r="ES164" s="231">
        <v>15245</v>
      </c>
      <c r="ET164" s="231">
        <v>103120</v>
      </c>
      <c r="EU164" s="231">
        <v>8178275</v>
      </c>
      <c r="EV164" s="231">
        <v>152954</v>
      </c>
      <c r="EW164" s="231">
        <v>216843</v>
      </c>
      <c r="EX164" s="231">
        <v>-63889</v>
      </c>
      <c r="EY164" s="229">
        <v>-0.29459999999999997</v>
      </c>
      <c r="EZ164" s="229">
        <v>0.65449999999999997</v>
      </c>
      <c r="FA164" s="227" t="s">
        <v>567</v>
      </c>
      <c r="FB164" s="161">
        <f t="shared" si="4"/>
        <v>0</v>
      </c>
    </row>
    <row r="165" spans="1:158" ht="17.25" thickBot="1" x14ac:dyDescent="0.3">
      <c r="A165" s="226">
        <v>46168</v>
      </c>
      <c r="B165" s="227" t="s">
        <v>172</v>
      </c>
      <c r="C165" s="227" t="s">
        <v>275</v>
      </c>
      <c r="D165" s="228">
        <v>8000</v>
      </c>
      <c r="E165" s="228">
        <v>106.79</v>
      </c>
      <c r="F165" s="228">
        <v>107.1</v>
      </c>
      <c r="G165" s="228">
        <v>-0.31</v>
      </c>
      <c r="H165" s="229">
        <v>-2.8999999999999998E-3</v>
      </c>
      <c r="I165" s="228">
        <v>105.91</v>
      </c>
      <c r="J165" s="228">
        <v>106.26</v>
      </c>
      <c r="K165" s="228">
        <v>-0.35</v>
      </c>
      <c r="L165" s="229">
        <v>-3.3E-3</v>
      </c>
      <c r="M165" s="228">
        <v>106</v>
      </c>
      <c r="N165" s="228">
        <v>106.43</v>
      </c>
      <c r="O165" s="228">
        <v>-0.43</v>
      </c>
      <c r="P165" s="229">
        <v>-4.0000000000000001E-3</v>
      </c>
      <c r="Q165" s="228">
        <v>106.79</v>
      </c>
      <c r="R165" s="228">
        <v>107.1</v>
      </c>
      <c r="S165" s="228">
        <v>-0.31</v>
      </c>
      <c r="T165" s="229">
        <v>-2.8999999999999998E-3</v>
      </c>
      <c r="U165" s="228">
        <v>107.45</v>
      </c>
      <c r="V165" s="228">
        <v>107.67</v>
      </c>
      <c r="W165" s="228">
        <v>-0.22</v>
      </c>
      <c r="X165" s="229">
        <v>-2E-3</v>
      </c>
      <c r="Y165" s="228">
        <v>0.88</v>
      </c>
      <c r="Z165" s="228">
        <v>0.17</v>
      </c>
      <c r="AA165" s="228">
        <v>0.71</v>
      </c>
      <c r="AB165" s="229">
        <v>8.3000000000000001E-3</v>
      </c>
      <c r="AC165" s="228">
        <v>0.09</v>
      </c>
      <c r="AD165" s="228">
        <v>0.17</v>
      </c>
      <c r="AE165" s="228">
        <v>-0.08</v>
      </c>
      <c r="AF165" s="229">
        <v>8.0000000000000004E-4</v>
      </c>
      <c r="AG165" s="228">
        <v>0.88</v>
      </c>
      <c r="AH165" s="228">
        <v>0.84</v>
      </c>
      <c r="AI165" s="228">
        <v>0.04</v>
      </c>
      <c r="AJ165" s="229">
        <v>8.3000000000000001E-3</v>
      </c>
      <c r="AK165" s="228">
        <v>1.54</v>
      </c>
      <c r="AL165" s="228">
        <v>1.41</v>
      </c>
      <c r="AM165" s="228">
        <v>0.13</v>
      </c>
      <c r="AN165" s="229">
        <v>1.4500000000000001E-2</v>
      </c>
      <c r="AO165" s="228">
        <v>106.18</v>
      </c>
      <c r="AP165" s="228">
        <v>106.94</v>
      </c>
      <c r="AQ165" s="228">
        <v>0</v>
      </c>
      <c r="AR165" s="230">
        <v>141776000</v>
      </c>
      <c r="AS165" s="230">
        <v>219768000</v>
      </c>
      <c r="AT165" s="230">
        <v>-77992000</v>
      </c>
      <c r="AU165" s="229">
        <v>-0.35489999999999999</v>
      </c>
      <c r="AV165" s="230">
        <v>59592000</v>
      </c>
      <c r="AW165" s="230">
        <v>102304000</v>
      </c>
      <c r="AX165" s="230">
        <v>-42712000</v>
      </c>
      <c r="AY165" s="229">
        <v>-0.41749999999999998</v>
      </c>
      <c r="AZ165" s="230">
        <v>79072000</v>
      </c>
      <c r="BA165" s="230">
        <v>114744000</v>
      </c>
      <c r="BB165" s="230">
        <v>-35672000</v>
      </c>
      <c r="BC165" s="229">
        <v>-0.31090000000000001</v>
      </c>
      <c r="BD165" s="230">
        <v>3112000</v>
      </c>
      <c r="BE165" s="230">
        <v>2720000</v>
      </c>
      <c r="BF165" s="230">
        <v>392000</v>
      </c>
      <c r="BG165" s="229">
        <v>0.14410000000000001</v>
      </c>
      <c r="BH165" s="230">
        <v>86824000</v>
      </c>
      <c r="BI165" s="230">
        <v>169296000</v>
      </c>
      <c r="BJ165" s="230">
        <v>-82472000</v>
      </c>
      <c r="BK165" s="229">
        <v>-0.48709999999999998</v>
      </c>
      <c r="BL165" s="230">
        <v>57152000</v>
      </c>
      <c r="BM165" s="230">
        <v>93296000</v>
      </c>
      <c r="BN165" s="230">
        <v>-36144000</v>
      </c>
      <c r="BO165" s="229">
        <v>-0.38740000000000002</v>
      </c>
      <c r="BP165" s="230">
        <v>285752000</v>
      </c>
      <c r="BQ165" s="230">
        <v>482360000</v>
      </c>
      <c r="BR165" s="230">
        <v>-196608000</v>
      </c>
      <c r="BS165" s="229">
        <v>-0.40760000000000002</v>
      </c>
      <c r="BT165" s="230">
        <v>26787864</v>
      </c>
      <c r="BU165" s="230">
        <v>24037512</v>
      </c>
      <c r="BV165" s="230">
        <v>2750352</v>
      </c>
      <c r="BW165" s="229">
        <v>0.1144</v>
      </c>
      <c r="BX165" s="230">
        <v>314400000</v>
      </c>
      <c r="BY165" s="230">
        <v>320920000</v>
      </c>
      <c r="BZ165" s="230">
        <v>-6520000</v>
      </c>
      <c r="CA165" s="229">
        <v>-2.0299999999999999E-2</v>
      </c>
      <c r="CB165" s="230">
        <v>13128000</v>
      </c>
      <c r="CC165" s="230">
        <v>53320000</v>
      </c>
      <c r="CD165" s="230">
        <v>-40192000</v>
      </c>
      <c r="CE165" s="229">
        <v>-0.75380000000000003</v>
      </c>
      <c r="CF165" s="230">
        <v>291712000</v>
      </c>
      <c r="CG165" s="230">
        <v>246584000</v>
      </c>
      <c r="CH165" s="230">
        <v>45128000</v>
      </c>
      <c r="CI165" s="229">
        <v>0.183</v>
      </c>
      <c r="CJ165" s="230">
        <v>22688000</v>
      </c>
      <c r="CK165" s="230">
        <v>21016000</v>
      </c>
      <c r="CL165" s="230">
        <v>1672000</v>
      </c>
      <c r="CM165" s="229">
        <v>7.9600000000000004E-2</v>
      </c>
      <c r="CN165" s="230">
        <v>47232000</v>
      </c>
      <c r="CO165" s="230">
        <v>115456000</v>
      </c>
      <c r="CP165" s="230">
        <v>-68224000</v>
      </c>
      <c r="CQ165" s="229">
        <v>-0.59089999999999998</v>
      </c>
      <c r="CR165" s="230">
        <v>45224000</v>
      </c>
      <c r="CS165" s="230">
        <v>86384000</v>
      </c>
      <c r="CT165" s="230">
        <v>-41160000</v>
      </c>
      <c r="CU165" s="229">
        <v>-0.47649999999999998</v>
      </c>
      <c r="CV165" s="230">
        <v>406856000</v>
      </c>
      <c r="CW165" s="230">
        <v>522760000</v>
      </c>
      <c r="CX165" s="230">
        <v>-115904000</v>
      </c>
      <c r="CY165" s="229">
        <v>-0.22170000000000001</v>
      </c>
      <c r="CZ165" s="228">
        <v>27.09</v>
      </c>
      <c r="DA165" s="228">
        <v>28.46</v>
      </c>
      <c r="DB165" s="228">
        <v>-1.37</v>
      </c>
      <c r="DC165" s="228">
        <v>-1.37</v>
      </c>
      <c r="DD165" s="228">
        <v>37.18</v>
      </c>
      <c r="DE165" s="228">
        <v>37.270000000000003</v>
      </c>
      <c r="DF165" s="228">
        <v>-10.09</v>
      </c>
      <c r="DG165" s="228">
        <v>-0.09</v>
      </c>
      <c r="DH165" s="228">
        <v>27.28</v>
      </c>
      <c r="DI165" s="228">
        <v>28.44</v>
      </c>
      <c r="DJ165" s="228">
        <v>-1.1599999999999999</v>
      </c>
      <c r="DK165" s="228">
        <v>-1.1599999999999999</v>
      </c>
      <c r="DL165" s="228">
        <v>26.83</v>
      </c>
      <c r="DM165" s="228">
        <v>28.47</v>
      </c>
      <c r="DN165" s="228">
        <v>-1.64</v>
      </c>
      <c r="DO165" s="228">
        <v>-1.64</v>
      </c>
      <c r="DP165" s="228">
        <v>0.96</v>
      </c>
      <c r="DQ165" s="228">
        <v>0.75</v>
      </c>
      <c r="DR165" s="228">
        <v>0.21</v>
      </c>
      <c r="DS165" s="229">
        <v>0.28000000000000003</v>
      </c>
      <c r="DT165" s="228">
        <v>110</v>
      </c>
      <c r="DU165" s="228">
        <v>100</v>
      </c>
      <c r="DV165" s="228">
        <v>0.66</v>
      </c>
      <c r="DW165" s="228">
        <v>0.55000000000000004</v>
      </c>
      <c r="DX165" s="228">
        <v>0.11</v>
      </c>
      <c r="DY165" s="229">
        <v>0.2</v>
      </c>
      <c r="DZ165" s="229">
        <v>0.95989999999999998</v>
      </c>
      <c r="EA165" s="230">
        <v>267600000</v>
      </c>
      <c r="EB165" s="229">
        <v>7.4999999999999997E-3</v>
      </c>
      <c r="EC165" s="229">
        <v>0.95989999999999998</v>
      </c>
      <c r="ED165" s="228">
        <v>0.76</v>
      </c>
      <c r="EE165" s="229">
        <v>7.1999999999999998E-3</v>
      </c>
      <c r="EF165" s="230">
        <v>13550007</v>
      </c>
      <c r="EG165" s="230">
        <v>11330697</v>
      </c>
      <c r="EH165" s="229">
        <v>0.19589999999999999</v>
      </c>
      <c r="EI165" s="229">
        <v>0.50580000000000003</v>
      </c>
      <c r="EJ165" s="231">
        <v>97312.639999999999</v>
      </c>
      <c r="EK165" s="231">
        <v>63006.78</v>
      </c>
      <c r="EL165" s="231">
        <v>151179.42000000001</v>
      </c>
      <c r="EM165" s="231">
        <v>14619</v>
      </c>
      <c r="EN165" s="231">
        <v>311498.84000000003</v>
      </c>
      <c r="EO165" s="231">
        <v>516877.05</v>
      </c>
      <c r="EP165" s="231">
        <v>-205378.21</v>
      </c>
      <c r="EQ165" s="229">
        <v>-0.39729999999999999</v>
      </c>
      <c r="ER165" s="231">
        <v>52139</v>
      </c>
      <c r="ES165" s="231">
        <v>47915</v>
      </c>
      <c r="ET165" s="231">
        <v>335898</v>
      </c>
      <c r="EU165" s="231">
        <v>515822637</v>
      </c>
      <c r="EV165" s="231">
        <v>435951</v>
      </c>
      <c r="EW165" s="231">
        <v>564315</v>
      </c>
      <c r="EX165" s="231">
        <v>-128364</v>
      </c>
      <c r="EY165" s="229">
        <v>-0.22750000000000001</v>
      </c>
      <c r="EZ165" s="229">
        <v>0.78879999999999995</v>
      </c>
      <c r="FA165" s="227" t="s">
        <v>567</v>
      </c>
      <c r="FB165" s="161">
        <f t="shared" si="4"/>
        <v>0</v>
      </c>
    </row>
    <row r="166" spans="1:158" ht="17.25" thickBot="1" x14ac:dyDescent="0.3">
      <c r="A166" s="226">
        <v>46168</v>
      </c>
      <c r="B166" s="227" t="s">
        <v>175</v>
      </c>
      <c r="C166" s="227" t="s">
        <v>667</v>
      </c>
      <c r="D166" s="228">
        <v>650</v>
      </c>
      <c r="E166" s="231">
        <v>1100.7</v>
      </c>
      <c r="F166" s="231">
        <v>1093.7</v>
      </c>
      <c r="G166" s="228">
        <v>7</v>
      </c>
      <c r="H166" s="229">
        <v>6.4000000000000003E-3</v>
      </c>
      <c r="I166" s="231">
        <v>1092.5999999999999</v>
      </c>
      <c r="J166" s="231">
        <v>1085.5999999999999</v>
      </c>
      <c r="K166" s="228">
        <v>7</v>
      </c>
      <c r="L166" s="229">
        <v>6.4000000000000003E-3</v>
      </c>
      <c r="M166" s="231">
        <v>1094.5999999999999</v>
      </c>
      <c r="N166" s="231">
        <v>1086.9000000000001</v>
      </c>
      <c r="O166" s="228">
        <v>7.7</v>
      </c>
      <c r="P166" s="229">
        <v>7.1000000000000004E-3</v>
      </c>
      <c r="Q166" s="231">
        <v>1100.7</v>
      </c>
      <c r="R166" s="231">
        <v>1093.7</v>
      </c>
      <c r="S166" s="228">
        <v>7</v>
      </c>
      <c r="T166" s="229">
        <v>6.4000000000000003E-3</v>
      </c>
      <c r="U166" s="231">
        <v>1105.2</v>
      </c>
      <c r="V166" s="231">
        <v>1095.5999999999999</v>
      </c>
      <c r="W166" s="228">
        <v>9.6</v>
      </c>
      <c r="X166" s="229">
        <v>8.8000000000000005E-3</v>
      </c>
      <c r="Y166" s="228">
        <v>8.1</v>
      </c>
      <c r="Z166" s="228">
        <v>1.3</v>
      </c>
      <c r="AA166" s="228">
        <v>6.8</v>
      </c>
      <c r="AB166" s="229">
        <v>7.4000000000000003E-3</v>
      </c>
      <c r="AC166" s="228">
        <v>2</v>
      </c>
      <c r="AD166" s="228">
        <v>1.3</v>
      </c>
      <c r="AE166" s="228">
        <v>0.7</v>
      </c>
      <c r="AF166" s="229">
        <v>1.8E-3</v>
      </c>
      <c r="AG166" s="228">
        <v>8.1</v>
      </c>
      <c r="AH166" s="228">
        <v>8.1</v>
      </c>
      <c r="AI166" s="228">
        <v>0</v>
      </c>
      <c r="AJ166" s="229">
        <v>7.4000000000000003E-3</v>
      </c>
      <c r="AK166" s="228">
        <v>12.6</v>
      </c>
      <c r="AL166" s="228">
        <v>10</v>
      </c>
      <c r="AM166" s="228">
        <v>2.6</v>
      </c>
      <c r="AN166" s="229">
        <v>1.15E-2</v>
      </c>
      <c r="AO166" s="231">
        <v>1088.49</v>
      </c>
      <c r="AP166" s="231">
        <v>1094.97</v>
      </c>
      <c r="AQ166" s="228">
        <v>0</v>
      </c>
      <c r="AR166" s="230">
        <v>2670850</v>
      </c>
      <c r="AS166" s="230">
        <v>8549450</v>
      </c>
      <c r="AT166" s="230">
        <v>-5878600</v>
      </c>
      <c r="AU166" s="229">
        <v>-0.68759999999999999</v>
      </c>
      <c r="AV166" s="230">
        <v>1196650</v>
      </c>
      <c r="AW166" s="230">
        <v>4127500</v>
      </c>
      <c r="AX166" s="230">
        <v>-2930850</v>
      </c>
      <c r="AY166" s="229">
        <v>-0.71009999999999995</v>
      </c>
      <c r="AZ166" s="230">
        <v>1461850</v>
      </c>
      <c r="BA166" s="230">
        <v>4403100</v>
      </c>
      <c r="BB166" s="230">
        <v>-2941250</v>
      </c>
      <c r="BC166" s="229">
        <v>-0.66800000000000004</v>
      </c>
      <c r="BD166" s="230">
        <v>12350</v>
      </c>
      <c r="BE166" s="230">
        <v>18850</v>
      </c>
      <c r="BF166" s="230">
        <v>-6500</v>
      </c>
      <c r="BG166" s="229">
        <v>-0.3448</v>
      </c>
      <c r="BH166" s="230">
        <v>1513850</v>
      </c>
      <c r="BI166" s="230">
        <v>4613050</v>
      </c>
      <c r="BJ166" s="230">
        <v>-3099200</v>
      </c>
      <c r="BK166" s="229">
        <v>-0.67179999999999995</v>
      </c>
      <c r="BL166" s="230">
        <v>1412450</v>
      </c>
      <c r="BM166" s="230">
        <v>1392300</v>
      </c>
      <c r="BN166" s="230">
        <v>20150</v>
      </c>
      <c r="BO166" s="229">
        <v>1.4500000000000001E-2</v>
      </c>
      <c r="BP166" s="230">
        <v>5597150</v>
      </c>
      <c r="BQ166" s="230">
        <v>14554800</v>
      </c>
      <c r="BR166" s="230">
        <v>-8957650</v>
      </c>
      <c r="BS166" s="229">
        <v>-0.61539999999999995</v>
      </c>
      <c r="BT166" s="230">
        <v>677030</v>
      </c>
      <c r="BU166" s="230">
        <v>1227407</v>
      </c>
      <c r="BV166" s="230">
        <v>-550377</v>
      </c>
      <c r="BW166" s="229">
        <v>-0.44840000000000002</v>
      </c>
      <c r="BX166" s="230">
        <v>11605750</v>
      </c>
      <c r="BY166" s="230">
        <v>12922650</v>
      </c>
      <c r="BZ166" s="230">
        <v>-1316900</v>
      </c>
      <c r="CA166" s="229">
        <v>-0.1019</v>
      </c>
      <c r="CB166" s="230">
        <v>1295450</v>
      </c>
      <c r="CC166" s="230">
        <v>1964300</v>
      </c>
      <c r="CD166" s="230">
        <v>-668850</v>
      </c>
      <c r="CE166" s="229">
        <v>-0.34050000000000002</v>
      </c>
      <c r="CF166" s="230">
        <v>11584300</v>
      </c>
      <c r="CG166" s="230">
        <v>10936900</v>
      </c>
      <c r="CH166" s="230">
        <v>647400</v>
      </c>
      <c r="CI166" s="229">
        <v>5.9200000000000003E-2</v>
      </c>
      <c r="CJ166" s="230">
        <v>21450</v>
      </c>
      <c r="CK166" s="230">
        <v>21450</v>
      </c>
      <c r="CL166" s="228">
        <v>0</v>
      </c>
      <c r="CM166" s="229">
        <v>0</v>
      </c>
      <c r="CN166" s="230">
        <v>851500</v>
      </c>
      <c r="CO166" s="230">
        <v>2464800</v>
      </c>
      <c r="CP166" s="230">
        <v>-1613300</v>
      </c>
      <c r="CQ166" s="229">
        <v>-0.65449999999999997</v>
      </c>
      <c r="CR166" s="230">
        <v>413400</v>
      </c>
      <c r="CS166" s="230">
        <v>1511900</v>
      </c>
      <c r="CT166" s="230">
        <v>-1098500</v>
      </c>
      <c r="CU166" s="229">
        <v>-0.72660000000000002</v>
      </c>
      <c r="CV166" s="230">
        <v>12870650</v>
      </c>
      <c r="CW166" s="230">
        <v>16899350</v>
      </c>
      <c r="CX166" s="230">
        <v>-4028700</v>
      </c>
      <c r="CY166" s="229">
        <v>-0.2384</v>
      </c>
      <c r="CZ166" s="228">
        <v>29.94</v>
      </c>
      <c r="DA166" s="228">
        <v>30.34</v>
      </c>
      <c r="DB166" s="228">
        <v>-0.4</v>
      </c>
      <c r="DC166" s="228">
        <v>-0.4</v>
      </c>
      <c r="DD166" s="228">
        <v>46.35</v>
      </c>
      <c r="DE166" s="228">
        <v>46.46</v>
      </c>
      <c r="DF166" s="228">
        <v>-16.41</v>
      </c>
      <c r="DG166" s="228">
        <v>-0.11</v>
      </c>
      <c r="DH166" s="228">
        <v>29.61</v>
      </c>
      <c r="DI166" s="228">
        <v>29.98</v>
      </c>
      <c r="DJ166" s="228">
        <v>-0.37</v>
      </c>
      <c r="DK166" s="228">
        <v>-0.37</v>
      </c>
      <c r="DL166" s="228">
        <v>30.56</v>
      </c>
      <c r="DM166" s="228">
        <v>31.75</v>
      </c>
      <c r="DN166" s="228">
        <v>-1.19</v>
      </c>
      <c r="DO166" s="228">
        <v>-1.19</v>
      </c>
      <c r="DP166" s="228">
        <v>0.49</v>
      </c>
      <c r="DQ166" s="228">
        <v>0.61</v>
      </c>
      <c r="DR166" s="228">
        <v>-0.12</v>
      </c>
      <c r="DS166" s="229">
        <v>-0.19670000000000001</v>
      </c>
      <c r="DT166" s="231">
        <v>1200</v>
      </c>
      <c r="DU166" s="231">
        <v>1010</v>
      </c>
      <c r="DV166" s="228">
        <v>0.93</v>
      </c>
      <c r="DW166" s="228">
        <v>0.3</v>
      </c>
      <c r="DX166" s="228">
        <v>0.63</v>
      </c>
      <c r="DY166" s="229">
        <v>2.1</v>
      </c>
      <c r="DZ166" s="229">
        <v>0.89959999999999996</v>
      </c>
      <c r="EA166" s="230">
        <v>10958350</v>
      </c>
      <c r="EB166" s="229">
        <v>5.5999999999999999E-3</v>
      </c>
      <c r="EC166" s="229">
        <v>0.89959999999999996</v>
      </c>
      <c r="ED166" s="228">
        <v>6.48</v>
      </c>
      <c r="EE166" s="229">
        <v>6.0000000000000001E-3</v>
      </c>
      <c r="EF166" s="230">
        <v>406851</v>
      </c>
      <c r="EG166" s="230">
        <v>614563</v>
      </c>
      <c r="EH166" s="229">
        <v>-0.33800000000000002</v>
      </c>
      <c r="EI166" s="229">
        <v>0.60089999999999999</v>
      </c>
      <c r="EJ166" s="231">
        <v>16990.18</v>
      </c>
      <c r="EK166" s="231">
        <v>15287.83</v>
      </c>
      <c r="EL166" s="231">
        <v>29167.75</v>
      </c>
      <c r="EM166" s="231">
        <v>8014</v>
      </c>
      <c r="EN166" s="231">
        <v>61445.760000000002</v>
      </c>
      <c r="EO166" s="231">
        <v>159939.17000000001</v>
      </c>
      <c r="EP166" s="231">
        <v>-98493.41</v>
      </c>
      <c r="EQ166" s="229">
        <v>-0.61580000000000001</v>
      </c>
      <c r="ER166" s="231">
        <v>9637</v>
      </c>
      <c r="ES166" s="231">
        <v>4260</v>
      </c>
      <c r="ET166" s="231">
        <v>127745</v>
      </c>
      <c r="EU166" s="231">
        <v>28118603</v>
      </c>
      <c r="EV166" s="231">
        <v>141642</v>
      </c>
      <c r="EW166" s="231">
        <v>183820</v>
      </c>
      <c r="EX166" s="231">
        <v>-42178</v>
      </c>
      <c r="EY166" s="229">
        <v>-0.22950000000000001</v>
      </c>
      <c r="EZ166" s="229">
        <v>0.4577</v>
      </c>
      <c r="FA166" s="227" t="s">
        <v>691</v>
      </c>
      <c r="FB166" s="161">
        <f t="shared" si="4"/>
        <v>0</v>
      </c>
    </row>
    <row r="167" spans="1:158" ht="17.25" thickBot="1" x14ac:dyDescent="0.3">
      <c r="A167" s="226">
        <v>46168</v>
      </c>
      <c r="B167" s="227" t="s">
        <v>614</v>
      </c>
      <c r="C167" s="227" t="s">
        <v>572</v>
      </c>
      <c r="D167" s="228">
        <v>350</v>
      </c>
      <c r="E167" s="231">
        <v>1797.9</v>
      </c>
      <c r="F167" s="231">
        <v>1805.7</v>
      </c>
      <c r="G167" s="228">
        <v>-7.8</v>
      </c>
      <c r="H167" s="229">
        <v>-4.3E-3</v>
      </c>
      <c r="I167" s="231">
        <v>1789</v>
      </c>
      <c r="J167" s="231">
        <v>1791.5</v>
      </c>
      <c r="K167" s="228">
        <v>-2.5</v>
      </c>
      <c r="L167" s="229">
        <v>-1.4E-3</v>
      </c>
      <c r="M167" s="231">
        <v>1783.9</v>
      </c>
      <c r="N167" s="231">
        <v>1796.6</v>
      </c>
      <c r="O167" s="228">
        <v>-12.7</v>
      </c>
      <c r="P167" s="229">
        <v>-7.1000000000000004E-3</v>
      </c>
      <c r="Q167" s="231">
        <v>1797.9</v>
      </c>
      <c r="R167" s="231">
        <v>1805.7</v>
      </c>
      <c r="S167" s="228">
        <v>-7.8</v>
      </c>
      <c r="T167" s="229">
        <v>-4.3E-3</v>
      </c>
      <c r="U167" s="231">
        <v>1806</v>
      </c>
      <c r="V167" s="231">
        <v>1805</v>
      </c>
      <c r="W167" s="228">
        <v>1</v>
      </c>
      <c r="X167" s="229">
        <v>5.9999999999999995E-4</v>
      </c>
      <c r="Y167" s="228">
        <v>8.9</v>
      </c>
      <c r="Z167" s="228">
        <v>5.0999999999999996</v>
      </c>
      <c r="AA167" s="228">
        <v>3.8</v>
      </c>
      <c r="AB167" s="229">
        <v>5.0000000000000001E-3</v>
      </c>
      <c r="AC167" s="228">
        <v>-5.0999999999999996</v>
      </c>
      <c r="AD167" s="228">
        <v>5.0999999999999996</v>
      </c>
      <c r="AE167" s="228">
        <v>-10.199999999999999</v>
      </c>
      <c r="AF167" s="229">
        <v>-2.8999999999999998E-3</v>
      </c>
      <c r="AG167" s="228">
        <v>8.9</v>
      </c>
      <c r="AH167" s="228">
        <v>14.2</v>
      </c>
      <c r="AI167" s="228">
        <v>-5.3</v>
      </c>
      <c r="AJ167" s="229">
        <v>5.0000000000000001E-3</v>
      </c>
      <c r="AK167" s="228">
        <v>17</v>
      </c>
      <c r="AL167" s="228">
        <v>13.5</v>
      </c>
      <c r="AM167" s="228">
        <v>3.5</v>
      </c>
      <c r="AN167" s="229">
        <v>9.4999999999999998E-3</v>
      </c>
      <c r="AO167" s="231">
        <v>1784.88</v>
      </c>
      <c r="AP167" s="231">
        <v>1797.79</v>
      </c>
      <c r="AQ167" s="228">
        <v>0</v>
      </c>
      <c r="AR167" s="230">
        <v>1493100</v>
      </c>
      <c r="AS167" s="230">
        <v>7042700</v>
      </c>
      <c r="AT167" s="230">
        <v>-5549600</v>
      </c>
      <c r="AU167" s="229">
        <v>-0.78800000000000003</v>
      </c>
      <c r="AV167" s="230">
        <v>669550</v>
      </c>
      <c r="AW167" s="230">
        <v>3331650</v>
      </c>
      <c r="AX167" s="230">
        <v>-2662100</v>
      </c>
      <c r="AY167" s="229">
        <v>-0.79900000000000004</v>
      </c>
      <c r="AZ167" s="230">
        <v>820050</v>
      </c>
      <c r="BA167" s="230">
        <v>3708950</v>
      </c>
      <c r="BB167" s="230">
        <v>-2888900</v>
      </c>
      <c r="BC167" s="229">
        <v>-0.77890000000000004</v>
      </c>
      <c r="BD167" s="230">
        <v>3500</v>
      </c>
      <c r="BE167" s="230">
        <v>2100</v>
      </c>
      <c r="BF167" s="230">
        <v>1400</v>
      </c>
      <c r="BG167" s="229">
        <v>0.66669999999999996</v>
      </c>
      <c r="BH167" s="230">
        <v>1297800</v>
      </c>
      <c r="BI167" s="230">
        <v>2745400</v>
      </c>
      <c r="BJ167" s="230">
        <v>-1447600</v>
      </c>
      <c r="BK167" s="229">
        <v>-0.52729999999999999</v>
      </c>
      <c r="BL167" s="230">
        <v>859600</v>
      </c>
      <c r="BM167" s="230">
        <v>2357600</v>
      </c>
      <c r="BN167" s="230">
        <v>-1498000</v>
      </c>
      <c r="BO167" s="229">
        <v>-0.63539999999999996</v>
      </c>
      <c r="BP167" s="230">
        <v>3650500</v>
      </c>
      <c r="BQ167" s="230">
        <v>12145700</v>
      </c>
      <c r="BR167" s="230">
        <v>-8495200</v>
      </c>
      <c r="BS167" s="229">
        <v>-0.69940000000000002</v>
      </c>
      <c r="BT167" s="230">
        <v>824362</v>
      </c>
      <c r="BU167" s="230">
        <v>734939</v>
      </c>
      <c r="BV167" s="230">
        <v>89423</v>
      </c>
      <c r="BW167" s="229">
        <v>0.1217</v>
      </c>
      <c r="BX167" s="230">
        <v>7315350</v>
      </c>
      <c r="BY167" s="230">
        <v>8702750</v>
      </c>
      <c r="BZ167" s="230">
        <v>-1387400</v>
      </c>
      <c r="CA167" s="229">
        <v>-0.15939999999999999</v>
      </c>
      <c r="CB167" s="230">
        <v>1585500</v>
      </c>
      <c r="CC167" s="230">
        <v>1581300</v>
      </c>
      <c r="CD167" s="230">
        <v>4200</v>
      </c>
      <c r="CE167" s="229">
        <v>2.7000000000000001E-3</v>
      </c>
      <c r="CF167" s="230">
        <v>7285600</v>
      </c>
      <c r="CG167" s="230">
        <v>7092400</v>
      </c>
      <c r="CH167" s="230">
        <v>193200</v>
      </c>
      <c r="CI167" s="229">
        <v>2.7199999999999998E-2</v>
      </c>
      <c r="CJ167" s="230">
        <v>29750</v>
      </c>
      <c r="CK167" s="230">
        <v>29050</v>
      </c>
      <c r="CL167" s="228">
        <v>700</v>
      </c>
      <c r="CM167" s="229">
        <v>2.41E-2</v>
      </c>
      <c r="CN167" s="230">
        <v>704900</v>
      </c>
      <c r="CO167" s="230">
        <v>3319050</v>
      </c>
      <c r="CP167" s="230">
        <v>-2614150</v>
      </c>
      <c r="CQ167" s="229">
        <v>-0.78759999999999997</v>
      </c>
      <c r="CR167" s="230">
        <v>479150</v>
      </c>
      <c r="CS167" s="230">
        <v>2227050</v>
      </c>
      <c r="CT167" s="230">
        <v>-1747900</v>
      </c>
      <c r="CU167" s="229">
        <v>-0.78480000000000005</v>
      </c>
      <c r="CV167" s="230">
        <v>8499400</v>
      </c>
      <c r="CW167" s="230">
        <v>14248850</v>
      </c>
      <c r="CX167" s="230">
        <v>-5749450</v>
      </c>
      <c r="CY167" s="229">
        <v>-0.40350000000000003</v>
      </c>
      <c r="CZ167" s="228">
        <v>34.71</v>
      </c>
      <c r="DA167" s="228">
        <v>35.270000000000003</v>
      </c>
      <c r="DB167" s="228">
        <v>-0.56000000000000005</v>
      </c>
      <c r="DC167" s="228">
        <v>-0.56000000000000005</v>
      </c>
      <c r="DD167" s="228">
        <v>44.44</v>
      </c>
      <c r="DE167" s="228">
        <v>44.54</v>
      </c>
      <c r="DF167" s="228">
        <v>-9.73</v>
      </c>
      <c r="DG167" s="228">
        <v>-0.1</v>
      </c>
      <c r="DH167" s="228">
        <v>34.26</v>
      </c>
      <c r="DI167" s="228">
        <v>34.25</v>
      </c>
      <c r="DJ167" s="228">
        <v>0.01</v>
      </c>
      <c r="DK167" s="228">
        <v>0.01</v>
      </c>
      <c r="DL167" s="228">
        <v>35.36</v>
      </c>
      <c r="DM167" s="228">
        <v>37.17</v>
      </c>
      <c r="DN167" s="228">
        <v>-1.81</v>
      </c>
      <c r="DO167" s="228">
        <v>-1.81</v>
      </c>
      <c r="DP167" s="228">
        <v>0.68</v>
      </c>
      <c r="DQ167" s="228">
        <v>0.67</v>
      </c>
      <c r="DR167" s="228">
        <v>0.01</v>
      </c>
      <c r="DS167" s="229">
        <v>1.49E-2</v>
      </c>
      <c r="DT167" s="231">
        <v>1660</v>
      </c>
      <c r="DU167" s="231">
        <v>1740</v>
      </c>
      <c r="DV167" s="228">
        <v>0.66</v>
      </c>
      <c r="DW167" s="228">
        <v>0.86</v>
      </c>
      <c r="DX167" s="228">
        <v>-0.2</v>
      </c>
      <c r="DY167" s="229">
        <v>-0.2326</v>
      </c>
      <c r="DZ167" s="229">
        <v>0.82189999999999996</v>
      </c>
      <c r="EA167" s="230">
        <v>7121450</v>
      </c>
      <c r="EB167" s="229">
        <v>7.7999999999999996E-3</v>
      </c>
      <c r="EC167" s="229">
        <v>0.82189999999999996</v>
      </c>
      <c r="ED167" s="228">
        <v>12.91</v>
      </c>
      <c r="EE167" s="229">
        <v>7.1999999999999998E-3</v>
      </c>
      <c r="EF167" s="230">
        <v>458788</v>
      </c>
      <c r="EG167" s="230">
        <v>284046</v>
      </c>
      <c r="EH167" s="229">
        <v>0.61519999999999997</v>
      </c>
      <c r="EI167" s="229">
        <v>0.55649999999999999</v>
      </c>
      <c r="EJ167" s="231">
        <v>23820.59</v>
      </c>
      <c r="EK167" s="231">
        <v>15379.7</v>
      </c>
      <c r="EL167" s="231">
        <v>26756.82</v>
      </c>
      <c r="EM167" s="231">
        <v>15666</v>
      </c>
      <c r="EN167" s="231">
        <v>65957.11</v>
      </c>
      <c r="EO167" s="231">
        <v>219197.13</v>
      </c>
      <c r="EP167" s="231">
        <v>-153240.01999999999</v>
      </c>
      <c r="EQ167" s="229">
        <v>-0.69910000000000005</v>
      </c>
      <c r="ER167" s="231">
        <v>12931</v>
      </c>
      <c r="ES167" s="231">
        <v>8365</v>
      </c>
      <c r="ET167" s="231">
        <v>131525</v>
      </c>
      <c r="EU167" s="231">
        <v>69300607</v>
      </c>
      <c r="EV167" s="231">
        <v>152822</v>
      </c>
      <c r="EW167" s="231">
        <v>253247</v>
      </c>
      <c r="EX167" s="231">
        <v>-100425</v>
      </c>
      <c r="EY167" s="229">
        <v>-0.39650000000000002</v>
      </c>
      <c r="EZ167" s="229">
        <v>0.1226</v>
      </c>
      <c r="FA167" s="227" t="s">
        <v>567</v>
      </c>
      <c r="FB167" s="161">
        <f t="shared" si="4"/>
        <v>0</v>
      </c>
    </row>
    <row r="168" spans="1:158" ht="17.25" thickBot="1" x14ac:dyDescent="0.3">
      <c r="A168" s="226">
        <v>46168</v>
      </c>
      <c r="B168" s="227" t="s">
        <v>184</v>
      </c>
      <c r="C168" s="227" t="s">
        <v>519</v>
      </c>
      <c r="D168" s="228">
        <v>125</v>
      </c>
      <c r="E168" s="231">
        <v>9617.5</v>
      </c>
      <c r="F168" s="231">
        <v>9449</v>
      </c>
      <c r="G168" s="228">
        <v>168.5</v>
      </c>
      <c r="H168" s="229">
        <v>1.78E-2</v>
      </c>
      <c r="I168" s="231">
        <v>9613.5</v>
      </c>
      <c r="J168" s="231">
        <v>9398.5</v>
      </c>
      <c r="K168" s="228">
        <v>215</v>
      </c>
      <c r="L168" s="229">
        <v>2.29E-2</v>
      </c>
      <c r="M168" s="231">
        <v>9604.5</v>
      </c>
      <c r="N168" s="231">
        <v>9398</v>
      </c>
      <c r="O168" s="228">
        <v>206.5</v>
      </c>
      <c r="P168" s="229">
        <v>2.1999999999999999E-2</v>
      </c>
      <c r="Q168" s="231">
        <v>9617.5</v>
      </c>
      <c r="R168" s="231">
        <v>9449</v>
      </c>
      <c r="S168" s="228">
        <v>168.5</v>
      </c>
      <c r="T168" s="229">
        <v>1.78E-2</v>
      </c>
      <c r="U168" s="231">
        <v>9661.5</v>
      </c>
      <c r="V168" s="231">
        <v>9464</v>
      </c>
      <c r="W168" s="228">
        <v>197.5</v>
      </c>
      <c r="X168" s="229">
        <v>2.0899999999999998E-2</v>
      </c>
      <c r="Y168" s="228">
        <v>4</v>
      </c>
      <c r="Z168" s="228">
        <v>-0.5</v>
      </c>
      <c r="AA168" s="228">
        <v>4.5</v>
      </c>
      <c r="AB168" s="229">
        <v>4.0000000000000002E-4</v>
      </c>
      <c r="AC168" s="228">
        <v>-9</v>
      </c>
      <c r="AD168" s="228">
        <v>-0.5</v>
      </c>
      <c r="AE168" s="228">
        <v>-8.5</v>
      </c>
      <c r="AF168" s="229">
        <v>-8.9999999999999998E-4</v>
      </c>
      <c r="AG168" s="228">
        <v>4</v>
      </c>
      <c r="AH168" s="228">
        <v>50.5</v>
      </c>
      <c r="AI168" s="228">
        <v>-46.5</v>
      </c>
      <c r="AJ168" s="229">
        <v>4.0000000000000002E-4</v>
      </c>
      <c r="AK168" s="228">
        <v>48</v>
      </c>
      <c r="AL168" s="228">
        <v>65.5</v>
      </c>
      <c r="AM168" s="228">
        <v>-17.5</v>
      </c>
      <c r="AN168" s="229">
        <v>5.0000000000000001E-3</v>
      </c>
      <c r="AO168" s="231">
        <v>9512.23</v>
      </c>
      <c r="AP168" s="231">
        <v>9544.74</v>
      </c>
      <c r="AQ168" s="228">
        <v>0</v>
      </c>
      <c r="AR168" s="230">
        <v>1710750</v>
      </c>
      <c r="AS168" s="230">
        <v>1233250</v>
      </c>
      <c r="AT168" s="230">
        <v>477500</v>
      </c>
      <c r="AU168" s="229">
        <v>0.38719999999999999</v>
      </c>
      <c r="AV168" s="230">
        <v>804625</v>
      </c>
      <c r="AW168" s="230">
        <v>608875</v>
      </c>
      <c r="AX168" s="230">
        <v>195750</v>
      </c>
      <c r="AY168" s="229">
        <v>0.32150000000000001</v>
      </c>
      <c r="AZ168" s="230">
        <v>844000</v>
      </c>
      <c r="BA168" s="230">
        <v>609000</v>
      </c>
      <c r="BB168" s="230">
        <v>235000</v>
      </c>
      <c r="BC168" s="229">
        <v>0.38590000000000002</v>
      </c>
      <c r="BD168" s="230">
        <v>62125</v>
      </c>
      <c r="BE168" s="230">
        <v>15375</v>
      </c>
      <c r="BF168" s="230">
        <v>46750</v>
      </c>
      <c r="BG168" s="229">
        <v>3.0407000000000002</v>
      </c>
      <c r="BH168" s="230">
        <v>3717625</v>
      </c>
      <c r="BI168" s="230">
        <v>5363250</v>
      </c>
      <c r="BJ168" s="230">
        <v>-1645625</v>
      </c>
      <c r="BK168" s="229">
        <v>-0.30680000000000002</v>
      </c>
      <c r="BL168" s="230">
        <v>2121375</v>
      </c>
      <c r="BM168" s="230">
        <v>3260375</v>
      </c>
      <c r="BN168" s="230">
        <v>-1139000</v>
      </c>
      <c r="BO168" s="229">
        <v>-0.3493</v>
      </c>
      <c r="BP168" s="230">
        <v>7549750</v>
      </c>
      <c r="BQ168" s="230">
        <v>9856875</v>
      </c>
      <c r="BR168" s="230">
        <v>-2307125</v>
      </c>
      <c r="BS168" s="229">
        <v>-0.2341</v>
      </c>
      <c r="BT168" s="230">
        <v>440862</v>
      </c>
      <c r="BU168" s="230">
        <v>260755</v>
      </c>
      <c r="BV168" s="230">
        <v>180107</v>
      </c>
      <c r="BW168" s="229">
        <v>0.69069999999999998</v>
      </c>
      <c r="BX168" s="230">
        <v>1870125</v>
      </c>
      <c r="BY168" s="230">
        <v>2193500</v>
      </c>
      <c r="BZ168" s="230">
        <v>-323375</v>
      </c>
      <c r="CA168" s="229">
        <v>-0.1474</v>
      </c>
      <c r="CB168" s="230">
        <v>331875</v>
      </c>
      <c r="CC168" s="230">
        <v>702500</v>
      </c>
      <c r="CD168" s="230">
        <v>-370625</v>
      </c>
      <c r="CE168" s="229">
        <v>-0.52759999999999996</v>
      </c>
      <c r="CF168" s="230">
        <v>1777125</v>
      </c>
      <c r="CG168" s="230">
        <v>1446750</v>
      </c>
      <c r="CH168" s="230">
        <v>330375</v>
      </c>
      <c r="CI168" s="229">
        <v>0.22839999999999999</v>
      </c>
      <c r="CJ168" s="230">
        <v>93000</v>
      </c>
      <c r="CK168" s="230">
        <v>44250</v>
      </c>
      <c r="CL168" s="230">
        <v>48750</v>
      </c>
      <c r="CM168" s="229">
        <v>1.1016999999999999</v>
      </c>
      <c r="CN168" s="230">
        <v>460375</v>
      </c>
      <c r="CO168" s="230">
        <v>1725000</v>
      </c>
      <c r="CP168" s="230">
        <v>-1264625</v>
      </c>
      <c r="CQ168" s="229">
        <v>-0.73309999999999997</v>
      </c>
      <c r="CR168" s="230">
        <v>517000</v>
      </c>
      <c r="CS168" s="230">
        <v>1412500</v>
      </c>
      <c r="CT168" s="230">
        <v>-895500</v>
      </c>
      <c r="CU168" s="229">
        <v>-0.63400000000000001</v>
      </c>
      <c r="CV168" s="230">
        <v>2847500</v>
      </c>
      <c r="CW168" s="230">
        <v>5331000</v>
      </c>
      <c r="CX168" s="230">
        <v>-2483500</v>
      </c>
      <c r="CY168" s="229">
        <v>-0.46589999999999998</v>
      </c>
      <c r="CZ168" s="228">
        <v>25.07</v>
      </c>
      <c r="DA168" s="228">
        <v>26.27</v>
      </c>
      <c r="DB168" s="228">
        <v>-1.2</v>
      </c>
      <c r="DC168" s="228">
        <v>-1.2</v>
      </c>
      <c r="DD168" s="228">
        <v>41.19</v>
      </c>
      <c r="DE168" s="228">
        <v>41.18</v>
      </c>
      <c r="DF168" s="228">
        <v>-16.12</v>
      </c>
      <c r="DG168" s="228">
        <v>0.01</v>
      </c>
      <c r="DH168" s="228">
        <v>24.15</v>
      </c>
      <c r="DI168" s="228">
        <v>25.54</v>
      </c>
      <c r="DJ168" s="228">
        <v>-1.39</v>
      </c>
      <c r="DK168" s="228">
        <v>-1.39</v>
      </c>
      <c r="DL168" s="228">
        <v>26.35</v>
      </c>
      <c r="DM168" s="228">
        <v>27.82</v>
      </c>
      <c r="DN168" s="228">
        <v>-1.47</v>
      </c>
      <c r="DO168" s="228">
        <v>-1.47</v>
      </c>
      <c r="DP168" s="228">
        <v>1.1200000000000001</v>
      </c>
      <c r="DQ168" s="228">
        <v>0.82</v>
      </c>
      <c r="DR168" s="228">
        <v>0.3</v>
      </c>
      <c r="DS168" s="229">
        <v>0.3659</v>
      </c>
      <c r="DT168" s="231">
        <v>10000</v>
      </c>
      <c r="DU168" s="231">
        <v>9000</v>
      </c>
      <c r="DV168" s="228">
        <v>0.56999999999999995</v>
      </c>
      <c r="DW168" s="228">
        <v>0.61</v>
      </c>
      <c r="DX168" s="228">
        <v>-0.04</v>
      </c>
      <c r="DY168" s="229">
        <v>-6.5600000000000006E-2</v>
      </c>
      <c r="DZ168" s="229">
        <v>0.84930000000000005</v>
      </c>
      <c r="EA168" s="230">
        <v>1491000</v>
      </c>
      <c r="EB168" s="229">
        <v>1.4E-3</v>
      </c>
      <c r="EC168" s="229">
        <v>0.84930000000000005</v>
      </c>
      <c r="ED168" s="228">
        <v>32.51</v>
      </c>
      <c r="EE168" s="229">
        <v>3.3999999999999998E-3</v>
      </c>
      <c r="EF168" s="230">
        <v>198231</v>
      </c>
      <c r="EG168" s="230">
        <v>117820</v>
      </c>
      <c r="EH168" s="229">
        <v>0.6825</v>
      </c>
      <c r="EI168" s="229">
        <v>0.4496</v>
      </c>
      <c r="EJ168" s="231">
        <v>359405.69</v>
      </c>
      <c r="EK168" s="231">
        <v>193344.26</v>
      </c>
      <c r="EL168" s="231">
        <v>163055.41</v>
      </c>
      <c r="EM168" s="231">
        <v>7280</v>
      </c>
      <c r="EN168" s="231">
        <v>715805.36</v>
      </c>
      <c r="EO168" s="231">
        <v>913781.39</v>
      </c>
      <c r="EP168" s="231">
        <v>-197976.03</v>
      </c>
      <c r="EQ168" s="229">
        <v>-0.2167</v>
      </c>
      <c r="ER168" s="231">
        <v>43985</v>
      </c>
      <c r="ES168" s="231">
        <v>46616</v>
      </c>
      <c r="ET168" s="231">
        <v>179900</v>
      </c>
      <c r="EU168" s="231">
        <v>8693344</v>
      </c>
      <c r="EV168" s="231">
        <v>270501</v>
      </c>
      <c r="EW168" s="231">
        <v>485072</v>
      </c>
      <c r="EX168" s="231">
        <v>-214571</v>
      </c>
      <c r="EY168" s="229">
        <v>-0.44230000000000003</v>
      </c>
      <c r="EZ168" s="229">
        <v>0.32750000000000001</v>
      </c>
      <c r="FA168" s="227" t="s">
        <v>691</v>
      </c>
      <c r="FB168" s="161">
        <f t="shared" si="4"/>
        <v>0</v>
      </c>
    </row>
    <row r="169" spans="1:158" ht="17.25" thickBot="1" x14ac:dyDescent="0.3">
      <c r="A169" s="226">
        <v>46168</v>
      </c>
      <c r="B169" s="227" t="s">
        <v>161</v>
      </c>
      <c r="C169" s="227" t="s">
        <v>276</v>
      </c>
      <c r="D169" s="228">
        <v>1900</v>
      </c>
      <c r="E169" s="228">
        <v>294.7</v>
      </c>
      <c r="F169" s="228">
        <v>297.2</v>
      </c>
      <c r="G169" s="228">
        <v>-2.5</v>
      </c>
      <c r="H169" s="229">
        <v>-8.3999999999999995E-3</v>
      </c>
      <c r="I169" s="228">
        <v>292.55</v>
      </c>
      <c r="J169" s="228">
        <v>295.35000000000002</v>
      </c>
      <c r="K169" s="228">
        <v>-2.8</v>
      </c>
      <c r="L169" s="229">
        <v>-9.4999999999999998E-3</v>
      </c>
      <c r="M169" s="228">
        <v>292.64999999999998</v>
      </c>
      <c r="N169" s="228">
        <v>295.39999999999998</v>
      </c>
      <c r="O169" s="228">
        <v>-2.75</v>
      </c>
      <c r="P169" s="229">
        <v>-9.2999999999999992E-3</v>
      </c>
      <c r="Q169" s="228">
        <v>294.7</v>
      </c>
      <c r="R169" s="228">
        <v>297.2</v>
      </c>
      <c r="S169" s="228">
        <v>-2.5</v>
      </c>
      <c r="T169" s="229">
        <v>-8.3999999999999995E-3</v>
      </c>
      <c r="U169" s="228">
        <v>296.5</v>
      </c>
      <c r="V169" s="228">
        <v>298.95</v>
      </c>
      <c r="W169" s="228">
        <v>-2.4500000000000002</v>
      </c>
      <c r="X169" s="229">
        <v>-8.2000000000000007E-3</v>
      </c>
      <c r="Y169" s="228">
        <v>2.15</v>
      </c>
      <c r="Z169" s="228">
        <v>0.05</v>
      </c>
      <c r="AA169" s="228">
        <v>2.1</v>
      </c>
      <c r="AB169" s="229">
        <v>7.3000000000000001E-3</v>
      </c>
      <c r="AC169" s="228">
        <v>0.1</v>
      </c>
      <c r="AD169" s="228">
        <v>0.05</v>
      </c>
      <c r="AE169" s="228">
        <v>0.05</v>
      </c>
      <c r="AF169" s="229">
        <v>2.9999999999999997E-4</v>
      </c>
      <c r="AG169" s="228">
        <v>2.15</v>
      </c>
      <c r="AH169" s="228">
        <v>1.85</v>
      </c>
      <c r="AI169" s="228">
        <v>0.3</v>
      </c>
      <c r="AJ169" s="229">
        <v>7.3000000000000001E-3</v>
      </c>
      <c r="AK169" s="228">
        <v>3.95</v>
      </c>
      <c r="AL169" s="228">
        <v>3.6</v>
      </c>
      <c r="AM169" s="228">
        <v>0.35</v>
      </c>
      <c r="AN169" s="229">
        <v>1.35E-2</v>
      </c>
      <c r="AO169" s="228">
        <v>294.04000000000002</v>
      </c>
      <c r="AP169" s="228">
        <v>295.88</v>
      </c>
      <c r="AQ169" s="228">
        <v>0</v>
      </c>
      <c r="AR169" s="230">
        <v>18430000</v>
      </c>
      <c r="AS169" s="230">
        <v>26113600</v>
      </c>
      <c r="AT169" s="230">
        <v>-7683600</v>
      </c>
      <c r="AU169" s="229">
        <v>-0.29420000000000002</v>
      </c>
      <c r="AV169" s="230">
        <v>6195900</v>
      </c>
      <c r="AW169" s="230">
        <v>12009900</v>
      </c>
      <c r="AX169" s="230">
        <v>-5814000</v>
      </c>
      <c r="AY169" s="229">
        <v>-0.48409999999999997</v>
      </c>
      <c r="AZ169" s="230">
        <v>11899700</v>
      </c>
      <c r="BA169" s="230">
        <v>13947900</v>
      </c>
      <c r="BB169" s="230">
        <v>-2048200</v>
      </c>
      <c r="BC169" s="229">
        <v>-0.14680000000000001</v>
      </c>
      <c r="BD169" s="230">
        <v>334400</v>
      </c>
      <c r="BE169" s="230">
        <v>155800</v>
      </c>
      <c r="BF169" s="230">
        <v>178600</v>
      </c>
      <c r="BG169" s="229">
        <v>1.1463000000000001</v>
      </c>
      <c r="BH169" s="230">
        <v>15241800</v>
      </c>
      <c r="BI169" s="230">
        <v>22233800</v>
      </c>
      <c r="BJ169" s="230">
        <v>-6992000</v>
      </c>
      <c r="BK169" s="229">
        <v>-0.3145</v>
      </c>
      <c r="BL169" s="230">
        <v>9551300</v>
      </c>
      <c r="BM169" s="230">
        <v>15010000</v>
      </c>
      <c r="BN169" s="230">
        <v>-5458700</v>
      </c>
      <c r="BO169" s="229">
        <v>-0.36370000000000002</v>
      </c>
      <c r="BP169" s="230">
        <v>43223100</v>
      </c>
      <c r="BQ169" s="230">
        <v>63357400</v>
      </c>
      <c r="BR169" s="230">
        <v>-20134300</v>
      </c>
      <c r="BS169" s="229">
        <v>-0.31780000000000003</v>
      </c>
      <c r="BT169" s="230">
        <v>5722272</v>
      </c>
      <c r="BU169" s="230">
        <v>6155944</v>
      </c>
      <c r="BV169" s="230">
        <v>-433672</v>
      </c>
      <c r="BW169" s="229">
        <v>-7.0400000000000004E-2</v>
      </c>
      <c r="BX169" s="230">
        <v>85843900</v>
      </c>
      <c r="BY169" s="230">
        <v>86640000</v>
      </c>
      <c r="BZ169" s="230">
        <v>-796100</v>
      </c>
      <c r="CA169" s="229">
        <v>-9.1999999999999998E-3</v>
      </c>
      <c r="CB169" s="230">
        <v>2819600</v>
      </c>
      <c r="CC169" s="230">
        <v>6038200</v>
      </c>
      <c r="CD169" s="230">
        <v>-3218600</v>
      </c>
      <c r="CE169" s="229">
        <v>-0.53300000000000003</v>
      </c>
      <c r="CF169" s="230">
        <v>75490800</v>
      </c>
      <c r="CG169" s="230">
        <v>70503300</v>
      </c>
      <c r="CH169" s="230">
        <v>4987500</v>
      </c>
      <c r="CI169" s="229">
        <v>7.0699999999999999E-2</v>
      </c>
      <c r="CJ169" s="230">
        <v>10353100</v>
      </c>
      <c r="CK169" s="230">
        <v>10098500</v>
      </c>
      <c r="CL169" s="230">
        <v>254600</v>
      </c>
      <c r="CM169" s="229">
        <v>2.52E-2</v>
      </c>
      <c r="CN169" s="230">
        <v>8766600</v>
      </c>
      <c r="CO169" s="230">
        <v>36181700</v>
      </c>
      <c r="CP169" s="230">
        <v>-27415100</v>
      </c>
      <c r="CQ169" s="229">
        <v>-0.75770000000000004</v>
      </c>
      <c r="CR169" s="230">
        <v>10149800</v>
      </c>
      <c r="CS169" s="230">
        <v>18088000</v>
      </c>
      <c r="CT169" s="230">
        <v>-7938200</v>
      </c>
      <c r="CU169" s="229">
        <v>-0.43890000000000001</v>
      </c>
      <c r="CV169" s="230">
        <v>104760300</v>
      </c>
      <c r="CW169" s="230">
        <v>140909700</v>
      </c>
      <c r="CX169" s="230">
        <v>-36149400</v>
      </c>
      <c r="CY169" s="229">
        <v>-0.25650000000000001</v>
      </c>
      <c r="CZ169" s="228">
        <v>20.61</v>
      </c>
      <c r="DA169" s="228">
        <v>20.7</v>
      </c>
      <c r="DB169" s="228">
        <v>-0.09</v>
      </c>
      <c r="DC169" s="228">
        <v>-0.09</v>
      </c>
      <c r="DD169" s="228">
        <v>28.08</v>
      </c>
      <c r="DE169" s="228">
        <v>28.12</v>
      </c>
      <c r="DF169" s="228">
        <v>-7.47</v>
      </c>
      <c r="DG169" s="228">
        <v>-0.04</v>
      </c>
      <c r="DH169" s="228">
        <v>20.91</v>
      </c>
      <c r="DI169" s="228">
        <v>20.92</v>
      </c>
      <c r="DJ169" s="228">
        <v>-0.01</v>
      </c>
      <c r="DK169" s="228">
        <v>-0.01</v>
      </c>
      <c r="DL169" s="228">
        <v>20.2</v>
      </c>
      <c r="DM169" s="228">
        <v>20.51</v>
      </c>
      <c r="DN169" s="228">
        <v>-0.31</v>
      </c>
      <c r="DO169" s="228">
        <v>-0.31</v>
      </c>
      <c r="DP169" s="228">
        <v>1.1599999999999999</v>
      </c>
      <c r="DQ169" s="228">
        <v>0.5</v>
      </c>
      <c r="DR169" s="228">
        <v>0.66</v>
      </c>
      <c r="DS169" s="229">
        <v>1.32</v>
      </c>
      <c r="DT169" s="228">
        <v>320</v>
      </c>
      <c r="DU169" s="228">
        <v>300</v>
      </c>
      <c r="DV169" s="228">
        <v>0.63</v>
      </c>
      <c r="DW169" s="228">
        <v>0.68</v>
      </c>
      <c r="DX169" s="228">
        <v>-0.05</v>
      </c>
      <c r="DY169" s="229">
        <v>-7.3499999999999996E-2</v>
      </c>
      <c r="DZ169" s="229">
        <v>0.96819999999999995</v>
      </c>
      <c r="EA169" s="230">
        <v>80601800</v>
      </c>
      <c r="EB169" s="229">
        <v>7.0000000000000001E-3</v>
      </c>
      <c r="EC169" s="229">
        <v>0.96819999999999995</v>
      </c>
      <c r="ED169" s="228">
        <v>1.84</v>
      </c>
      <c r="EE169" s="229">
        <v>6.3E-3</v>
      </c>
      <c r="EF169" s="230">
        <v>3381030</v>
      </c>
      <c r="EG169" s="230">
        <v>4174210</v>
      </c>
      <c r="EH169" s="229">
        <v>-0.19</v>
      </c>
      <c r="EI169" s="229">
        <v>0.59089999999999998</v>
      </c>
      <c r="EJ169" s="231">
        <v>46340.94</v>
      </c>
      <c r="EK169" s="231">
        <v>28682.63</v>
      </c>
      <c r="EL169" s="231">
        <v>54424</v>
      </c>
      <c r="EM169" s="231">
        <v>16003</v>
      </c>
      <c r="EN169" s="231">
        <v>129447.57</v>
      </c>
      <c r="EO169" s="231">
        <v>189475.07</v>
      </c>
      <c r="EP169" s="231">
        <v>-60027.5</v>
      </c>
      <c r="EQ169" s="229">
        <v>-0.31680000000000003</v>
      </c>
      <c r="ER169" s="231">
        <v>27060</v>
      </c>
      <c r="ES169" s="231">
        <v>29694</v>
      </c>
      <c r="ET169" s="231">
        <v>253168</v>
      </c>
      <c r="EU169" s="231">
        <v>660840864</v>
      </c>
      <c r="EV169" s="231">
        <v>309923</v>
      </c>
      <c r="EW169" s="231">
        <v>426422</v>
      </c>
      <c r="EX169" s="231">
        <v>-116499</v>
      </c>
      <c r="EY169" s="229">
        <v>-0.2732</v>
      </c>
      <c r="EZ169" s="229">
        <v>0.1585</v>
      </c>
      <c r="FA169" s="227" t="s">
        <v>567</v>
      </c>
      <c r="FB169" s="161">
        <f t="shared" si="4"/>
        <v>0</v>
      </c>
    </row>
    <row r="170" spans="1:158" ht="17.25" thickBot="1" x14ac:dyDescent="0.3">
      <c r="A170" s="226">
        <v>46168</v>
      </c>
      <c r="B170" s="227" t="s">
        <v>184</v>
      </c>
      <c r="C170" s="227" t="s">
        <v>683</v>
      </c>
      <c r="D170" s="228">
        <v>25</v>
      </c>
      <c r="E170" s="231">
        <v>36250</v>
      </c>
      <c r="F170" s="231">
        <v>35930</v>
      </c>
      <c r="G170" s="228">
        <v>320</v>
      </c>
      <c r="H170" s="229">
        <v>8.8999999999999999E-3</v>
      </c>
      <c r="I170" s="231">
        <v>35995</v>
      </c>
      <c r="J170" s="231">
        <v>35635</v>
      </c>
      <c r="K170" s="228">
        <v>360</v>
      </c>
      <c r="L170" s="229">
        <v>1.01E-2</v>
      </c>
      <c r="M170" s="231">
        <v>36070</v>
      </c>
      <c r="N170" s="231">
        <v>35630</v>
      </c>
      <c r="O170" s="228">
        <v>440</v>
      </c>
      <c r="P170" s="229">
        <v>1.23E-2</v>
      </c>
      <c r="Q170" s="231">
        <v>36250</v>
      </c>
      <c r="R170" s="231">
        <v>35930</v>
      </c>
      <c r="S170" s="228">
        <v>320</v>
      </c>
      <c r="T170" s="229">
        <v>8.8999999999999999E-3</v>
      </c>
      <c r="U170" s="231">
        <v>36440</v>
      </c>
      <c r="V170" s="231">
        <v>36080</v>
      </c>
      <c r="W170" s="228">
        <v>360</v>
      </c>
      <c r="X170" s="229">
        <v>0.01</v>
      </c>
      <c r="Y170" s="228">
        <v>255</v>
      </c>
      <c r="Z170" s="228">
        <v>-5</v>
      </c>
      <c r="AA170" s="228">
        <v>260</v>
      </c>
      <c r="AB170" s="229">
        <v>7.1000000000000004E-3</v>
      </c>
      <c r="AC170" s="228">
        <v>75</v>
      </c>
      <c r="AD170" s="228">
        <v>-5</v>
      </c>
      <c r="AE170" s="228">
        <v>80</v>
      </c>
      <c r="AF170" s="229">
        <v>2.0999999999999999E-3</v>
      </c>
      <c r="AG170" s="228">
        <v>255</v>
      </c>
      <c r="AH170" s="228">
        <v>295</v>
      </c>
      <c r="AI170" s="228">
        <v>-40</v>
      </c>
      <c r="AJ170" s="229">
        <v>7.1000000000000004E-3</v>
      </c>
      <c r="AK170" s="228">
        <v>445</v>
      </c>
      <c r="AL170" s="228">
        <v>445</v>
      </c>
      <c r="AM170" s="228">
        <v>0</v>
      </c>
      <c r="AN170" s="229">
        <v>1.24E-2</v>
      </c>
      <c r="AO170" s="231">
        <v>35372.74</v>
      </c>
      <c r="AP170" s="231">
        <v>35493.35</v>
      </c>
      <c r="AQ170" s="228">
        <v>0</v>
      </c>
      <c r="AR170" s="230">
        <v>573050</v>
      </c>
      <c r="AS170" s="230">
        <v>309700</v>
      </c>
      <c r="AT170" s="230">
        <v>263350</v>
      </c>
      <c r="AU170" s="229">
        <v>0.85029999999999994</v>
      </c>
      <c r="AV170" s="230">
        <v>153300</v>
      </c>
      <c r="AW170" s="230">
        <v>138700</v>
      </c>
      <c r="AX170" s="230">
        <v>14600</v>
      </c>
      <c r="AY170" s="229">
        <v>0.1053</v>
      </c>
      <c r="AZ170" s="230">
        <v>406375</v>
      </c>
      <c r="BA170" s="230">
        <v>168325</v>
      </c>
      <c r="BB170" s="230">
        <v>238050</v>
      </c>
      <c r="BC170" s="229">
        <v>1.4141999999999999</v>
      </c>
      <c r="BD170" s="230">
        <v>13375</v>
      </c>
      <c r="BE170" s="230">
        <v>2675</v>
      </c>
      <c r="BF170" s="230">
        <v>10700</v>
      </c>
      <c r="BG170" s="229">
        <v>4</v>
      </c>
      <c r="BH170" s="230">
        <v>4975750</v>
      </c>
      <c r="BI170" s="230">
        <v>904150</v>
      </c>
      <c r="BJ170" s="230">
        <v>4071600</v>
      </c>
      <c r="BK170" s="229">
        <v>4.5031999999999996</v>
      </c>
      <c r="BL170" s="230">
        <v>2078050</v>
      </c>
      <c r="BM170" s="230">
        <v>579275</v>
      </c>
      <c r="BN170" s="230">
        <v>1498775</v>
      </c>
      <c r="BO170" s="229">
        <v>2.5872999999999999</v>
      </c>
      <c r="BP170" s="230">
        <v>7626850</v>
      </c>
      <c r="BQ170" s="230">
        <v>1793125</v>
      </c>
      <c r="BR170" s="230">
        <v>5833725</v>
      </c>
      <c r="BS170" s="229">
        <v>3.2534000000000001</v>
      </c>
      <c r="BT170" s="230">
        <v>593977</v>
      </c>
      <c r="BU170" s="230">
        <v>148924</v>
      </c>
      <c r="BV170" s="230">
        <v>445053</v>
      </c>
      <c r="BW170" s="229">
        <v>2.9885000000000002</v>
      </c>
      <c r="BX170" s="230">
        <v>441375</v>
      </c>
      <c r="BY170" s="230">
        <v>477400</v>
      </c>
      <c r="BZ170" s="230">
        <v>-36025</v>
      </c>
      <c r="CA170" s="229">
        <v>-7.5499999999999998E-2</v>
      </c>
      <c r="CB170" s="230">
        <v>23525</v>
      </c>
      <c r="CC170" s="230">
        <v>56850</v>
      </c>
      <c r="CD170" s="230">
        <v>-33325</v>
      </c>
      <c r="CE170" s="229">
        <v>-0.58620000000000005</v>
      </c>
      <c r="CF170" s="230">
        <v>433925</v>
      </c>
      <c r="CG170" s="230">
        <v>416300</v>
      </c>
      <c r="CH170" s="230">
        <v>17625</v>
      </c>
      <c r="CI170" s="229">
        <v>4.2299999999999997E-2</v>
      </c>
      <c r="CJ170" s="230">
        <v>7450</v>
      </c>
      <c r="CK170" s="230">
        <v>4250</v>
      </c>
      <c r="CL170" s="230">
        <v>3200</v>
      </c>
      <c r="CM170" s="229">
        <v>0.75290000000000001</v>
      </c>
      <c r="CN170" s="230">
        <v>216750</v>
      </c>
      <c r="CO170" s="230">
        <v>378150</v>
      </c>
      <c r="CP170" s="230">
        <v>-161400</v>
      </c>
      <c r="CQ170" s="229">
        <v>-0.42680000000000001</v>
      </c>
      <c r="CR170" s="230">
        <v>164900</v>
      </c>
      <c r="CS170" s="230">
        <v>351000</v>
      </c>
      <c r="CT170" s="230">
        <v>-186100</v>
      </c>
      <c r="CU170" s="229">
        <v>-0.5302</v>
      </c>
      <c r="CV170" s="230">
        <v>823025</v>
      </c>
      <c r="CW170" s="230">
        <v>1206550</v>
      </c>
      <c r="CX170" s="230">
        <v>-383525</v>
      </c>
      <c r="CY170" s="229">
        <v>-0.31790000000000002</v>
      </c>
      <c r="CZ170" s="228">
        <v>38.67</v>
      </c>
      <c r="DA170" s="228">
        <v>52.95</v>
      </c>
      <c r="DB170" s="228">
        <v>-14.28</v>
      </c>
      <c r="DC170" s="228">
        <v>-14.28</v>
      </c>
      <c r="DD170" s="228">
        <v>56.24</v>
      </c>
      <c r="DE170" s="228">
        <v>56.36</v>
      </c>
      <c r="DF170" s="228">
        <v>-17.57</v>
      </c>
      <c r="DG170" s="228">
        <v>-0.12</v>
      </c>
      <c r="DH170" s="228">
        <v>38.44</v>
      </c>
      <c r="DI170" s="228">
        <v>52.43</v>
      </c>
      <c r="DJ170" s="228">
        <v>-13.99</v>
      </c>
      <c r="DK170" s="228">
        <v>-13.99</v>
      </c>
      <c r="DL170" s="228">
        <v>39.090000000000003</v>
      </c>
      <c r="DM170" s="228">
        <v>53.71</v>
      </c>
      <c r="DN170" s="228">
        <v>-14.62</v>
      </c>
      <c r="DO170" s="228">
        <v>-14.62</v>
      </c>
      <c r="DP170" s="228">
        <v>0.76</v>
      </c>
      <c r="DQ170" s="228">
        <v>0.93</v>
      </c>
      <c r="DR170" s="228">
        <v>-0.17</v>
      </c>
      <c r="DS170" s="229">
        <v>-0.18279999999999999</v>
      </c>
      <c r="DT170" s="231">
        <v>40000</v>
      </c>
      <c r="DU170" s="231">
        <v>30000</v>
      </c>
      <c r="DV170" s="228">
        <v>0.42</v>
      </c>
      <c r="DW170" s="228">
        <v>0.64</v>
      </c>
      <c r="DX170" s="228">
        <v>-0.22</v>
      </c>
      <c r="DY170" s="229">
        <v>-0.34379999999999999</v>
      </c>
      <c r="DZ170" s="229">
        <v>0.94940000000000002</v>
      </c>
      <c r="EA170" s="230">
        <v>420550</v>
      </c>
      <c r="EB170" s="229">
        <v>5.0000000000000001E-3</v>
      </c>
      <c r="EC170" s="229">
        <v>0.94940000000000002</v>
      </c>
      <c r="ED170" s="228">
        <v>120.61</v>
      </c>
      <c r="EE170" s="229">
        <v>3.3999999999999998E-3</v>
      </c>
      <c r="EF170" s="230">
        <v>116292</v>
      </c>
      <c r="EG170" s="230">
        <v>52029</v>
      </c>
      <c r="EH170" s="229">
        <v>1.2351000000000001</v>
      </c>
      <c r="EI170" s="229">
        <v>0.1958</v>
      </c>
      <c r="EJ170" s="231">
        <v>1862846.7</v>
      </c>
      <c r="EK170" s="231">
        <v>700181.48</v>
      </c>
      <c r="EL170" s="231">
        <v>203240.12</v>
      </c>
      <c r="EM170" s="231">
        <v>11278</v>
      </c>
      <c r="EN170" s="231">
        <v>2766268.3</v>
      </c>
      <c r="EO170" s="231">
        <v>645695.96</v>
      </c>
      <c r="EP170" s="231">
        <v>2120572.34</v>
      </c>
      <c r="EQ170" s="229">
        <v>3.2841999999999998</v>
      </c>
      <c r="ER170" s="231">
        <v>80348</v>
      </c>
      <c r="ES170" s="231">
        <v>54245</v>
      </c>
      <c r="ET170" s="231">
        <v>160013</v>
      </c>
      <c r="EU170" s="231">
        <v>1917916</v>
      </c>
      <c r="EV170" s="231">
        <v>294606</v>
      </c>
      <c r="EW170" s="231">
        <v>422678</v>
      </c>
      <c r="EX170" s="231">
        <v>-128072</v>
      </c>
      <c r="EY170" s="229">
        <v>-0.30299999999999999</v>
      </c>
      <c r="EZ170" s="229">
        <v>0.42909999999999998</v>
      </c>
      <c r="FA170" s="227" t="s">
        <v>691</v>
      </c>
      <c r="FB170" s="161">
        <f t="shared" si="4"/>
        <v>0</v>
      </c>
    </row>
    <row r="171" spans="1:158" ht="17.25" thickBot="1" x14ac:dyDescent="0.3">
      <c r="A171" s="226">
        <v>46168</v>
      </c>
      <c r="B171" s="227" t="s">
        <v>184</v>
      </c>
      <c r="C171" s="227" t="s">
        <v>686</v>
      </c>
      <c r="D171" s="228">
        <v>575</v>
      </c>
      <c r="E171" s="231">
        <v>1024.8</v>
      </c>
      <c r="F171" s="228">
        <v>990.7</v>
      </c>
      <c r="G171" s="228">
        <v>34.1</v>
      </c>
      <c r="H171" s="229">
        <v>3.44E-2</v>
      </c>
      <c r="I171" s="231">
        <v>1016.8</v>
      </c>
      <c r="J171" s="228">
        <v>985</v>
      </c>
      <c r="K171" s="228">
        <v>31.8</v>
      </c>
      <c r="L171" s="229">
        <v>3.2300000000000002E-2</v>
      </c>
      <c r="M171" s="231">
        <v>1016.3</v>
      </c>
      <c r="N171" s="228">
        <v>984.8</v>
      </c>
      <c r="O171" s="228">
        <v>31.5</v>
      </c>
      <c r="P171" s="229">
        <v>3.2000000000000001E-2</v>
      </c>
      <c r="Q171" s="231">
        <v>1024.8</v>
      </c>
      <c r="R171" s="228">
        <v>990.7</v>
      </c>
      <c r="S171" s="228">
        <v>34.1</v>
      </c>
      <c r="T171" s="229">
        <v>3.44E-2</v>
      </c>
      <c r="U171" s="231">
        <v>1023.8</v>
      </c>
      <c r="V171" s="228">
        <v>990.3</v>
      </c>
      <c r="W171" s="228">
        <v>33.5</v>
      </c>
      <c r="X171" s="229">
        <v>3.3799999999999997E-2</v>
      </c>
      <c r="Y171" s="228">
        <v>8</v>
      </c>
      <c r="Z171" s="228">
        <v>-0.2</v>
      </c>
      <c r="AA171" s="228">
        <v>8.1999999999999993</v>
      </c>
      <c r="AB171" s="229">
        <v>7.9000000000000008E-3</v>
      </c>
      <c r="AC171" s="228">
        <v>-0.5</v>
      </c>
      <c r="AD171" s="228">
        <v>-0.2</v>
      </c>
      <c r="AE171" s="228">
        <v>-0.3</v>
      </c>
      <c r="AF171" s="229">
        <v>-5.0000000000000001E-4</v>
      </c>
      <c r="AG171" s="228">
        <v>8</v>
      </c>
      <c r="AH171" s="228">
        <v>5.7</v>
      </c>
      <c r="AI171" s="228">
        <v>2.2999999999999998</v>
      </c>
      <c r="AJ171" s="229">
        <v>7.9000000000000008E-3</v>
      </c>
      <c r="AK171" s="228">
        <v>7</v>
      </c>
      <c r="AL171" s="228">
        <v>5.3</v>
      </c>
      <c r="AM171" s="228">
        <v>1.7</v>
      </c>
      <c r="AN171" s="229">
        <v>6.8999999999999999E-3</v>
      </c>
      <c r="AO171" s="231">
        <v>1014.26</v>
      </c>
      <c r="AP171" s="231">
        <v>1020.72</v>
      </c>
      <c r="AQ171" s="228">
        <v>0</v>
      </c>
      <c r="AR171" s="230">
        <v>10221775</v>
      </c>
      <c r="AS171" s="230">
        <v>14297375</v>
      </c>
      <c r="AT171" s="230">
        <v>-4075600</v>
      </c>
      <c r="AU171" s="229">
        <v>-0.28510000000000002</v>
      </c>
      <c r="AV171" s="230">
        <v>3340175</v>
      </c>
      <c r="AW171" s="230">
        <v>5774725</v>
      </c>
      <c r="AX171" s="230">
        <v>-2434550</v>
      </c>
      <c r="AY171" s="229">
        <v>-0.42159999999999997</v>
      </c>
      <c r="AZ171" s="230">
        <v>6817775</v>
      </c>
      <c r="BA171" s="230">
        <v>8504250</v>
      </c>
      <c r="BB171" s="230">
        <v>-1686475</v>
      </c>
      <c r="BC171" s="229">
        <v>-0.1983</v>
      </c>
      <c r="BD171" s="230">
        <v>63825</v>
      </c>
      <c r="BE171" s="230">
        <v>18400</v>
      </c>
      <c r="BF171" s="230">
        <v>45425</v>
      </c>
      <c r="BG171" s="229">
        <v>2.4687999999999999</v>
      </c>
      <c r="BH171" s="230">
        <v>15193225</v>
      </c>
      <c r="BI171" s="230">
        <v>9516825</v>
      </c>
      <c r="BJ171" s="230">
        <v>5676400</v>
      </c>
      <c r="BK171" s="229">
        <v>0.59650000000000003</v>
      </c>
      <c r="BL171" s="230">
        <v>4794925</v>
      </c>
      <c r="BM171" s="230">
        <v>3459200</v>
      </c>
      <c r="BN171" s="230">
        <v>1335725</v>
      </c>
      <c r="BO171" s="229">
        <v>0.3861</v>
      </c>
      <c r="BP171" s="230">
        <v>30209925</v>
      </c>
      <c r="BQ171" s="230">
        <v>27273400</v>
      </c>
      <c r="BR171" s="230">
        <v>2936525</v>
      </c>
      <c r="BS171" s="229">
        <v>0.1077</v>
      </c>
      <c r="BT171" s="230">
        <v>3696906</v>
      </c>
      <c r="BU171" s="230">
        <v>3295126</v>
      </c>
      <c r="BV171" s="230">
        <v>401780</v>
      </c>
      <c r="BW171" s="229">
        <v>0.12189999999999999</v>
      </c>
      <c r="BX171" s="230">
        <v>12305625</v>
      </c>
      <c r="BY171" s="230">
        <v>14842550</v>
      </c>
      <c r="BZ171" s="230">
        <v>-2536925</v>
      </c>
      <c r="CA171" s="229">
        <v>-0.1709</v>
      </c>
      <c r="CB171" s="230">
        <v>1654275</v>
      </c>
      <c r="CC171" s="230">
        <v>3660450</v>
      </c>
      <c r="CD171" s="230">
        <v>-2006175</v>
      </c>
      <c r="CE171" s="229">
        <v>-0.54810000000000003</v>
      </c>
      <c r="CF171" s="230">
        <v>12250375</v>
      </c>
      <c r="CG171" s="230">
        <v>11151550</v>
      </c>
      <c r="CH171" s="230">
        <v>1098825</v>
      </c>
      <c r="CI171" s="229">
        <v>9.8500000000000004E-2</v>
      </c>
      <c r="CJ171" s="230">
        <v>55250</v>
      </c>
      <c r="CK171" s="230">
        <v>30550</v>
      </c>
      <c r="CL171" s="230">
        <v>24700</v>
      </c>
      <c r="CM171" s="229">
        <v>0.8085</v>
      </c>
      <c r="CN171" s="230">
        <v>1908075</v>
      </c>
      <c r="CO171" s="230">
        <v>4069425</v>
      </c>
      <c r="CP171" s="230">
        <v>-2161350</v>
      </c>
      <c r="CQ171" s="229">
        <v>-0.53110000000000002</v>
      </c>
      <c r="CR171" s="230">
        <v>878600</v>
      </c>
      <c r="CS171" s="230">
        <v>1865300</v>
      </c>
      <c r="CT171" s="230">
        <v>-986700</v>
      </c>
      <c r="CU171" s="229">
        <v>-0.52900000000000003</v>
      </c>
      <c r="CV171" s="230">
        <v>15092300</v>
      </c>
      <c r="CW171" s="230">
        <v>20777275</v>
      </c>
      <c r="CX171" s="230">
        <v>-5684975</v>
      </c>
      <c r="CY171" s="229">
        <v>-0.27360000000000001</v>
      </c>
      <c r="CZ171" s="228">
        <v>31.91</v>
      </c>
      <c r="DA171" s="228">
        <v>32.53</v>
      </c>
      <c r="DB171" s="228">
        <v>-0.62</v>
      </c>
      <c r="DC171" s="228">
        <v>-0.62</v>
      </c>
      <c r="DD171" s="228">
        <v>46.96</v>
      </c>
      <c r="DE171" s="228">
        <v>46.85</v>
      </c>
      <c r="DF171" s="228">
        <v>-15.05</v>
      </c>
      <c r="DG171" s="228">
        <v>0.11</v>
      </c>
      <c r="DH171" s="228">
        <v>31.86</v>
      </c>
      <c r="DI171" s="228">
        <v>32.549999999999997</v>
      </c>
      <c r="DJ171" s="228">
        <v>-0.69</v>
      </c>
      <c r="DK171" s="228">
        <v>-0.69</v>
      </c>
      <c r="DL171" s="228">
        <v>32.14</v>
      </c>
      <c r="DM171" s="228">
        <v>32.49</v>
      </c>
      <c r="DN171" s="228">
        <v>-0.35</v>
      </c>
      <c r="DO171" s="228">
        <v>-0.35</v>
      </c>
      <c r="DP171" s="228">
        <v>0.46</v>
      </c>
      <c r="DQ171" s="228">
        <v>0.46</v>
      </c>
      <c r="DR171" s="228">
        <v>0</v>
      </c>
      <c r="DS171" s="229">
        <v>0</v>
      </c>
      <c r="DT171" s="231">
        <v>1000</v>
      </c>
      <c r="DU171" s="231">
        <v>1000</v>
      </c>
      <c r="DV171" s="228">
        <v>0.32</v>
      </c>
      <c r="DW171" s="228">
        <v>0.36</v>
      </c>
      <c r="DX171" s="228">
        <v>-0.04</v>
      </c>
      <c r="DY171" s="229">
        <v>-0.1111</v>
      </c>
      <c r="DZ171" s="229">
        <v>0.88149999999999995</v>
      </c>
      <c r="EA171" s="230">
        <v>11182100</v>
      </c>
      <c r="EB171" s="229">
        <v>8.3999999999999995E-3</v>
      </c>
      <c r="EC171" s="229">
        <v>0.88149999999999995</v>
      </c>
      <c r="ED171" s="228">
        <v>6.46</v>
      </c>
      <c r="EE171" s="229">
        <v>6.4000000000000003E-3</v>
      </c>
      <c r="EF171" s="230">
        <v>1010358</v>
      </c>
      <c r="EG171" s="230">
        <v>1056353</v>
      </c>
      <c r="EH171" s="229">
        <v>-4.3499999999999997E-2</v>
      </c>
      <c r="EI171" s="229">
        <v>0.27329999999999999</v>
      </c>
      <c r="EJ171" s="231">
        <v>158501.48000000001</v>
      </c>
      <c r="EK171" s="231">
        <v>47639.56</v>
      </c>
      <c r="EL171" s="231">
        <v>104201.35</v>
      </c>
      <c r="EM171" s="231">
        <v>18407</v>
      </c>
      <c r="EN171" s="231">
        <v>310342.39</v>
      </c>
      <c r="EO171" s="231">
        <v>273100.77</v>
      </c>
      <c r="EP171" s="231">
        <v>37241.620000000003</v>
      </c>
      <c r="EQ171" s="229">
        <v>0.13639999999999999</v>
      </c>
      <c r="ER171" s="231">
        <v>19592</v>
      </c>
      <c r="ES171" s="231">
        <v>8499</v>
      </c>
      <c r="ET171" s="231">
        <v>126107</v>
      </c>
      <c r="EU171" s="231">
        <v>23961540</v>
      </c>
      <c r="EV171" s="231">
        <v>154199</v>
      </c>
      <c r="EW171" s="231">
        <v>206822</v>
      </c>
      <c r="EX171" s="231">
        <v>-52623</v>
      </c>
      <c r="EY171" s="229">
        <v>-0.25440000000000002</v>
      </c>
      <c r="EZ171" s="229">
        <v>0.62990000000000002</v>
      </c>
      <c r="FA171" s="227" t="s">
        <v>691</v>
      </c>
      <c r="FB171" s="161">
        <f t="shared" si="4"/>
        <v>0</v>
      </c>
    </row>
    <row r="172" spans="1:158" ht="17.25" thickBot="1" x14ac:dyDescent="0.3">
      <c r="A172" s="226">
        <v>46168</v>
      </c>
      <c r="B172" s="227" t="s">
        <v>206</v>
      </c>
      <c r="C172" s="227" t="s">
        <v>604</v>
      </c>
      <c r="D172" s="228">
        <v>450</v>
      </c>
      <c r="E172" s="231">
        <v>1414.2</v>
      </c>
      <c r="F172" s="231">
        <v>1413.4</v>
      </c>
      <c r="G172" s="228">
        <v>0.8</v>
      </c>
      <c r="H172" s="229">
        <v>5.9999999999999995E-4</v>
      </c>
      <c r="I172" s="231">
        <v>1402.2</v>
      </c>
      <c r="J172" s="231">
        <v>1401.4</v>
      </c>
      <c r="K172" s="228">
        <v>0.8</v>
      </c>
      <c r="L172" s="229">
        <v>5.9999999999999995E-4</v>
      </c>
      <c r="M172" s="231">
        <v>1404.6</v>
      </c>
      <c r="N172" s="231">
        <v>1404.5</v>
      </c>
      <c r="O172" s="228">
        <v>0.1</v>
      </c>
      <c r="P172" s="229">
        <v>1E-4</v>
      </c>
      <c r="Q172" s="231">
        <v>1414.2</v>
      </c>
      <c r="R172" s="231">
        <v>1413.4</v>
      </c>
      <c r="S172" s="228">
        <v>0.8</v>
      </c>
      <c r="T172" s="229">
        <v>5.9999999999999995E-4</v>
      </c>
      <c r="U172" s="231">
        <v>1422.4</v>
      </c>
      <c r="V172" s="231">
        <v>1417.9</v>
      </c>
      <c r="W172" s="228">
        <v>4.5</v>
      </c>
      <c r="X172" s="229">
        <v>3.2000000000000002E-3</v>
      </c>
      <c r="Y172" s="228">
        <v>12</v>
      </c>
      <c r="Z172" s="228">
        <v>3.1</v>
      </c>
      <c r="AA172" s="228">
        <v>8.9</v>
      </c>
      <c r="AB172" s="229">
        <v>8.6E-3</v>
      </c>
      <c r="AC172" s="228">
        <v>2.4</v>
      </c>
      <c r="AD172" s="228">
        <v>3.1</v>
      </c>
      <c r="AE172" s="228">
        <v>-0.7</v>
      </c>
      <c r="AF172" s="229">
        <v>1.6999999999999999E-3</v>
      </c>
      <c r="AG172" s="228">
        <v>12</v>
      </c>
      <c r="AH172" s="228">
        <v>12</v>
      </c>
      <c r="AI172" s="228">
        <v>0</v>
      </c>
      <c r="AJ172" s="229">
        <v>8.6E-3</v>
      </c>
      <c r="AK172" s="228">
        <v>20.2</v>
      </c>
      <c r="AL172" s="228">
        <v>16.5</v>
      </c>
      <c r="AM172" s="228">
        <v>3.7</v>
      </c>
      <c r="AN172" s="229">
        <v>1.44E-2</v>
      </c>
      <c r="AO172" s="231">
        <v>1401.63</v>
      </c>
      <c r="AP172" s="231">
        <v>1410.29</v>
      </c>
      <c r="AQ172" s="228">
        <v>0</v>
      </c>
      <c r="AR172" s="230">
        <v>1650150</v>
      </c>
      <c r="AS172" s="230">
        <v>4254750</v>
      </c>
      <c r="AT172" s="230">
        <v>-2604600</v>
      </c>
      <c r="AU172" s="229">
        <v>-0.61219999999999997</v>
      </c>
      <c r="AV172" s="230">
        <v>743400</v>
      </c>
      <c r="AW172" s="230">
        <v>1819350</v>
      </c>
      <c r="AX172" s="230">
        <v>-1075950</v>
      </c>
      <c r="AY172" s="229">
        <v>-0.59140000000000004</v>
      </c>
      <c r="AZ172" s="230">
        <v>902250</v>
      </c>
      <c r="BA172" s="230">
        <v>2418300</v>
      </c>
      <c r="BB172" s="230">
        <v>-1516050</v>
      </c>
      <c r="BC172" s="229">
        <v>-0.62690000000000001</v>
      </c>
      <c r="BD172" s="230">
        <v>4500</v>
      </c>
      <c r="BE172" s="230">
        <v>17100</v>
      </c>
      <c r="BF172" s="230">
        <v>-12600</v>
      </c>
      <c r="BG172" s="229">
        <v>-0.73680000000000001</v>
      </c>
      <c r="BH172" s="230">
        <v>935100</v>
      </c>
      <c r="BI172" s="230">
        <v>3037500</v>
      </c>
      <c r="BJ172" s="230">
        <v>-2102400</v>
      </c>
      <c r="BK172" s="229">
        <v>-0.69210000000000005</v>
      </c>
      <c r="BL172" s="230">
        <v>1056150</v>
      </c>
      <c r="BM172" s="230">
        <v>1406250</v>
      </c>
      <c r="BN172" s="230">
        <v>-350100</v>
      </c>
      <c r="BO172" s="229">
        <v>-0.249</v>
      </c>
      <c r="BP172" s="230">
        <v>3641400</v>
      </c>
      <c r="BQ172" s="230">
        <v>8698500</v>
      </c>
      <c r="BR172" s="230">
        <v>-5057100</v>
      </c>
      <c r="BS172" s="229">
        <v>-0.58140000000000003</v>
      </c>
      <c r="BT172" s="230">
        <v>712812</v>
      </c>
      <c r="BU172" s="230">
        <v>1264798</v>
      </c>
      <c r="BV172" s="230">
        <v>-551986</v>
      </c>
      <c r="BW172" s="229">
        <v>-0.43640000000000001</v>
      </c>
      <c r="BX172" s="230">
        <v>5265000</v>
      </c>
      <c r="BY172" s="230">
        <v>5537700</v>
      </c>
      <c r="BZ172" s="230">
        <v>-272700</v>
      </c>
      <c r="CA172" s="229">
        <v>-4.9200000000000001E-2</v>
      </c>
      <c r="CB172" s="230">
        <v>291600</v>
      </c>
      <c r="CC172" s="230">
        <v>653400</v>
      </c>
      <c r="CD172" s="230">
        <v>-361800</v>
      </c>
      <c r="CE172" s="229">
        <v>-0.55369999999999997</v>
      </c>
      <c r="CF172" s="230">
        <v>4937850</v>
      </c>
      <c r="CG172" s="230">
        <v>4559400</v>
      </c>
      <c r="CH172" s="230">
        <v>378450</v>
      </c>
      <c r="CI172" s="229">
        <v>8.3000000000000004E-2</v>
      </c>
      <c r="CJ172" s="230">
        <v>327150</v>
      </c>
      <c r="CK172" s="230">
        <v>324900</v>
      </c>
      <c r="CL172" s="230">
        <v>2250</v>
      </c>
      <c r="CM172" s="229">
        <v>6.8999999999999999E-3</v>
      </c>
      <c r="CN172" s="230">
        <v>258750</v>
      </c>
      <c r="CO172" s="230">
        <v>1768050</v>
      </c>
      <c r="CP172" s="230">
        <v>-1509300</v>
      </c>
      <c r="CQ172" s="229">
        <v>-0.85370000000000001</v>
      </c>
      <c r="CR172" s="230">
        <v>275850</v>
      </c>
      <c r="CS172" s="230">
        <v>1170900</v>
      </c>
      <c r="CT172" s="230">
        <v>-895050</v>
      </c>
      <c r="CU172" s="229">
        <v>-0.76439999999999997</v>
      </c>
      <c r="CV172" s="230">
        <v>5799600</v>
      </c>
      <c r="CW172" s="230">
        <v>8476650</v>
      </c>
      <c r="CX172" s="230">
        <v>-2677050</v>
      </c>
      <c r="CY172" s="229">
        <v>-0.31580000000000003</v>
      </c>
      <c r="CZ172" s="228">
        <v>33.979999999999997</v>
      </c>
      <c r="DA172" s="228">
        <v>34.71</v>
      </c>
      <c r="DB172" s="228">
        <v>-0.73</v>
      </c>
      <c r="DC172" s="228">
        <v>-0.73</v>
      </c>
      <c r="DD172" s="228">
        <v>43.87</v>
      </c>
      <c r="DE172" s="228">
        <v>43.98</v>
      </c>
      <c r="DF172" s="228">
        <v>-9.89</v>
      </c>
      <c r="DG172" s="228">
        <v>-0.11</v>
      </c>
      <c r="DH172" s="228">
        <v>33.42</v>
      </c>
      <c r="DI172" s="228">
        <v>34.85</v>
      </c>
      <c r="DJ172" s="228">
        <v>-1.43</v>
      </c>
      <c r="DK172" s="228">
        <v>-1.43</v>
      </c>
      <c r="DL172" s="228">
        <v>35.020000000000003</v>
      </c>
      <c r="DM172" s="228">
        <v>34.54</v>
      </c>
      <c r="DN172" s="228">
        <v>0.48</v>
      </c>
      <c r="DO172" s="228">
        <v>0.48</v>
      </c>
      <c r="DP172" s="228">
        <v>1.07</v>
      </c>
      <c r="DQ172" s="228">
        <v>0.66</v>
      </c>
      <c r="DR172" s="228">
        <v>0.41</v>
      </c>
      <c r="DS172" s="229">
        <v>0.62119999999999997</v>
      </c>
      <c r="DT172" s="231">
        <v>1440</v>
      </c>
      <c r="DU172" s="231">
        <v>1400</v>
      </c>
      <c r="DV172" s="228">
        <v>1.1299999999999999</v>
      </c>
      <c r="DW172" s="228">
        <v>0.46</v>
      </c>
      <c r="DX172" s="228">
        <v>0.67</v>
      </c>
      <c r="DY172" s="229">
        <v>1.4564999999999999</v>
      </c>
      <c r="DZ172" s="229">
        <v>0.94750000000000001</v>
      </c>
      <c r="EA172" s="230">
        <v>4884300</v>
      </c>
      <c r="EB172" s="229">
        <v>6.7999999999999996E-3</v>
      </c>
      <c r="EC172" s="229">
        <v>0.94750000000000001</v>
      </c>
      <c r="ED172" s="228">
        <v>8.66</v>
      </c>
      <c r="EE172" s="229">
        <v>6.1999999999999998E-3</v>
      </c>
      <c r="EF172" s="230">
        <v>430209</v>
      </c>
      <c r="EG172" s="230">
        <v>717089</v>
      </c>
      <c r="EH172" s="229">
        <v>-0.40010000000000001</v>
      </c>
      <c r="EI172" s="229">
        <v>0.60350000000000004</v>
      </c>
      <c r="EJ172" s="231">
        <v>13443.19</v>
      </c>
      <c r="EK172" s="231">
        <v>14825.43</v>
      </c>
      <c r="EL172" s="231">
        <v>23207.99</v>
      </c>
      <c r="EM172" s="231">
        <v>6737</v>
      </c>
      <c r="EN172" s="231">
        <v>51476.61</v>
      </c>
      <c r="EO172" s="231">
        <v>123502.24</v>
      </c>
      <c r="EP172" s="231">
        <v>-72025.63</v>
      </c>
      <c r="EQ172" s="229">
        <v>-0.58320000000000005</v>
      </c>
      <c r="ER172" s="231">
        <v>3776</v>
      </c>
      <c r="ES172" s="231">
        <v>3769</v>
      </c>
      <c r="ET172" s="231">
        <v>74484</v>
      </c>
      <c r="EU172" s="231">
        <v>25234534</v>
      </c>
      <c r="EV172" s="231">
        <v>82030</v>
      </c>
      <c r="EW172" s="231">
        <v>119960</v>
      </c>
      <c r="EX172" s="231">
        <v>-37930</v>
      </c>
      <c r="EY172" s="229">
        <v>-0.31619999999999998</v>
      </c>
      <c r="EZ172" s="229">
        <v>0.2298</v>
      </c>
      <c r="FA172" s="227" t="s">
        <v>691</v>
      </c>
      <c r="FB172" s="161">
        <f t="shared" si="4"/>
        <v>0</v>
      </c>
    </row>
    <row r="173" spans="1:158" ht="17.25" thickBot="1" x14ac:dyDescent="0.3">
      <c r="A173" s="226">
        <v>46168</v>
      </c>
      <c r="B173" s="227" t="s">
        <v>172</v>
      </c>
      <c r="C173" s="227" t="s">
        <v>279</v>
      </c>
      <c r="D173" s="228">
        <v>3175</v>
      </c>
      <c r="E173" s="228">
        <v>347.15</v>
      </c>
      <c r="F173" s="228">
        <v>346.3</v>
      </c>
      <c r="G173" s="228">
        <v>0.85</v>
      </c>
      <c r="H173" s="229">
        <v>2.5000000000000001E-3</v>
      </c>
      <c r="I173" s="228">
        <v>344.25</v>
      </c>
      <c r="J173" s="228">
        <v>343.35</v>
      </c>
      <c r="K173" s="228">
        <v>0.9</v>
      </c>
      <c r="L173" s="229">
        <v>2.5999999999999999E-3</v>
      </c>
      <c r="M173" s="228">
        <v>344.8</v>
      </c>
      <c r="N173" s="228">
        <v>344.3</v>
      </c>
      <c r="O173" s="228">
        <v>0.5</v>
      </c>
      <c r="P173" s="229">
        <v>1.5E-3</v>
      </c>
      <c r="Q173" s="228">
        <v>347.15</v>
      </c>
      <c r="R173" s="228">
        <v>346.3</v>
      </c>
      <c r="S173" s="228">
        <v>0.85</v>
      </c>
      <c r="T173" s="229">
        <v>2.5000000000000001E-3</v>
      </c>
      <c r="U173" s="228">
        <v>349.25</v>
      </c>
      <c r="V173" s="228">
        <v>348.05</v>
      </c>
      <c r="W173" s="228">
        <v>1.2</v>
      </c>
      <c r="X173" s="229">
        <v>3.3999999999999998E-3</v>
      </c>
      <c r="Y173" s="228">
        <v>2.9</v>
      </c>
      <c r="Z173" s="228">
        <v>0.95</v>
      </c>
      <c r="AA173" s="228">
        <v>1.95</v>
      </c>
      <c r="AB173" s="229">
        <v>8.3999999999999995E-3</v>
      </c>
      <c r="AC173" s="228">
        <v>0.55000000000000004</v>
      </c>
      <c r="AD173" s="228">
        <v>0.95</v>
      </c>
      <c r="AE173" s="228">
        <v>-0.4</v>
      </c>
      <c r="AF173" s="229">
        <v>1.6000000000000001E-3</v>
      </c>
      <c r="AG173" s="228">
        <v>2.9</v>
      </c>
      <c r="AH173" s="228">
        <v>2.95</v>
      </c>
      <c r="AI173" s="228">
        <v>-0.05</v>
      </c>
      <c r="AJ173" s="229">
        <v>8.3999999999999995E-3</v>
      </c>
      <c r="AK173" s="228">
        <v>5</v>
      </c>
      <c r="AL173" s="228">
        <v>4.7</v>
      </c>
      <c r="AM173" s="228">
        <v>0.3</v>
      </c>
      <c r="AN173" s="229">
        <v>1.4500000000000001E-2</v>
      </c>
      <c r="AO173" s="228">
        <v>344.41</v>
      </c>
      <c r="AP173" s="228">
        <v>346.54</v>
      </c>
      <c r="AQ173" s="228">
        <v>0</v>
      </c>
      <c r="AR173" s="230">
        <v>32870775</v>
      </c>
      <c r="AS173" s="230">
        <v>51435000</v>
      </c>
      <c r="AT173" s="230">
        <v>-18564225</v>
      </c>
      <c r="AU173" s="229">
        <v>-0.3609</v>
      </c>
      <c r="AV173" s="230">
        <v>15014575</v>
      </c>
      <c r="AW173" s="230">
        <v>24006175</v>
      </c>
      <c r="AX173" s="230">
        <v>-8991600</v>
      </c>
      <c r="AY173" s="229">
        <v>-0.37459999999999999</v>
      </c>
      <c r="AZ173" s="230">
        <v>17745075</v>
      </c>
      <c r="BA173" s="230">
        <v>27343100</v>
      </c>
      <c r="BB173" s="230">
        <v>-9598025</v>
      </c>
      <c r="BC173" s="229">
        <v>-0.35099999999999998</v>
      </c>
      <c r="BD173" s="230">
        <v>111125</v>
      </c>
      <c r="BE173" s="230">
        <v>85725</v>
      </c>
      <c r="BF173" s="230">
        <v>25400</v>
      </c>
      <c r="BG173" s="229">
        <v>0.29630000000000001</v>
      </c>
      <c r="BH173" s="230">
        <v>20796250</v>
      </c>
      <c r="BI173" s="230">
        <v>47853600</v>
      </c>
      <c r="BJ173" s="230">
        <v>-27057350</v>
      </c>
      <c r="BK173" s="229">
        <v>-0.56540000000000001</v>
      </c>
      <c r="BL173" s="230">
        <v>13366750</v>
      </c>
      <c r="BM173" s="230">
        <v>22034500</v>
      </c>
      <c r="BN173" s="230">
        <v>-8667750</v>
      </c>
      <c r="BO173" s="229">
        <v>-0.39340000000000003</v>
      </c>
      <c r="BP173" s="230">
        <v>67033775</v>
      </c>
      <c r="BQ173" s="230">
        <v>121323100</v>
      </c>
      <c r="BR173" s="230">
        <v>-54289325</v>
      </c>
      <c r="BS173" s="229">
        <v>-0.44750000000000001</v>
      </c>
      <c r="BT173" s="230">
        <v>3121451</v>
      </c>
      <c r="BU173" s="230">
        <v>5825364</v>
      </c>
      <c r="BV173" s="230">
        <v>-2703913</v>
      </c>
      <c r="BW173" s="229">
        <v>-0.4642</v>
      </c>
      <c r="BX173" s="230">
        <v>67262375</v>
      </c>
      <c r="BY173" s="230">
        <v>74596625</v>
      </c>
      <c r="BZ173" s="230">
        <v>-7334250</v>
      </c>
      <c r="CA173" s="229">
        <v>-9.8299999999999998E-2</v>
      </c>
      <c r="CB173" s="230">
        <v>5892800</v>
      </c>
      <c r="CC173" s="230">
        <v>16675100</v>
      </c>
      <c r="CD173" s="230">
        <v>-10782300</v>
      </c>
      <c r="CE173" s="229">
        <v>-0.64659999999999995</v>
      </c>
      <c r="CF173" s="230">
        <v>65687575</v>
      </c>
      <c r="CG173" s="230">
        <v>56410225</v>
      </c>
      <c r="CH173" s="230">
        <v>9277350</v>
      </c>
      <c r="CI173" s="229">
        <v>0.16450000000000001</v>
      </c>
      <c r="CJ173" s="230">
        <v>1574800</v>
      </c>
      <c r="CK173" s="230">
        <v>1511300</v>
      </c>
      <c r="CL173" s="230">
        <v>63500</v>
      </c>
      <c r="CM173" s="229">
        <v>4.2000000000000003E-2</v>
      </c>
      <c r="CN173" s="230">
        <v>9896475</v>
      </c>
      <c r="CO173" s="230">
        <v>23517225</v>
      </c>
      <c r="CP173" s="230">
        <v>-13620750</v>
      </c>
      <c r="CQ173" s="229">
        <v>-0.57920000000000005</v>
      </c>
      <c r="CR173" s="230">
        <v>6207125</v>
      </c>
      <c r="CS173" s="230">
        <v>15754350</v>
      </c>
      <c r="CT173" s="230">
        <v>-9547225</v>
      </c>
      <c r="CU173" s="229">
        <v>-0.60599999999999998</v>
      </c>
      <c r="CV173" s="230">
        <v>83365975</v>
      </c>
      <c r="CW173" s="230">
        <v>113868200</v>
      </c>
      <c r="CX173" s="230">
        <v>-30502225</v>
      </c>
      <c r="CY173" s="229">
        <v>-0.26790000000000003</v>
      </c>
      <c r="CZ173" s="228">
        <v>31.39</v>
      </c>
      <c r="DA173" s="228">
        <v>33.58</v>
      </c>
      <c r="DB173" s="228">
        <v>-2.19</v>
      </c>
      <c r="DC173" s="228">
        <v>-2.19</v>
      </c>
      <c r="DD173" s="228">
        <v>43.24</v>
      </c>
      <c r="DE173" s="228">
        <v>43.34</v>
      </c>
      <c r="DF173" s="228">
        <v>-11.85</v>
      </c>
      <c r="DG173" s="228">
        <v>-0.1</v>
      </c>
      <c r="DH173" s="228">
        <v>30.66</v>
      </c>
      <c r="DI173" s="228">
        <v>33.630000000000003</v>
      </c>
      <c r="DJ173" s="228">
        <v>-2.97</v>
      </c>
      <c r="DK173" s="228">
        <v>-2.97</v>
      </c>
      <c r="DL173" s="228">
        <v>32.75</v>
      </c>
      <c r="DM173" s="228">
        <v>33.51</v>
      </c>
      <c r="DN173" s="228">
        <v>-0.76</v>
      </c>
      <c r="DO173" s="228">
        <v>-0.76</v>
      </c>
      <c r="DP173" s="228">
        <v>0.63</v>
      </c>
      <c r="DQ173" s="228">
        <v>0.67</v>
      </c>
      <c r="DR173" s="228">
        <v>-0.04</v>
      </c>
      <c r="DS173" s="229">
        <v>-5.9700000000000003E-2</v>
      </c>
      <c r="DT173" s="228">
        <v>350</v>
      </c>
      <c r="DU173" s="228">
        <v>300</v>
      </c>
      <c r="DV173" s="228">
        <v>0.64</v>
      </c>
      <c r="DW173" s="228">
        <v>0.46</v>
      </c>
      <c r="DX173" s="228">
        <v>0.18</v>
      </c>
      <c r="DY173" s="229">
        <v>0.39129999999999998</v>
      </c>
      <c r="DZ173" s="229">
        <v>0.9194</v>
      </c>
      <c r="EA173" s="230">
        <v>57921525</v>
      </c>
      <c r="EB173" s="229">
        <v>6.7999999999999996E-3</v>
      </c>
      <c r="EC173" s="229">
        <v>0.9194</v>
      </c>
      <c r="ED173" s="228">
        <v>2.13</v>
      </c>
      <c r="EE173" s="229">
        <v>6.1999999999999998E-3</v>
      </c>
      <c r="EF173" s="230">
        <v>1066248</v>
      </c>
      <c r="EG173" s="230">
        <v>1912825</v>
      </c>
      <c r="EH173" s="229">
        <v>-0.44259999999999999</v>
      </c>
      <c r="EI173" s="229">
        <v>0.34160000000000001</v>
      </c>
      <c r="EJ173" s="231">
        <v>74013.990000000005</v>
      </c>
      <c r="EK173" s="231">
        <v>43726.07</v>
      </c>
      <c r="EL173" s="231">
        <v>113592.57</v>
      </c>
      <c r="EM173" s="231">
        <v>10435</v>
      </c>
      <c r="EN173" s="231">
        <v>231332.63</v>
      </c>
      <c r="EO173" s="231">
        <v>419236.54</v>
      </c>
      <c r="EP173" s="231">
        <v>-187903.91</v>
      </c>
      <c r="EQ173" s="229">
        <v>-0.44819999999999999</v>
      </c>
      <c r="ER173" s="231">
        <v>34949</v>
      </c>
      <c r="ES173" s="231">
        <v>20134</v>
      </c>
      <c r="ET173" s="231">
        <v>233534</v>
      </c>
      <c r="EU173" s="231">
        <v>92573471</v>
      </c>
      <c r="EV173" s="231">
        <v>288617</v>
      </c>
      <c r="EW173" s="231">
        <v>390874</v>
      </c>
      <c r="EX173" s="231">
        <v>-102257</v>
      </c>
      <c r="EY173" s="229">
        <v>-0.2616</v>
      </c>
      <c r="EZ173" s="229">
        <v>0.90049999999999997</v>
      </c>
      <c r="FA173" s="227" t="s">
        <v>691</v>
      </c>
      <c r="FB173" s="161">
        <f t="shared" si="4"/>
        <v>0</v>
      </c>
    </row>
    <row r="174" spans="1:158" ht="17.25" thickBot="1" x14ac:dyDescent="0.3">
      <c r="A174" s="226">
        <v>46168</v>
      </c>
      <c r="B174" s="227" t="s">
        <v>175</v>
      </c>
      <c r="C174" s="227" t="s">
        <v>280</v>
      </c>
      <c r="D174" s="228">
        <v>1400</v>
      </c>
      <c r="E174" s="228">
        <v>340.1</v>
      </c>
      <c r="F174" s="228">
        <v>344.85</v>
      </c>
      <c r="G174" s="228">
        <v>-4.75</v>
      </c>
      <c r="H174" s="229">
        <v>-1.38E-2</v>
      </c>
      <c r="I174" s="228">
        <v>337.6</v>
      </c>
      <c r="J174" s="228">
        <v>342.2</v>
      </c>
      <c r="K174" s="228">
        <v>-4.5999999999999996</v>
      </c>
      <c r="L174" s="229">
        <v>-1.34E-2</v>
      </c>
      <c r="M174" s="228">
        <v>338</v>
      </c>
      <c r="N174" s="228">
        <v>342.95</v>
      </c>
      <c r="O174" s="228">
        <v>-4.95</v>
      </c>
      <c r="P174" s="229">
        <v>-1.44E-2</v>
      </c>
      <c r="Q174" s="228">
        <v>340.1</v>
      </c>
      <c r="R174" s="228">
        <v>344.85</v>
      </c>
      <c r="S174" s="228">
        <v>-4.75</v>
      </c>
      <c r="T174" s="229">
        <v>-1.38E-2</v>
      </c>
      <c r="U174" s="228">
        <v>341.95</v>
      </c>
      <c r="V174" s="228">
        <v>346.05</v>
      </c>
      <c r="W174" s="228">
        <v>-4.0999999999999996</v>
      </c>
      <c r="X174" s="229">
        <v>-1.18E-2</v>
      </c>
      <c r="Y174" s="228">
        <v>2.5</v>
      </c>
      <c r="Z174" s="228">
        <v>0.75</v>
      </c>
      <c r="AA174" s="228">
        <v>1.75</v>
      </c>
      <c r="AB174" s="229">
        <v>7.4000000000000003E-3</v>
      </c>
      <c r="AC174" s="228">
        <v>0.4</v>
      </c>
      <c r="AD174" s="228">
        <v>0.75</v>
      </c>
      <c r="AE174" s="228">
        <v>-0.35</v>
      </c>
      <c r="AF174" s="229">
        <v>1.1999999999999999E-3</v>
      </c>
      <c r="AG174" s="228">
        <v>2.5</v>
      </c>
      <c r="AH174" s="228">
        <v>2.65</v>
      </c>
      <c r="AI174" s="228">
        <v>-0.15</v>
      </c>
      <c r="AJ174" s="229">
        <v>7.4000000000000003E-3</v>
      </c>
      <c r="AK174" s="228">
        <v>4.3499999999999996</v>
      </c>
      <c r="AL174" s="228">
        <v>3.85</v>
      </c>
      <c r="AM174" s="228">
        <v>0.5</v>
      </c>
      <c r="AN174" s="229">
        <v>1.29E-2</v>
      </c>
      <c r="AO174" s="228">
        <v>339.79</v>
      </c>
      <c r="AP174" s="228">
        <v>341.83</v>
      </c>
      <c r="AQ174" s="228">
        <v>0</v>
      </c>
      <c r="AR174" s="230">
        <v>33861800</v>
      </c>
      <c r="AS174" s="230">
        <v>46509400</v>
      </c>
      <c r="AT174" s="230">
        <v>-12647600</v>
      </c>
      <c r="AU174" s="229">
        <v>-0.27189999999999998</v>
      </c>
      <c r="AV174" s="230">
        <v>16077600</v>
      </c>
      <c r="AW174" s="230">
        <v>22656200</v>
      </c>
      <c r="AX174" s="230">
        <v>-6578600</v>
      </c>
      <c r="AY174" s="229">
        <v>-0.29039999999999999</v>
      </c>
      <c r="AZ174" s="230">
        <v>17113600</v>
      </c>
      <c r="BA174" s="230">
        <v>23398200</v>
      </c>
      <c r="BB174" s="230">
        <v>-6284600</v>
      </c>
      <c r="BC174" s="229">
        <v>-0.26860000000000001</v>
      </c>
      <c r="BD174" s="230">
        <v>670600</v>
      </c>
      <c r="BE174" s="230">
        <v>455000</v>
      </c>
      <c r="BF174" s="230">
        <v>215600</v>
      </c>
      <c r="BG174" s="229">
        <v>0.4738</v>
      </c>
      <c r="BH174" s="230">
        <v>18946200</v>
      </c>
      <c r="BI174" s="230">
        <v>26111400</v>
      </c>
      <c r="BJ174" s="230">
        <v>-7165200</v>
      </c>
      <c r="BK174" s="229">
        <v>-0.27439999999999998</v>
      </c>
      <c r="BL174" s="230">
        <v>11545800</v>
      </c>
      <c r="BM174" s="230">
        <v>14669200</v>
      </c>
      <c r="BN174" s="230">
        <v>-3123400</v>
      </c>
      <c r="BO174" s="229">
        <v>-0.21290000000000001</v>
      </c>
      <c r="BP174" s="230">
        <v>64353800</v>
      </c>
      <c r="BQ174" s="230">
        <v>87290000</v>
      </c>
      <c r="BR174" s="230">
        <v>-22936200</v>
      </c>
      <c r="BS174" s="229">
        <v>-0.26279999999999998</v>
      </c>
      <c r="BT174" s="230">
        <v>4208989</v>
      </c>
      <c r="BU174" s="230">
        <v>3616831</v>
      </c>
      <c r="BV174" s="230">
        <v>592158</v>
      </c>
      <c r="BW174" s="229">
        <v>0.16370000000000001</v>
      </c>
      <c r="BX174" s="230">
        <v>64734250</v>
      </c>
      <c r="BY174" s="230">
        <v>70181650</v>
      </c>
      <c r="BZ174" s="230">
        <v>-5447400</v>
      </c>
      <c r="CA174" s="229">
        <v>-7.7600000000000002E-2</v>
      </c>
      <c r="CB174" s="230">
        <v>6235600</v>
      </c>
      <c r="CC174" s="230">
        <v>19264000</v>
      </c>
      <c r="CD174" s="230">
        <v>-13028400</v>
      </c>
      <c r="CE174" s="229">
        <v>-0.67630000000000001</v>
      </c>
      <c r="CF174" s="230">
        <v>62847400</v>
      </c>
      <c r="CG174" s="230">
        <v>49408800</v>
      </c>
      <c r="CH174" s="230">
        <v>13438600</v>
      </c>
      <c r="CI174" s="229">
        <v>0.27200000000000002</v>
      </c>
      <c r="CJ174" s="230">
        <v>1886850</v>
      </c>
      <c r="CK174" s="230">
        <v>1508850</v>
      </c>
      <c r="CL174" s="230">
        <v>378000</v>
      </c>
      <c r="CM174" s="229">
        <v>0.2505</v>
      </c>
      <c r="CN174" s="230">
        <v>13408500</v>
      </c>
      <c r="CO174" s="230">
        <v>28133175</v>
      </c>
      <c r="CP174" s="230">
        <v>-14724675</v>
      </c>
      <c r="CQ174" s="229">
        <v>-0.52339999999999998</v>
      </c>
      <c r="CR174" s="230">
        <v>11838750</v>
      </c>
      <c r="CS174" s="230">
        <v>18249350</v>
      </c>
      <c r="CT174" s="230">
        <v>-6410600</v>
      </c>
      <c r="CU174" s="229">
        <v>-0.3513</v>
      </c>
      <c r="CV174" s="230">
        <v>89981500</v>
      </c>
      <c r="CW174" s="230">
        <v>116564175</v>
      </c>
      <c r="CX174" s="230">
        <v>-26582675</v>
      </c>
      <c r="CY174" s="229">
        <v>-0.2281</v>
      </c>
      <c r="CZ174" s="228">
        <v>26.24</v>
      </c>
      <c r="DA174" s="228">
        <v>27.4</v>
      </c>
      <c r="DB174" s="228">
        <v>-1.1599999999999999</v>
      </c>
      <c r="DC174" s="228">
        <v>-1.1599999999999999</v>
      </c>
      <c r="DD174" s="228">
        <v>41.37</v>
      </c>
      <c r="DE174" s="228">
        <v>41.43</v>
      </c>
      <c r="DF174" s="228">
        <v>-15.13</v>
      </c>
      <c r="DG174" s="228">
        <v>-0.06</v>
      </c>
      <c r="DH174" s="228">
        <v>26.47</v>
      </c>
      <c r="DI174" s="228">
        <v>27.29</v>
      </c>
      <c r="DJ174" s="228">
        <v>-0.82</v>
      </c>
      <c r="DK174" s="228">
        <v>-0.82</v>
      </c>
      <c r="DL174" s="228">
        <v>25.85</v>
      </c>
      <c r="DM174" s="228">
        <v>27.59</v>
      </c>
      <c r="DN174" s="228">
        <v>-1.74</v>
      </c>
      <c r="DO174" s="228">
        <v>-1.74</v>
      </c>
      <c r="DP174" s="228">
        <v>0.88</v>
      </c>
      <c r="DQ174" s="228">
        <v>0.65</v>
      </c>
      <c r="DR174" s="228">
        <v>0.23</v>
      </c>
      <c r="DS174" s="229">
        <v>0.3538</v>
      </c>
      <c r="DT174" s="228">
        <v>360</v>
      </c>
      <c r="DU174" s="228">
        <v>340</v>
      </c>
      <c r="DV174" s="228">
        <v>0.61</v>
      </c>
      <c r="DW174" s="228">
        <v>0.56000000000000005</v>
      </c>
      <c r="DX174" s="228">
        <v>0.05</v>
      </c>
      <c r="DY174" s="229">
        <v>8.9300000000000004E-2</v>
      </c>
      <c r="DZ174" s="229">
        <v>0.91210000000000002</v>
      </c>
      <c r="EA174" s="230">
        <v>50917650</v>
      </c>
      <c r="EB174" s="229">
        <v>6.1999999999999998E-3</v>
      </c>
      <c r="EC174" s="229">
        <v>0.91210000000000002</v>
      </c>
      <c r="ED174" s="228">
        <v>2.04</v>
      </c>
      <c r="EE174" s="229">
        <v>6.0000000000000001E-3</v>
      </c>
      <c r="EF174" s="230">
        <v>2256706</v>
      </c>
      <c r="EG174" s="230">
        <v>1735426</v>
      </c>
      <c r="EH174" s="229">
        <v>0.3004</v>
      </c>
      <c r="EI174" s="229">
        <v>0.53620000000000001</v>
      </c>
      <c r="EJ174" s="231">
        <v>69552.73</v>
      </c>
      <c r="EK174" s="231">
        <v>42470.9</v>
      </c>
      <c r="EL174" s="231">
        <v>115725.22</v>
      </c>
      <c r="EM174" s="231">
        <v>16077</v>
      </c>
      <c r="EN174" s="231">
        <v>227748.85</v>
      </c>
      <c r="EO174" s="231">
        <v>305964.49</v>
      </c>
      <c r="EP174" s="231">
        <v>-78215.64</v>
      </c>
      <c r="EQ174" s="229">
        <v>-0.25559999999999999</v>
      </c>
      <c r="ER174" s="231">
        <v>48686</v>
      </c>
      <c r="ES174" s="231">
        <v>40958</v>
      </c>
      <c r="ET174" s="231">
        <v>220196</v>
      </c>
      <c r="EU174" s="231">
        <v>187084550</v>
      </c>
      <c r="EV174" s="231">
        <v>309840</v>
      </c>
      <c r="EW174" s="231">
        <v>409926</v>
      </c>
      <c r="EX174" s="231">
        <v>-100086</v>
      </c>
      <c r="EY174" s="229">
        <v>-0.2442</v>
      </c>
      <c r="EZ174" s="229">
        <v>0.48099999999999998</v>
      </c>
      <c r="FA174" s="227" t="s">
        <v>567</v>
      </c>
      <c r="FB174" s="161">
        <f t="shared" si="4"/>
        <v>0</v>
      </c>
    </row>
    <row r="175" spans="1:158" ht="17.25" thickBot="1" x14ac:dyDescent="0.3">
      <c r="A175" s="226">
        <v>46168</v>
      </c>
      <c r="B175" s="227" t="s">
        <v>193</v>
      </c>
      <c r="C175" s="227" t="s">
        <v>281</v>
      </c>
      <c r="D175" s="228">
        <v>500</v>
      </c>
      <c r="E175" s="231">
        <v>1363.9</v>
      </c>
      <c r="F175" s="231">
        <v>1374.7</v>
      </c>
      <c r="G175" s="228">
        <v>-10.8</v>
      </c>
      <c r="H175" s="229">
        <v>-7.9000000000000008E-3</v>
      </c>
      <c r="I175" s="231">
        <v>1356.3</v>
      </c>
      <c r="J175" s="231">
        <v>1367</v>
      </c>
      <c r="K175" s="228">
        <v>-10.7</v>
      </c>
      <c r="L175" s="229">
        <v>-7.7999999999999996E-3</v>
      </c>
      <c r="M175" s="231">
        <v>1354.5</v>
      </c>
      <c r="N175" s="231">
        <v>1366.6</v>
      </c>
      <c r="O175" s="228">
        <v>-12.1</v>
      </c>
      <c r="P175" s="229">
        <v>-8.8999999999999999E-3</v>
      </c>
      <c r="Q175" s="231">
        <v>1363.9</v>
      </c>
      <c r="R175" s="231">
        <v>1374.7</v>
      </c>
      <c r="S175" s="228">
        <v>-10.8</v>
      </c>
      <c r="T175" s="229">
        <v>-7.9000000000000008E-3</v>
      </c>
      <c r="U175" s="231">
        <v>1370.8</v>
      </c>
      <c r="V175" s="231">
        <v>1382.6</v>
      </c>
      <c r="W175" s="228">
        <v>-11.8</v>
      </c>
      <c r="X175" s="229">
        <v>-8.5000000000000006E-3</v>
      </c>
      <c r="Y175" s="228">
        <v>7.6</v>
      </c>
      <c r="Z175" s="228">
        <v>-0.4</v>
      </c>
      <c r="AA175" s="228">
        <v>8</v>
      </c>
      <c r="AB175" s="229">
        <v>5.5999999999999999E-3</v>
      </c>
      <c r="AC175" s="228">
        <v>-1.8</v>
      </c>
      <c r="AD175" s="228">
        <v>-0.4</v>
      </c>
      <c r="AE175" s="228">
        <v>-1.4</v>
      </c>
      <c r="AF175" s="229">
        <v>-1.2999999999999999E-3</v>
      </c>
      <c r="AG175" s="228">
        <v>7.6</v>
      </c>
      <c r="AH175" s="228">
        <v>7.7</v>
      </c>
      <c r="AI175" s="228">
        <v>-0.1</v>
      </c>
      <c r="AJ175" s="229">
        <v>5.5999999999999999E-3</v>
      </c>
      <c r="AK175" s="228">
        <v>14.5</v>
      </c>
      <c r="AL175" s="228">
        <v>15.6</v>
      </c>
      <c r="AM175" s="228">
        <v>-1.1000000000000001</v>
      </c>
      <c r="AN175" s="229">
        <v>1.0699999999999999E-2</v>
      </c>
      <c r="AO175" s="231">
        <v>1360.63</v>
      </c>
      <c r="AP175" s="231">
        <v>1369.68</v>
      </c>
      <c r="AQ175" s="228">
        <v>0</v>
      </c>
      <c r="AR175" s="230">
        <v>28096000</v>
      </c>
      <c r="AS175" s="230">
        <v>47021500</v>
      </c>
      <c r="AT175" s="230">
        <v>-18925500</v>
      </c>
      <c r="AU175" s="229">
        <v>-0.40250000000000002</v>
      </c>
      <c r="AV175" s="230">
        <v>12335500</v>
      </c>
      <c r="AW175" s="230">
        <v>22826500</v>
      </c>
      <c r="AX175" s="230">
        <v>-10491000</v>
      </c>
      <c r="AY175" s="229">
        <v>-0.45960000000000001</v>
      </c>
      <c r="AZ175" s="230">
        <v>14932500</v>
      </c>
      <c r="BA175" s="230">
        <v>23594500</v>
      </c>
      <c r="BB175" s="230">
        <v>-8662000</v>
      </c>
      <c r="BC175" s="229">
        <v>-0.36709999999999998</v>
      </c>
      <c r="BD175" s="230">
        <v>828000</v>
      </c>
      <c r="BE175" s="230">
        <v>600500</v>
      </c>
      <c r="BF175" s="230">
        <v>227500</v>
      </c>
      <c r="BG175" s="229">
        <v>0.37890000000000001</v>
      </c>
      <c r="BH175" s="230">
        <v>60967500</v>
      </c>
      <c r="BI175" s="230">
        <v>88809000</v>
      </c>
      <c r="BJ175" s="230">
        <v>-27841500</v>
      </c>
      <c r="BK175" s="229">
        <v>-0.3135</v>
      </c>
      <c r="BL175" s="230">
        <v>33244500</v>
      </c>
      <c r="BM175" s="230">
        <v>54792000</v>
      </c>
      <c r="BN175" s="230">
        <v>-21547500</v>
      </c>
      <c r="BO175" s="229">
        <v>-0.39329999999999998</v>
      </c>
      <c r="BP175" s="230">
        <v>122308000</v>
      </c>
      <c r="BQ175" s="230">
        <v>190622500</v>
      </c>
      <c r="BR175" s="230">
        <v>-68314500</v>
      </c>
      <c r="BS175" s="229">
        <v>-0.3584</v>
      </c>
      <c r="BT175" s="230">
        <v>15073940</v>
      </c>
      <c r="BU175" s="230">
        <v>7375982</v>
      </c>
      <c r="BV175" s="230">
        <v>7697958</v>
      </c>
      <c r="BW175" s="229">
        <v>1.0437000000000001</v>
      </c>
      <c r="BX175" s="230">
        <v>114260000</v>
      </c>
      <c r="BY175" s="230">
        <v>119427000</v>
      </c>
      <c r="BZ175" s="230">
        <v>-5167000</v>
      </c>
      <c r="CA175" s="229">
        <v>-4.3299999999999998E-2</v>
      </c>
      <c r="CB175" s="230">
        <v>6360500</v>
      </c>
      <c r="CC175" s="230">
        <v>14591000</v>
      </c>
      <c r="CD175" s="230">
        <v>-8230500</v>
      </c>
      <c r="CE175" s="229">
        <v>-0.56410000000000005</v>
      </c>
      <c r="CF175" s="230">
        <v>106842500</v>
      </c>
      <c r="CG175" s="230">
        <v>98016000</v>
      </c>
      <c r="CH175" s="230">
        <v>8826500</v>
      </c>
      <c r="CI175" s="229">
        <v>9.01E-2</v>
      </c>
      <c r="CJ175" s="230">
        <v>7417500</v>
      </c>
      <c r="CK175" s="230">
        <v>6820000</v>
      </c>
      <c r="CL175" s="230">
        <v>597500</v>
      </c>
      <c r="CM175" s="229">
        <v>8.7599999999999997E-2</v>
      </c>
      <c r="CN175" s="230">
        <v>30180000</v>
      </c>
      <c r="CO175" s="230">
        <v>70260000</v>
      </c>
      <c r="CP175" s="230">
        <v>-40080000</v>
      </c>
      <c r="CQ175" s="229">
        <v>-0.57050000000000001</v>
      </c>
      <c r="CR175" s="230">
        <v>26071500</v>
      </c>
      <c r="CS175" s="230">
        <v>42127500</v>
      </c>
      <c r="CT175" s="230">
        <v>-16056000</v>
      </c>
      <c r="CU175" s="229">
        <v>-0.38109999999999999</v>
      </c>
      <c r="CV175" s="230">
        <v>170511500</v>
      </c>
      <c r="CW175" s="230">
        <v>231814500</v>
      </c>
      <c r="CX175" s="230">
        <v>-61303000</v>
      </c>
      <c r="CY175" s="229">
        <v>-0.26440000000000002</v>
      </c>
      <c r="CZ175" s="228">
        <v>21.45</v>
      </c>
      <c r="DA175" s="228">
        <v>22.85</v>
      </c>
      <c r="DB175" s="228">
        <v>-1.4</v>
      </c>
      <c r="DC175" s="228">
        <v>-1.4</v>
      </c>
      <c r="DD175" s="228">
        <v>26.75</v>
      </c>
      <c r="DE175" s="228">
        <v>26.79</v>
      </c>
      <c r="DF175" s="228">
        <v>-5.3</v>
      </c>
      <c r="DG175" s="228">
        <v>-0.04</v>
      </c>
      <c r="DH175" s="228">
        <v>21.37</v>
      </c>
      <c r="DI175" s="228">
        <v>22.71</v>
      </c>
      <c r="DJ175" s="228">
        <v>-1.34</v>
      </c>
      <c r="DK175" s="228">
        <v>-1.34</v>
      </c>
      <c r="DL175" s="228">
        <v>21.58</v>
      </c>
      <c r="DM175" s="228">
        <v>23.07</v>
      </c>
      <c r="DN175" s="228">
        <v>-1.49</v>
      </c>
      <c r="DO175" s="228">
        <v>-1.49</v>
      </c>
      <c r="DP175" s="228">
        <v>0.86</v>
      </c>
      <c r="DQ175" s="228">
        <v>0.6</v>
      </c>
      <c r="DR175" s="228">
        <v>0.26</v>
      </c>
      <c r="DS175" s="229">
        <v>0.43330000000000002</v>
      </c>
      <c r="DT175" s="231">
        <v>1500</v>
      </c>
      <c r="DU175" s="231">
        <v>1360</v>
      </c>
      <c r="DV175" s="228">
        <v>0.55000000000000004</v>
      </c>
      <c r="DW175" s="228">
        <v>0.62</v>
      </c>
      <c r="DX175" s="228">
        <v>-7.0000000000000007E-2</v>
      </c>
      <c r="DY175" s="229">
        <v>-0.1129</v>
      </c>
      <c r="DZ175" s="229">
        <v>0.94730000000000003</v>
      </c>
      <c r="EA175" s="230">
        <v>104836000</v>
      </c>
      <c r="EB175" s="229">
        <v>6.8999999999999999E-3</v>
      </c>
      <c r="EC175" s="229">
        <v>0.94730000000000003</v>
      </c>
      <c r="ED175" s="228">
        <v>9.0500000000000007</v>
      </c>
      <c r="EE175" s="229">
        <v>6.7000000000000002E-3</v>
      </c>
      <c r="EF175" s="230">
        <v>6109350</v>
      </c>
      <c r="EG175" s="230">
        <v>4339932</v>
      </c>
      <c r="EH175" s="229">
        <v>0.40770000000000001</v>
      </c>
      <c r="EI175" s="229">
        <v>0.40529999999999999</v>
      </c>
      <c r="EJ175" s="231">
        <v>865505.16</v>
      </c>
      <c r="EK175" s="231">
        <v>458826.18</v>
      </c>
      <c r="EL175" s="231">
        <v>383764.3</v>
      </c>
      <c r="EM175" s="231">
        <v>75244</v>
      </c>
      <c r="EN175" s="231">
        <v>1708095.64</v>
      </c>
      <c r="EO175" s="231">
        <v>2648510.9300000002</v>
      </c>
      <c r="EP175" s="231">
        <v>-940415.29</v>
      </c>
      <c r="EQ175" s="229">
        <v>-0.35510000000000003</v>
      </c>
      <c r="ER175" s="231">
        <v>426312</v>
      </c>
      <c r="ES175" s="231">
        <v>357186</v>
      </c>
      <c r="ET175" s="231">
        <v>1558904</v>
      </c>
      <c r="EU175" s="231">
        <v>664381721</v>
      </c>
      <c r="EV175" s="231">
        <v>2342402</v>
      </c>
      <c r="EW175" s="231">
        <v>3226083</v>
      </c>
      <c r="EX175" s="231">
        <v>-883681</v>
      </c>
      <c r="EY175" s="229">
        <v>-0.27389999999999998</v>
      </c>
      <c r="EZ175" s="229">
        <v>0.25659999999999999</v>
      </c>
      <c r="FA175" s="227" t="s">
        <v>567</v>
      </c>
      <c r="FB175" s="161">
        <f t="shared" si="4"/>
        <v>0</v>
      </c>
    </row>
    <row r="176" spans="1:158" ht="17.25" thickBot="1" x14ac:dyDescent="0.3">
      <c r="A176" s="226">
        <v>46168</v>
      </c>
      <c r="B176" s="227" t="s">
        <v>215</v>
      </c>
      <c r="C176" s="227" t="s">
        <v>672</v>
      </c>
      <c r="D176" s="228">
        <v>1525</v>
      </c>
      <c r="E176" s="228">
        <v>256.60000000000002</v>
      </c>
      <c r="F176" s="228">
        <v>265.25</v>
      </c>
      <c r="G176" s="228">
        <v>-8.65</v>
      </c>
      <c r="H176" s="229">
        <v>-3.2599999999999997E-2</v>
      </c>
      <c r="I176" s="228">
        <v>259.75</v>
      </c>
      <c r="J176" s="228">
        <v>272.45</v>
      </c>
      <c r="K176" s="228">
        <v>-12.7</v>
      </c>
      <c r="L176" s="229">
        <v>-4.6600000000000003E-2</v>
      </c>
      <c r="M176" s="228">
        <v>259.35000000000002</v>
      </c>
      <c r="N176" s="228">
        <v>273.3</v>
      </c>
      <c r="O176" s="228">
        <v>-13.95</v>
      </c>
      <c r="P176" s="229">
        <v>-5.0999999999999997E-2</v>
      </c>
      <c r="Q176" s="228">
        <v>256.60000000000002</v>
      </c>
      <c r="R176" s="228">
        <v>265.25</v>
      </c>
      <c r="S176" s="228">
        <v>-8.65</v>
      </c>
      <c r="T176" s="229">
        <v>-3.2599999999999997E-2</v>
      </c>
      <c r="U176" s="228">
        <v>253.45</v>
      </c>
      <c r="V176" s="228">
        <v>261.14999999999998</v>
      </c>
      <c r="W176" s="228">
        <v>-7.7</v>
      </c>
      <c r="X176" s="229">
        <v>-2.9499999999999998E-2</v>
      </c>
      <c r="Y176" s="228">
        <v>-3.15</v>
      </c>
      <c r="Z176" s="228">
        <v>0.85</v>
      </c>
      <c r="AA176" s="228">
        <v>-4</v>
      </c>
      <c r="AB176" s="229">
        <v>-1.21E-2</v>
      </c>
      <c r="AC176" s="228">
        <v>-0.4</v>
      </c>
      <c r="AD176" s="228">
        <v>0.85</v>
      </c>
      <c r="AE176" s="228">
        <v>-1.25</v>
      </c>
      <c r="AF176" s="229">
        <v>-1.5E-3</v>
      </c>
      <c r="AG176" s="228">
        <v>-3.15</v>
      </c>
      <c r="AH176" s="228">
        <v>-7.2</v>
      </c>
      <c r="AI176" s="228">
        <v>4.05</v>
      </c>
      <c r="AJ176" s="229">
        <v>-1.21E-2</v>
      </c>
      <c r="AK176" s="228">
        <v>-6.3</v>
      </c>
      <c r="AL176" s="228">
        <v>-11.3</v>
      </c>
      <c r="AM176" s="228">
        <v>5</v>
      </c>
      <c r="AN176" s="229">
        <v>-2.4299999999999999E-2</v>
      </c>
      <c r="AO176" s="228">
        <v>263.43</v>
      </c>
      <c r="AP176" s="228">
        <v>257.23</v>
      </c>
      <c r="AQ176" s="228">
        <v>0</v>
      </c>
      <c r="AR176" s="230">
        <v>26129350</v>
      </c>
      <c r="AS176" s="230">
        <v>30594550</v>
      </c>
      <c r="AT176" s="230">
        <v>-4465200</v>
      </c>
      <c r="AU176" s="229">
        <v>-0.1459</v>
      </c>
      <c r="AV176" s="230">
        <v>10122950</v>
      </c>
      <c r="AW176" s="230">
        <v>13226325</v>
      </c>
      <c r="AX176" s="230">
        <v>-3103375</v>
      </c>
      <c r="AY176" s="229">
        <v>-0.2346</v>
      </c>
      <c r="AZ176" s="230">
        <v>14691850</v>
      </c>
      <c r="BA176" s="230">
        <v>16613350</v>
      </c>
      <c r="BB176" s="230">
        <v>-1921500</v>
      </c>
      <c r="BC176" s="229">
        <v>-0.1157</v>
      </c>
      <c r="BD176" s="230">
        <v>1314550</v>
      </c>
      <c r="BE176" s="230">
        <v>754875</v>
      </c>
      <c r="BF176" s="230">
        <v>559675</v>
      </c>
      <c r="BG176" s="229">
        <v>0.74139999999999995</v>
      </c>
      <c r="BH176" s="230">
        <v>42434650</v>
      </c>
      <c r="BI176" s="230">
        <v>28668475</v>
      </c>
      <c r="BJ176" s="230">
        <v>13766175</v>
      </c>
      <c r="BK176" s="229">
        <v>0.48020000000000002</v>
      </c>
      <c r="BL176" s="230">
        <v>28551050</v>
      </c>
      <c r="BM176" s="230">
        <v>12134425</v>
      </c>
      <c r="BN176" s="230">
        <v>16416625</v>
      </c>
      <c r="BO176" s="229">
        <v>1.3529</v>
      </c>
      <c r="BP176" s="230">
        <v>97115050</v>
      </c>
      <c r="BQ176" s="230">
        <v>71397450</v>
      </c>
      <c r="BR176" s="230">
        <v>25717600</v>
      </c>
      <c r="BS176" s="229">
        <v>0.36020000000000002</v>
      </c>
      <c r="BT176" s="230">
        <v>22435449</v>
      </c>
      <c r="BU176" s="230">
        <v>7731869</v>
      </c>
      <c r="BV176" s="230">
        <v>14703580</v>
      </c>
      <c r="BW176" s="229">
        <v>1.9016999999999999</v>
      </c>
      <c r="BX176" s="230">
        <v>52314575</v>
      </c>
      <c r="BY176" s="230">
        <v>55934575</v>
      </c>
      <c r="BZ176" s="230">
        <v>-3620000</v>
      </c>
      <c r="CA176" s="229">
        <v>-6.4699999999999994E-2</v>
      </c>
      <c r="CB176" s="230">
        <v>2160925</v>
      </c>
      <c r="CC176" s="230">
        <v>5673000</v>
      </c>
      <c r="CD176" s="230">
        <v>-3512075</v>
      </c>
      <c r="CE176" s="229">
        <v>-0.61909999999999998</v>
      </c>
      <c r="CF176" s="230">
        <v>47400050</v>
      </c>
      <c r="CG176" s="230">
        <v>46126675</v>
      </c>
      <c r="CH176" s="230">
        <v>1273375</v>
      </c>
      <c r="CI176" s="229">
        <v>2.76E-2</v>
      </c>
      <c r="CJ176" s="230">
        <v>4914525</v>
      </c>
      <c r="CK176" s="230">
        <v>4134900</v>
      </c>
      <c r="CL176" s="230">
        <v>779625</v>
      </c>
      <c r="CM176" s="229">
        <v>0.1885</v>
      </c>
      <c r="CN176" s="230">
        <v>12909575</v>
      </c>
      <c r="CO176" s="230">
        <v>22479175</v>
      </c>
      <c r="CP176" s="230">
        <v>-9569600</v>
      </c>
      <c r="CQ176" s="229">
        <v>-0.42570000000000002</v>
      </c>
      <c r="CR176" s="230">
        <v>9914325</v>
      </c>
      <c r="CS176" s="230">
        <v>14724250</v>
      </c>
      <c r="CT176" s="230">
        <v>-4809925</v>
      </c>
      <c r="CU176" s="229">
        <v>-0.32669999999999999</v>
      </c>
      <c r="CV176" s="230">
        <v>75138475</v>
      </c>
      <c r="CW176" s="230">
        <v>93138000</v>
      </c>
      <c r="CX176" s="230">
        <v>-17999525</v>
      </c>
      <c r="CY176" s="229">
        <v>-0.1933</v>
      </c>
      <c r="CZ176" s="228">
        <v>38.99</v>
      </c>
      <c r="DA176" s="228">
        <v>48.03</v>
      </c>
      <c r="DB176" s="228">
        <v>-9.0399999999999991</v>
      </c>
      <c r="DC176" s="228">
        <v>-9.0399999999999991</v>
      </c>
      <c r="DD176" s="228">
        <v>56.14</v>
      </c>
      <c r="DE176" s="228">
        <v>56.1</v>
      </c>
      <c r="DF176" s="228">
        <v>-17.149999999999999</v>
      </c>
      <c r="DG176" s="228">
        <v>0.04</v>
      </c>
      <c r="DH176" s="228">
        <v>39.56</v>
      </c>
      <c r="DI176" s="228">
        <v>48.58</v>
      </c>
      <c r="DJ176" s="228">
        <v>-9.02</v>
      </c>
      <c r="DK176" s="228">
        <v>-9.02</v>
      </c>
      <c r="DL176" s="228">
        <v>37.89</v>
      </c>
      <c r="DM176" s="228">
        <v>46.53</v>
      </c>
      <c r="DN176" s="228">
        <v>-8.64</v>
      </c>
      <c r="DO176" s="228">
        <v>-8.64</v>
      </c>
      <c r="DP176" s="228">
        <v>0.77</v>
      </c>
      <c r="DQ176" s="228">
        <v>0.66</v>
      </c>
      <c r="DR176" s="228">
        <v>0.11</v>
      </c>
      <c r="DS176" s="229">
        <v>0.16669999999999999</v>
      </c>
      <c r="DT176" s="228">
        <v>280</v>
      </c>
      <c r="DU176" s="228">
        <v>230</v>
      </c>
      <c r="DV176" s="228">
        <v>0.67</v>
      </c>
      <c r="DW176" s="228">
        <v>0.42</v>
      </c>
      <c r="DX176" s="228">
        <v>0.25</v>
      </c>
      <c r="DY176" s="229">
        <v>0.59519999999999995</v>
      </c>
      <c r="DZ176" s="229">
        <v>0.96030000000000004</v>
      </c>
      <c r="EA176" s="230">
        <v>50261575</v>
      </c>
      <c r="EB176" s="229">
        <v>-1.06E-2</v>
      </c>
      <c r="EC176" s="229">
        <v>0.96030000000000004</v>
      </c>
      <c r="ED176" s="228">
        <v>-6.2</v>
      </c>
      <c r="EE176" s="229">
        <v>-2.35E-2</v>
      </c>
      <c r="EF176" s="230">
        <v>7539443</v>
      </c>
      <c r="EG176" s="230">
        <v>3347263</v>
      </c>
      <c r="EH176" s="229">
        <v>1.2524</v>
      </c>
      <c r="EI176" s="229">
        <v>0.33610000000000001</v>
      </c>
      <c r="EJ176" s="231">
        <v>120659.06</v>
      </c>
      <c r="EK176" s="231">
        <v>77359.78</v>
      </c>
      <c r="EL176" s="231">
        <v>68670.62</v>
      </c>
      <c r="EM176" s="231">
        <v>20899</v>
      </c>
      <c r="EN176" s="231">
        <v>266689.46000000002</v>
      </c>
      <c r="EO176" s="231">
        <v>199869.89</v>
      </c>
      <c r="EP176" s="231">
        <v>66819.570000000007</v>
      </c>
      <c r="EQ176" s="229">
        <v>0.33429999999999999</v>
      </c>
      <c r="ER176" s="231">
        <v>36951</v>
      </c>
      <c r="ES176" s="231">
        <v>26506</v>
      </c>
      <c r="ET176" s="231">
        <v>134084</v>
      </c>
      <c r="EU176" s="231">
        <v>84941460</v>
      </c>
      <c r="EV176" s="231">
        <v>197541</v>
      </c>
      <c r="EW176" s="231">
        <v>256210</v>
      </c>
      <c r="EX176" s="231">
        <v>-58669</v>
      </c>
      <c r="EY176" s="229">
        <v>-0.22900000000000001</v>
      </c>
      <c r="EZ176" s="229">
        <v>0.88460000000000005</v>
      </c>
      <c r="FA176" s="227" t="s">
        <v>567</v>
      </c>
      <c r="FB176" s="161">
        <f t="shared" si="4"/>
        <v>0</v>
      </c>
    </row>
    <row r="177" spans="1:158" ht="17.25" thickBot="1" x14ac:dyDescent="0.3">
      <c r="A177" s="226">
        <v>46168</v>
      </c>
      <c r="B177" s="227" t="s">
        <v>227</v>
      </c>
      <c r="C177" s="227" t="s">
        <v>282</v>
      </c>
      <c r="D177" s="228">
        <v>4700</v>
      </c>
      <c r="E177" s="228">
        <v>205.65</v>
      </c>
      <c r="F177" s="228">
        <v>200.09</v>
      </c>
      <c r="G177" s="228">
        <v>5.56</v>
      </c>
      <c r="H177" s="229">
        <v>2.7799999999999998E-2</v>
      </c>
      <c r="I177" s="228">
        <v>203.84</v>
      </c>
      <c r="J177" s="228">
        <v>198.32</v>
      </c>
      <c r="K177" s="228">
        <v>5.52</v>
      </c>
      <c r="L177" s="229">
        <v>2.7799999999999998E-2</v>
      </c>
      <c r="M177" s="228">
        <v>203.1</v>
      </c>
      <c r="N177" s="228">
        <v>198.76</v>
      </c>
      <c r="O177" s="228">
        <v>4.34</v>
      </c>
      <c r="P177" s="229">
        <v>2.18E-2</v>
      </c>
      <c r="Q177" s="228">
        <v>205.65</v>
      </c>
      <c r="R177" s="228">
        <v>200.09</v>
      </c>
      <c r="S177" s="228">
        <v>5.56</v>
      </c>
      <c r="T177" s="229">
        <v>2.7799999999999998E-2</v>
      </c>
      <c r="U177" s="228">
        <v>205.25</v>
      </c>
      <c r="V177" s="228">
        <v>200.04</v>
      </c>
      <c r="W177" s="228">
        <v>5.21</v>
      </c>
      <c r="X177" s="229">
        <v>2.5999999999999999E-2</v>
      </c>
      <c r="Y177" s="228">
        <v>1.81</v>
      </c>
      <c r="Z177" s="228">
        <v>0.44</v>
      </c>
      <c r="AA177" s="228">
        <v>1.37</v>
      </c>
      <c r="AB177" s="229">
        <v>8.8999999999999999E-3</v>
      </c>
      <c r="AC177" s="228">
        <v>-0.74</v>
      </c>
      <c r="AD177" s="228">
        <v>0.44</v>
      </c>
      <c r="AE177" s="228">
        <v>-1.18</v>
      </c>
      <c r="AF177" s="229">
        <v>-3.5999999999999999E-3</v>
      </c>
      <c r="AG177" s="228">
        <v>1.81</v>
      </c>
      <c r="AH177" s="228">
        <v>1.77</v>
      </c>
      <c r="AI177" s="228">
        <v>0.04</v>
      </c>
      <c r="AJ177" s="229">
        <v>8.8999999999999999E-3</v>
      </c>
      <c r="AK177" s="228">
        <v>1.41</v>
      </c>
      <c r="AL177" s="228">
        <v>1.72</v>
      </c>
      <c r="AM177" s="228">
        <v>-0.31</v>
      </c>
      <c r="AN177" s="229">
        <v>6.8999999999999999E-3</v>
      </c>
      <c r="AO177" s="228">
        <v>202.63</v>
      </c>
      <c r="AP177" s="228">
        <v>204.35</v>
      </c>
      <c r="AQ177" s="228">
        <v>0</v>
      </c>
      <c r="AR177" s="230">
        <v>48123300</v>
      </c>
      <c r="AS177" s="230">
        <v>51192400</v>
      </c>
      <c r="AT177" s="230">
        <v>-3069100</v>
      </c>
      <c r="AU177" s="229">
        <v>-0.06</v>
      </c>
      <c r="AV177" s="230">
        <v>24839500</v>
      </c>
      <c r="AW177" s="230">
        <v>26869900</v>
      </c>
      <c r="AX177" s="230">
        <v>-2030400</v>
      </c>
      <c r="AY177" s="229">
        <v>-7.5600000000000001E-2</v>
      </c>
      <c r="AZ177" s="230">
        <v>23250900</v>
      </c>
      <c r="BA177" s="230">
        <v>24303700</v>
      </c>
      <c r="BB177" s="230">
        <v>-1052800</v>
      </c>
      <c r="BC177" s="229">
        <v>-4.3299999999999998E-2</v>
      </c>
      <c r="BD177" s="230">
        <v>32900</v>
      </c>
      <c r="BE177" s="230">
        <v>18800</v>
      </c>
      <c r="BF177" s="230">
        <v>14100</v>
      </c>
      <c r="BG177" s="229">
        <v>0.75</v>
      </c>
      <c r="BH177" s="230">
        <v>2053900</v>
      </c>
      <c r="BI177" s="230">
        <v>225600</v>
      </c>
      <c r="BJ177" s="230">
        <v>1828300</v>
      </c>
      <c r="BK177" s="229">
        <v>8.1042000000000005</v>
      </c>
      <c r="BL177" s="230">
        <v>1720200</v>
      </c>
      <c r="BM177" s="230">
        <v>582800</v>
      </c>
      <c r="BN177" s="230">
        <v>1137400</v>
      </c>
      <c r="BO177" s="229">
        <v>1.9516</v>
      </c>
      <c r="BP177" s="230">
        <v>51897400</v>
      </c>
      <c r="BQ177" s="230">
        <v>52000800</v>
      </c>
      <c r="BR177" s="230">
        <v>-103400</v>
      </c>
      <c r="BS177" s="229">
        <v>-2E-3</v>
      </c>
      <c r="BT177" s="230">
        <v>36779384</v>
      </c>
      <c r="BU177" s="230">
        <v>23375190</v>
      </c>
      <c r="BV177" s="230">
        <v>13404194</v>
      </c>
      <c r="BW177" s="229">
        <v>0.57340000000000002</v>
      </c>
      <c r="BX177" s="230">
        <v>170826200</v>
      </c>
      <c r="BY177" s="230">
        <v>177255800</v>
      </c>
      <c r="BZ177" s="230">
        <v>-6429600</v>
      </c>
      <c r="CA177" s="229">
        <v>-3.6299999999999999E-2</v>
      </c>
      <c r="CB177" s="230">
        <v>4732900</v>
      </c>
      <c r="CC177" s="230">
        <v>24064000</v>
      </c>
      <c r="CD177" s="230">
        <v>-19331100</v>
      </c>
      <c r="CE177" s="229">
        <v>-0.80330000000000001</v>
      </c>
      <c r="CF177" s="230">
        <v>170360900</v>
      </c>
      <c r="CG177" s="230">
        <v>152721800</v>
      </c>
      <c r="CH177" s="230">
        <v>17639100</v>
      </c>
      <c r="CI177" s="229">
        <v>0.11550000000000001</v>
      </c>
      <c r="CJ177" s="230">
        <v>465300</v>
      </c>
      <c r="CK177" s="230">
        <v>470000</v>
      </c>
      <c r="CL177" s="230">
        <v>-4700</v>
      </c>
      <c r="CM177" s="229">
        <v>-0.01</v>
      </c>
      <c r="CN177" s="230">
        <v>446500</v>
      </c>
      <c r="CO177" s="230">
        <v>9141500</v>
      </c>
      <c r="CP177" s="230">
        <v>-8695000</v>
      </c>
      <c r="CQ177" s="229">
        <v>-0.95120000000000005</v>
      </c>
      <c r="CR177" s="230">
        <v>75200</v>
      </c>
      <c r="CS177" s="230">
        <v>5748100</v>
      </c>
      <c r="CT177" s="230">
        <v>-5672900</v>
      </c>
      <c r="CU177" s="229">
        <v>-0.9869</v>
      </c>
      <c r="CV177" s="230">
        <v>171347900</v>
      </c>
      <c r="CW177" s="230">
        <v>192145400</v>
      </c>
      <c r="CX177" s="230">
        <v>-20797500</v>
      </c>
      <c r="CY177" s="229">
        <v>-0.1082</v>
      </c>
      <c r="CZ177" s="228">
        <v>44.43</v>
      </c>
      <c r="DA177" s="228">
        <v>40.58</v>
      </c>
      <c r="DB177" s="228">
        <v>3.85</v>
      </c>
      <c r="DC177" s="228">
        <v>3.85</v>
      </c>
      <c r="DD177" s="228">
        <v>46.6</v>
      </c>
      <c r="DE177" s="228">
        <v>46.56</v>
      </c>
      <c r="DF177" s="228">
        <v>-2.17</v>
      </c>
      <c r="DG177" s="228">
        <v>0.04</v>
      </c>
      <c r="DH177" s="228">
        <v>43.67</v>
      </c>
      <c r="DI177" s="228">
        <v>40.58</v>
      </c>
      <c r="DJ177" s="228">
        <v>3.09</v>
      </c>
      <c r="DK177" s="228">
        <v>3.09</v>
      </c>
      <c r="DL177" s="228">
        <v>46.45</v>
      </c>
      <c r="DM177" s="228">
        <v>40.58</v>
      </c>
      <c r="DN177" s="228">
        <v>5.87</v>
      </c>
      <c r="DO177" s="228">
        <v>5.87</v>
      </c>
      <c r="DP177" s="228">
        <v>0.17</v>
      </c>
      <c r="DQ177" s="228">
        <v>0.63</v>
      </c>
      <c r="DR177" s="228">
        <v>-0.46</v>
      </c>
      <c r="DS177" s="229">
        <v>-0.73019999999999996</v>
      </c>
      <c r="DT177" s="228">
        <v>187.5</v>
      </c>
      <c r="DU177" s="228">
        <v>180</v>
      </c>
      <c r="DV177" s="228">
        <v>0.84</v>
      </c>
      <c r="DW177" s="228">
        <v>2.58</v>
      </c>
      <c r="DX177" s="228">
        <v>-1.74</v>
      </c>
      <c r="DY177" s="229">
        <v>-0.6744</v>
      </c>
      <c r="DZ177" s="229">
        <v>0.97299999999999998</v>
      </c>
      <c r="EA177" s="230">
        <v>153191800</v>
      </c>
      <c r="EB177" s="229">
        <v>1.26E-2</v>
      </c>
      <c r="EC177" s="229">
        <v>0.97299999999999998</v>
      </c>
      <c r="ED177" s="228">
        <v>1.72</v>
      </c>
      <c r="EE177" s="229">
        <v>8.5000000000000006E-3</v>
      </c>
      <c r="EF177" s="230">
        <v>13954729</v>
      </c>
      <c r="EG177" s="230">
        <v>10623250</v>
      </c>
      <c r="EH177" s="229">
        <v>0.31359999999999999</v>
      </c>
      <c r="EI177" s="229">
        <v>0.37940000000000002</v>
      </c>
      <c r="EJ177" s="231">
        <v>4207.6099999999997</v>
      </c>
      <c r="EK177" s="231">
        <v>3178.96</v>
      </c>
      <c r="EL177" s="231">
        <v>97913.46</v>
      </c>
      <c r="EM177" s="231">
        <v>10234</v>
      </c>
      <c r="EN177" s="231">
        <v>105300.03</v>
      </c>
      <c r="EO177" s="231">
        <v>102923.54</v>
      </c>
      <c r="EP177" s="231">
        <v>2376.4899999999998</v>
      </c>
      <c r="EQ177" s="229">
        <v>2.3099999999999999E-2</v>
      </c>
      <c r="ER177" s="228">
        <v>887</v>
      </c>
      <c r="ES177" s="228">
        <v>139</v>
      </c>
      <c r="ET177" s="231">
        <v>351302</v>
      </c>
      <c r="EU177" s="231">
        <v>216861410</v>
      </c>
      <c r="EV177" s="231">
        <v>352328</v>
      </c>
      <c r="EW177" s="231">
        <v>382064</v>
      </c>
      <c r="EX177" s="231">
        <v>-29736</v>
      </c>
      <c r="EY177" s="229">
        <v>-7.7799999999999994E-2</v>
      </c>
      <c r="EZ177" s="229">
        <v>0.79010000000000002</v>
      </c>
      <c r="FA177" s="227" t="s">
        <v>691</v>
      </c>
      <c r="FB177" s="161">
        <f t="shared" si="4"/>
        <v>0</v>
      </c>
    </row>
    <row r="178" spans="1:158" ht="17.25" thickBot="1" x14ac:dyDescent="0.3">
      <c r="A178" s="226">
        <v>46168</v>
      </c>
      <c r="B178" s="227" t="s">
        <v>175</v>
      </c>
      <c r="C178" s="227" t="s">
        <v>682</v>
      </c>
      <c r="D178" s="228">
        <v>4300</v>
      </c>
      <c r="E178" s="228">
        <v>169.05</v>
      </c>
      <c r="F178" s="228">
        <v>169.88</v>
      </c>
      <c r="G178" s="228">
        <v>-0.83</v>
      </c>
      <c r="H178" s="229">
        <v>-4.8999999999999998E-3</v>
      </c>
      <c r="I178" s="228">
        <v>167.71</v>
      </c>
      <c r="J178" s="228">
        <v>168.56</v>
      </c>
      <c r="K178" s="228">
        <v>-0.85</v>
      </c>
      <c r="L178" s="229">
        <v>-5.0000000000000001E-3</v>
      </c>
      <c r="M178" s="228">
        <v>167.67</v>
      </c>
      <c r="N178" s="228">
        <v>168.81</v>
      </c>
      <c r="O178" s="228">
        <v>-1.1399999999999999</v>
      </c>
      <c r="P178" s="229">
        <v>-6.7999999999999996E-3</v>
      </c>
      <c r="Q178" s="228">
        <v>169.05</v>
      </c>
      <c r="R178" s="228">
        <v>169.88</v>
      </c>
      <c r="S178" s="228">
        <v>-0.83</v>
      </c>
      <c r="T178" s="229">
        <v>-4.8999999999999998E-3</v>
      </c>
      <c r="U178" s="228">
        <v>0</v>
      </c>
      <c r="V178" s="228">
        <v>0</v>
      </c>
      <c r="W178" s="228">
        <v>0</v>
      </c>
      <c r="X178" s="229">
        <v>0</v>
      </c>
      <c r="Y178" s="228">
        <v>1.34</v>
      </c>
      <c r="Z178" s="228">
        <v>0.25</v>
      </c>
      <c r="AA178" s="228">
        <v>1.0900000000000001</v>
      </c>
      <c r="AB178" s="229">
        <v>8.0000000000000002E-3</v>
      </c>
      <c r="AC178" s="228">
        <v>-0.04</v>
      </c>
      <c r="AD178" s="228">
        <v>0.25</v>
      </c>
      <c r="AE178" s="228">
        <v>-0.28999999999999998</v>
      </c>
      <c r="AF178" s="229">
        <v>-2.0000000000000001E-4</v>
      </c>
      <c r="AG178" s="228">
        <v>1.34</v>
      </c>
      <c r="AH178" s="228">
        <v>1.32</v>
      </c>
      <c r="AI178" s="228">
        <v>0.02</v>
      </c>
      <c r="AJ178" s="229">
        <v>8.0000000000000002E-3</v>
      </c>
      <c r="AK178" s="228">
        <v>0</v>
      </c>
      <c r="AL178" s="228">
        <v>0</v>
      </c>
      <c r="AM178" s="228">
        <v>0</v>
      </c>
      <c r="AN178" s="229">
        <v>0</v>
      </c>
      <c r="AO178" s="228">
        <v>169.2</v>
      </c>
      <c r="AP178" s="228">
        <v>170.32</v>
      </c>
      <c r="AQ178" s="228">
        <v>0</v>
      </c>
      <c r="AR178" s="230">
        <v>51836500</v>
      </c>
      <c r="AS178" s="230">
        <v>75241400</v>
      </c>
      <c r="AT178" s="230">
        <v>-23404900</v>
      </c>
      <c r="AU178" s="229">
        <v>-0.31109999999999999</v>
      </c>
      <c r="AV178" s="230">
        <v>21457000</v>
      </c>
      <c r="AW178" s="230">
        <v>33054100</v>
      </c>
      <c r="AX178" s="230">
        <v>-11597100</v>
      </c>
      <c r="AY178" s="229">
        <v>-0.35089999999999999</v>
      </c>
      <c r="AZ178" s="230">
        <v>30379500</v>
      </c>
      <c r="BA178" s="230">
        <v>42187300</v>
      </c>
      <c r="BB178" s="230">
        <v>-11807800</v>
      </c>
      <c r="BC178" s="229">
        <v>-0.27989999999999998</v>
      </c>
      <c r="BD178" s="228">
        <v>0</v>
      </c>
      <c r="BE178" s="228">
        <v>0</v>
      </c>
      <c r="BF178" s="228">
        <v>0</v>
      </c>
      <c r="BG178" s="229">
        <v>0</v>
      </c>
      <c r="BH178" s="230">
        <v>34197900</v>
      </c>
      <c r="BI178" s="230">
        <v>114410100</v>
      </c>
      <c r="BJ178" s="230">
        <v>-80212200</v>
      </c>
      <c r="BK178" s="229">
        <v>-0.70109999999999995</v>
      </c>
      <c r="BL178" s="230">
        <v>22970600</v>
      </c>
      <c r="BM178" s="230">
        <v>57817800</v>
      </c>
      <c r="BN178" s="230">
        <v>-34847200</v>
      </c>
      <c r="BO178" s="229">
        <v>-0.60270000000000001</v>
      </c>
      <c r="BP178" s="230">
        <v>109005000</v>
      </c>
      <c r="BQ178" s="230">
        <v>247469300</v>
      </c>
      <c r="BR178" s="230">
        <v>-138464300</v>
      </c>
      <c r="BS178" s="229">
        <v>-0.5595</v>
      </c>
      <c r="BT178" s="230">
        <v>19503609</v>
      </c>
      <c r="BU178" s="230">
        <v>41737350</v>
      </c>
      <c r="BV178" s="230">
        <v>-22233741</v>
      </c>
      <c r="BW178" s="229">
        <v>-0.53269999999999995</v>
      </c>
      <c r="BX178" s="230">
        <v>78840500</v>
      </c>
      <c r="BY178" s="230">
        <v>89027200</v>
      </c>
      <c r="BZ178" s="230">
        <v>-10186700</v>
      </c>
      <c r="CA178" s="229">
        <v>-0.1144</v>
      </c>
      <c r="CB178" s="230">
        <v>8617200</v>
      </c>
      <c r="CC178" s="230">
        <v>22368600</v>
      </c>
      <c r="CD178" s="230">
        <v>-13751400</v>
      </c>
      <c r="CE178" s="229">
        <v>-0.61480000000000001</v>
      </c>
      <c r="CF178" s="230">
        <v>78840500</v>
      </c>
      <c r="CG178" s="230">
        <v>66658600</v>
      </c>
      <c r="CH178" s="230">
        <v>12181900</v>
      </c>
      <c r="CI178" s="229">
        <v>0.18279999999999999</v>
      </c>
      <c r="CJ178" s="228">
        <v>0</v>
      </c>
      <c r="CK178" s="228">
        <v>0</v>
      </c>
      <c r="CL178" s="228">
        <v>0</v>
      </c>
      <c r="CM178" s="229">
        <v>0</v>
      </c>
      <c r="CN178" s="230">
        <v>17883700</v>
      </c>
      <c r="CO178" s="230">
        <v>29622700</v>
      </c>
      <c r="CP178" s="230">
        <v>-11739000</v>
      </c>
      <c r="CQ178" s="229">
        <v>-0.39629999999999999</v>
      </c>
      <c r="CR178" s="230">
        <v>15449900</v>
      </c>
      <c r="CS178" s="230">
        <v>35358900</v>
      </c>
      <c r="CT178" s="230">
        <v>-19909000</v>
      </c>
      <c r="CU178" s="229">
        <v>-0.56310000000000004</v>
      </c>
      <c r="CV178" s="230">
        <v>112174100</v>
      </c>
      <c r="CW178" s="230">
        <v>154008800</v>
      </c>
      <c r="CX178" s="230">
        <v>-41834700</v>
      </c>
      <c r="CY178" s="229">
        <v>-0.27160000000000001</v>
      </c>
      <c r="CZ178" s="228">
        <v>33.299999999999997</v>
      </c>
      <c r="DA178" s="228">
        <v>35.28</v>
      </c>
      <c r="DB178" s="228">
        <v>-1.98</v>
      </c>
      <c r="DC178" s="228">
        <v>-1.98</v>
      </c>
      <c r="DD178" s="228">
        <v>53.47</v>
      </c>
      <c r="DE178" s="228">
        <v>53.6</v>
      </c>
      <c r="DF178" s="228">
        <v>-20.170000000000002</v>
      </c>
      <c r="DG178" s="228">
        <v>-0.13</v>
      </c>
      <c r="DH178" s="228">
        <v>34.19</v>
      </c>
      <c r="DI178" s="228">
        <v>35.43</v>
      </c>
      <c r="DJ178" s="228">
        <v>-1.24</v>
      </c>
      <c r="DK178" s="228">
        <v>-1.24</v>
      </c>
      <c r="DL178" s="228">
        <v>32.159999999999997</v>
      </c>
      <c r="DM178" s="228">
        <v>34.94</v>
      </c>
      <c r="DN178" s="228">
        <v>-2.78</v>
      </c>
      <c r="DO178" s="228">
        <v>-2.78</v>
      </c>
      <c r="DP178" s="228">
        <v>0.86</v>
      </c>
      <c r="DQ178" s="228">
        <v>1.19</v>
      </c>
      <c r="DR178" s="228">
        <v>-0.33</v>
      </c>
      <c r="DS178" s="229">
        <v>-0.27729999999999999</v>
      </c>
      <c r="DT178" s="228">
        <v>170</v>
      </c>
      <c r="DU178" s="228">
        <v>150</v>
      </c>
      <c r="DV178" s="228">
        <v>0.67</v>
      </c>
      <c r="DW178" s="228">
        <v>0.51</v>
      </c>
      <c r="DX178" s="228">
        <v>0.16</v>
      </c>
      <c r="DY178" s="229">
        <v>0.31369999999999998</v>
      </c>
      <c r="DZ178" s="229">
        <v>0.90149999999999997</v>
      </c>
      <c r="EA178" s="230">
        <v>66658600</v>
      </c>
      <c r="EB178" s="229">
        <v>8.2000000000000007E-3</v>
      </c>
      <c r="EC178" s="229">
        <v>0.90149999999999997</v>
      </c>
      <c r="ED178" s="228">
        <v>1.1200000000000001</v>
      </c>
      <c r="EE178" s="229">
        <v>6.6E-3</v>
      </c>
      <c r="EF178" s="230">
        <v>7589787</v>
      </c>
      <c r="EG178" s="230">
        <v>13065678</v>
      </c>
      <c r="EH178" s="229">
        <v>-0.41909999999999997</v>
      </c>
      <c r="EI178" s="229">
        <v>0.3891</v>
      </c>
      <c r="EJ178" s="231">
        <v>60068.9</v>
      </c>
      <c r="EK178" s="231">
        <v>37341.07</v>
      </c>
      <c r="EL178" s="231">
        <v>88047.18</v>
      </c>
      <c r="EM178" s="231">
        <v>14975</v>
      </c>
      <c r="EN178" s="231">
        <v>185457.15</v>
      </c>
      <c r="EO178" s="231">
        <v>416854.6</v>
      </c>
      <c r="EP178" s="231">
        <v>-231397.45</v>
      </c>
      <c r="EQ178" s="229">
        <v>-0.55510000000000004</v>
      </c>
      <c r="ER178" s="231">
        <v>29840</v>
      </c>
      <c r="ES178" s="231">
        <v>24371</v>
      </c>
      <c r="ET178" s="231">
        <v>133280</v>
      </c>
      <c r="EU178" s="231">
        <v>122372064</v>
      </c>
      <c r="EV178" s="231">
        <v>187491</v>
      </c>
      <c r="EW178" s="231">
        <v>252944</v>
      </c>
      <c r="EX178" s="231">
        <v>-65453</v>
      </c>
      <c r="EY178" s="229">
        <v>-0.25879999999999997</v>
      </c>
      <c r="EZ178" s="229">
        <v>0.91669999999999996</v>
      </c>
      <c r="FA178" s="227" t="s">
        <v>567</v>
      </c>
      <c r="FB178" s="161">
        <f t="shared" si="4"/>
        <v>0</v>
      </c>
    </row>
    <row r="179" spans="1:158" ht="17.25" thickBot="1" x14ac:dyDescent="0.3">
      <c r="A179" s="226">
        <v>46168</v>
      </c>
      <c r="B179" s="227" t="s">
        <v>175</v>
      </c>
      <c r="C179" s="227" t="s">
        <v>536</v>
      </c>
      <c r="D179" s="228">
        <v>800</v>
      </c>
      <c r="E179" s="228">
        <v>620.4</v>
      </c>
      <c r="F179" s="228">
        <v>619.95000000000005</v>
      </c>
      <c r="G179" s="228">
        <v>0.45</v>
      </c>
      <c r="H179" s="229">
        <v>6.9999999999999999E-4</v>
      </c>
      <c r="I179" s="228">
        <v>628.70000000000005</v>
      </c>
      <c r="J179" s="228">
        <v>630.29999999999995</v>
      </c>
      <c r="K179" s="228">
        <v>-1.6</v>
      </c>
      <c r="L179" s="229">
        <v>-2.5000000000000001E-3</v>
      </c>
      <c r="M179" s="228">
        <v>626.70000000000005</v>
      </c>
      <c r="N179" s="228">
        <v>632.15</v>
      </c>
      <c r="O179" s="228">
        <v>-5.45</v>
      </c>
      <c r="P179" s="229">
        <v>-8.6E-3</v>
      </c>
      <c r="Q179" s="228">
        <v>620.4</v>
      </c>
      <c r="R179" s="228">
        <v>619.95000000000005</v>
      </c>
      <c r="S179" s="228">
        <v>0.45</v>
      </c>
      <c r="T179" s="229">
        <v>6.9999999999999999E-4</v>
      </c>
      <c r="U179" s="228">
        <v>614.95000000000005</v>
      </c>
      <c r="V179" s="228">
        <v>614.54999999999995</v>
      </c>
      <c r="W179" s="228">
        <v>0.4</v>
      </c>
      <c r="X179" s="229">
        <v>6.9999999999999999E-4</v>
      </c>
      <c r="Y179" s="228">
        <v>-8.3000000000000007</v>
      </c>
      <c r="Z179" s="228">
        <v>1.85</v>
      </c>
      <c r="AA179" s="228">
        <v>-10.15</v>
      </c>
      <c r="AB179" s="229">
        <v>-1.32E-2</v>
      </c>
      <c r="AC179" s="228">
        <v>-2</v>
      </c>
      <c r="AD179" s="228">
        <v>1.85</v>
      </c>
      <c r="AE179" s="228">
        <v>-3.85</v>
      </c>
      <c r="AF179" s="229">
        <v>-3.2000000000000002E-3</v>
      </c>
      <c r="AG179" s="228">
        <v>-8.3000000000000007</v>
      </c>
      <c r="AH179" s="228">
        <v>-10.35</v>
      </c>
      <c r="AI179" s="228">
        <v>2.0499999999999998</v>
      </c>
      <c r="AJ179" s="229">
        <v>-1.32E-2</v>
      </c>
      <c r="AK179" s="228">
        <v>-13.75</v>
      </c>
      <c r="AL179" s="228">
        <v>-15.75</v>
      </c>
      <c r="AM179" s="228">
        <v>2</v>
      </c>
      <c r="AN179" s="229">
        <v>-2.1899999999999999E-2</v>
      </c>
      <c r="AO179" s="228">
        <v>632.82000000000005</v>
      </c>
      <c r="AP179" s="228">
        <v>623.46</v>
      </c>
      <c r="AQ179" s="228">
        <v>0</v>
      </c>
      <c r="AR179" s="230">
        <v>11425600</v>
      </c>
      <c r="AS179" s="230">
        <v>13024000</v>
      </c>
      <c r="AT179" s="230">
        <v>-1598400</v>
      </c>
      <c r="AU179" s="229">
        <v>-0.1227</v>
      </c>
      <c r="AV179" s="230">
        <v>4404800</v>
      </c>
      <c r="AW179" s="230">
        <v>5928000</v>
      </c>
      <c r="AX179" s="230">
        <v>-1523200</v>
      </c>
      <c r="AY179" s="229">
        <v>-0.25700000000000001</v>
      </c>
      <c r="AZ179" s="230">
        <v>6436800</v>
      </c>
      <c r="BA179" s="230">
        <v>6810400</v>
      </c>
      <c r="BB179" s="230">
        <v>-373600</v>
      </c>
      <c r="BC179" s="229">
        <v>-5.4899999999999997E-2</v>
      </c>
      <c r="BD179" s="230">
        <v>584000</v>
      </c>
      <c r="BE179" s="230">
        <v>285600</v>
      </c>
      <c r="BF179" s="230">
        <v>298400</v>
      </c>
      <c r="BG179" s="229">
        <v>1.0448</v>
      </c>
      <c r="BH179" s="230">
        <v>8490400</v>
      </c>
      <c r="BI179" s="230">
        <v>9685600</v>
      </c>
      <c r="BJ179" s="230">
        <v>-1195200</v>
      </c>
      <c r="BK179" s="229">
        <v>-0.1234</v>
      </c>
      <c r="BL179" s="230">
        <v>4060000</v>
      </c>
      <c r="BM179" s="230">
        <v>4039200</v>
      </c>
      <c r="BN179" s="230">
        <v>20800</v>
      </c>
      <c r="BO179" s="229">
        <v>5.1000000000000004E-3</v>
      </c>
      <c r="BP179" s="230">
        <v>23976000</v>
      </c>
      <c r="BQ179" s="230">
        <v>26748800</v>
      </c>
      <c r="BR179" s="230">
        <v>-2772800</v>
      </c>
      <c r="BS179" s="229">
        <v>-0.1037</v>
      </c>
      <c r="BT179" s="230">
        <v>1365449</v>
      </c>
      <c r="BU179" s="230">
        <v>565809</v>
      </c>
      <c r="BV179" s="230">
        <v>799640</v>
      </c>
      <c r="BW179" s="229">
        <v>1.4133</v>
      </c>
      <c r="BX179" s="230">
        <v>25964800</v>
      </c>
      <c r="BY179" s="230">
        <v>27611200</v>
      </c>
      <c r="BZ179" s="230">
        <v>-1646400</v>
      </c>
      <c r="CA179" s="229">
        <v>-5.96E-2</v>
      </c>
      <c r="CB179" s="230">
        <v>786400</v>
      </c>
      <c r="CC179" s="230">
        <v>2836800</v>
      </c>
      <c r="CD179" s="230">
        <v>-2050400</v>
      </c>
      <c r="CE179" s="229">
        <v>-0.7228</v>
      </c>
      <c r="CF179" s="230">
        <v>24640000</v>
      </c>
      <c r="CG179" s="230">
        <v>23760800</v>
      </c>
      <c r="CH179" s="230">
        <v>879200</v>
      </c>
      <c r="CI179" s="229">
        <v>3.6999999999999998E-2</v>
      </c>
      <c r="CJ179" s="230">
        <v>1324800</v>
      </c>
      <c r="CK179" s="230">
        <v>1013600</v>
      </c>
      <c r="CL179" s="230">
        <v>311200</v>
      </c>
      <c r="CM179" s="229">
        <v>0.307</v>
      </c>
      <c r="CN179" s="230">
        <v>5918400</v>
      </c>
      <c r="CO179" s="230">
        <v>9958400</v>
      </c>
      <c r="CP179" s="230">
        <v>-4040000</v>
      </c>
      <c r="CQ179" s="229">
        <v>-0.40570000000000001</v>
      </c>
      <c r="CR179" s="230">
        <v>4464000</v>
      </c>
      <c r="CS179" s="230">
        <v>6676000</v>
      </c>
      <c r="CT179" s="230">
        <v>-2212000</v>
      </c>
      <c r="CU179" s="229">
        <v>-0.33129999999999998</v>
      </c>
      <c r="CV179" s="230">
        <v>36347200</v>
      </c>
      <c r="CW179" s="230">
        <v>44245600</v>
      </c>
      <c r="CX179" s="230">
        <v>-7898400</v>
      </c>
      <c r="CY179" s="229">
        <v>-0.17849999999999999</v>
      </c>
      <c r="CZ179" s="228">
        <v>28.74</v>
      </c>
      <c r="DA179" s="228">
        <v>30.21</v>
      </c>
      <c r="DB179" s="228">
        <v>-1.47</v>
      </c>
      <c r="DC179" s="228">
        <v>-1.47</v>
      </c>
      <c r="DD179" s="228">
        <v>31.26</v>
      </c>
      <c r="DE179" s="228">
        <v>31.34</v>
      </c>
      <c r="DF179" s="228">
        <v>-2.52</v>
      </c>
      <c r="DG179" s="228">
        <v>-0.08</v>
      </c>
      <c r="DH179" s="228">
        <v>28.96</v>
      </c>
      <c r="DI179" s="228">
        <v>30.64</v>
      </c>
      <c r="DJ179" s="228">
        <v>-1.68</v>
      </c>
      <c r="DK179" s="228">
        <v>-1.68</v>
      </c>
      <c r="DL179" s="228">
        <v>28.13</v>
      </c>
      <c r="DM179" s="228">
        <v>29.14</v>
      </c>
      <c r="DN179" s="228">
        <v>-1.01</v>
      </c>
      <c r="DO179" s="228">
        <v>-1.01</v>
      </c>
      <c r="DP179" s="228">
        <v>0.75</v>
      </c>
      <c r="DQ179" s="228">
        <v>0.67</v>
      </c>
      <c r="DR179" s="228">
        <v>0.08</v>
      </c>
      <c r="DS179" s="229">
        <v>0.11940000000000001</v>
      </c>
      <c r="DT179" s="228">
        <v>640</v>
      </c>
      <c r="DU179" s="228">
        <v>620</v>
      </c>
      <c r="DV179" s="228">
        <v>0.48</v>
      </c>
      <c r="DW179" s="228">
        <v>0.42</v>
      </c>
      <c r="DX179" s="228">
        <v>0.06</v>
      </c>
      <c r="DY179" s="229">
        <v>0.1429</v>
      </c>
      <c r="DZ179" s="229">
        <v>0.97060000000000002</v>
      </c>
      <c r="EA179" s="230">
        <v>24774400</v>
      </c>
      <c r="EB179" s="229">
        <v>-1.01E-2</v>
      </c>
      <c r="EC179" s="229">
        <v>0.97060000000000002</v>
      </c>
      <c r="ED179" s="228">
        <v>-9.36</v>
      </c>
      <c r="EE179" s="229">
        <v>-1.4800000000000001E-2</v>
      </c>
      <c r="EF179" s="230">
        <v>563546</v>
      </c>
      <c r="EG179" s="230">
        <v>186105</v>
      </c>
      <c r="EH179" s="229">
        <v>2.0280999999999998</v>
      </c>
      <c r="EI179" s="229">
        <v>0.41270000000000001</v>
      </c>
      <c r="EJ179" s="231">
        <v>56413.18</v>
      </c>
      <c r="EK179" s="231">
        <v>26018.080000000002</v>
      </c>
      <c r="EL179" s="231">
        <v>71608.59</v>
      </c>
      <c r="EM179" s="231">
        <v>17253</v>
      </c>
      <c r="EN179" s="231">
        <v>154039.85</v>
      </c>
      <c r="EO179" s="231">
        <v>171189.44</v>
      </c>
      <c r="EP179" s="231">
        <v>-17149.59</v>
      </c>
      <c r="EQ179" s="229">
        <v>-0.1002</v>
      </c>
      <c r="ER179" s="231">
        <v>38561</v>
      </c>
      <c r="ES179" s="231">
        <v>27710</v>
      </c>
      <c r="ET179" s="231">
        <v>161013</v>
      </c>
      <c r="EU179" s="231">
        <v>44841373</v>
      </c>
      <c r="EV179" s="231">
        <v>227284</v>
      </c>
      <c r="EW179" s="231">
        <v>280282</v>
      </c>
      <c r="EX179" s="231">
        <v>-52998</v>
      </c>
      <c r="EY179" s="229">
        <v>-0.18909999999999999</v>
      </c>
      <c r="EZ179" s="229">
        <v>0.81059999999999999</v>
      </c>
      <c r="FA179" s="227" t="s">
        <v>691</v>
      </c>
      <c r="FB179" s="161">
        <f t="shared" si="4"/>
        <v>0</v>
      </c>
    </row>
    <row r="180" spans="1:158" ht="17.25" thickBot="1" x14ac:dyDescent="0.3">
      <c r="A180" s="226">
        <v>46168</v>
      </c>
      <c r="B180" s="227" t="s">
        <v>175</v>
      </c>
      <c r="C180" s="227" t="s">
        <v>462</v>
      </c>
      <c r="D180" s="228">
        <v>375</v>
      </c>
      <c r="E180" s="231">
        <v>1892</v>
      </c>
      <c r="F180" s="231">
        <v>1909.6</v>
      </c>
      <c r="G180" s="228">
        <v>-17.600000000000001</v>
      </c>
      <c r="H180" s="229">
        <v>-9.1999999999999998E-3</v>
      </c>
      <c r="I180" s="231">
        <v>1883.2</v>
      </c>
      <c r="J180" s="231">
        <v>1901.9</v>
      </c>
      <c r="K180" s="228">
        <v>-18.7</v>
      </c>
      <c r="L180" s="229">
        <v>-9.7999999999999997E-3</v>
      </c>
      <c r="M180" s="231">
        <v>1876.3</v>
      </c>
      <c r="N180" s="231">
        <v>1894.3</v>
      </c>
      <c r="O180" s="228">
        <v>-18</v>
      </c>
      <c r="P180" s="229">
        <v>-9.4999999999999998E-3</v>
      </c>
      <c r="Q180" s="231">
        <v>1892</v>
      </c>
      <c r="R180" s="231">
        <v>1909.6</v>
      </c>
      <c r="S180" s="228">
        <v>-17.600000000000001</v>
      </c>
      <c r="T180" s="229">
        <v>-9.1999999999999998E-3</v>
      </c>
      <c r="U180" s="231">
        <v>1905.3</v>
      </c>
      <c r="V180" s="231">
        <v>1921.1</v>
      </c>
      <c r="W180" s="228">
        <v>-15.8</v>
      </c>
      <c r="X180" s="229">
        <v>-8.2000000000000007E-3</v>
      </c>
      <c r="Y180" s="228">
        <v>8.8000000000000007</v>
      </c>
      <c r="Z180" s="228">
        <v>-7.6</v>
      </c>
      <c r="AA180" s="228">
        <v>16.399999999999999</v>
      </c>
      <c r="AB180" s="229">
        <v>4.7000000000000002E-3</v>
      </c>
      <c r="AC180" s="228">
        <v>-6.9</v>
      </c>
      <c r="AD180" s="228">
        <v>-7.6</v>
      </c>
      <c r="AE180" s="228">
        <v>0.7</v>
      </c>
      <c r="AF180" s="229">
        <v>-3.7000000000000002E-3</v>
      </c>
      <c r="AG180" s="228">
        <v>8.8000000000000007</v>
      </c>
      <c r="AH180" s="228">
        <v>7.7</v>
      </c>
      <c r="AI180" s="228">
        <v>1.1000000000000001</v>
      </c>
      <c r="AJ180" s="229">
        <v>4.7000000000000002E-3</v>
      </c>
      <c r="AK180" s="228">
        <v>22.1</v>
      </c>
      <c r="AL180" s="228">
        <v>19.2</v>
      </c>
      <c r="AM180" s="228">
        <v>2.9</v>
      </c>
      <c r="AN180" s="229">
        <v>1.17E-2</v>
      </c>
      <c r="AO180" s="231">
        <v>1882.34</v>
      </c>
      <c r="AP180" s="231">
        <v>1898.36</v>
      </c>
      <c r="AQ180" s="228">
        <v>0</v>
      </c>
      <c r="AR180" s="230">
        <v>3378375</v>
      </c>
      <c r="AS180" s="230">
        <v>4129125</v>
      </c>
      <c r="AT180" s="230">
        <v>-750750</v>
      </c>
      <c r="AU180" s="229">
        <v>-0.18179999999999999</v>
      </c>
      <c r="AV180" s="230">
        <v>1815375</v>
      </c>
      <c r="AW180" s="230">
        <v>2101875</v>
      </c>
      <c r="AX180" s="230">
        <v>-286500</v>
      </c>
      <c r="AY180" s="229">
        <v>-0.1363</v>
      </c>
      <c r="AZ180" s="230">
        <v>1554375</v>
      </c>
      <c r="BA180" s="230">
        <v>2014500</v>
      </c>
      <c r="BB180" s="230">
        <v>-460125</v>
      </c>
      <c r="BC180" s="229">
        <v>-0.22839999999999999</v>
      </c>
      <c r="BD180" s="230">
        <v>8625</v>
      </c>
      <c r="BE180" s="230">
        <v>12750</v>
      </c>
      <c r="BF180" s="230">
        <v>-4125</v>
      </c>
      <c r="BG180" s="229">
        <v>-0.32350000000000001</v>
      </c>
      <c r="BH180" s="230">
        <v>2824875</v>
      </c>
      <c r="BI180" s="230">
        <v>4186500</v>
      </c>
      <c r="BJ180" s="230">
        <v>-1361625</v>
      </c>
      <c r="BK180" s="229">
        <v>-0.32519999999999999</v>
      </c>
      <c r="BL180" s="230">
        <v>1363500</v>
      </c>
      <c r="BM180" s="230">
        <v>1989750</v>
      </c>
      <c r="BN180" s="230">
        <v>-626250</v>
      </c>
      <c r="BO180" s="229">
        <v>-0.31469999999999998</v>
      </c>
      <c r="BP180" s="230">
        <v>7566750</v>
      </c>
      <c r="BQ180" s="230">
        <v>10305375</v>
      </c>
      <c r="BR180" s="230">
        <v>-2738625</v>
      </c>
      <c r="BS180" s="229">
        <v>-0.26569999999999999</v>
      </c>
      <c r="BT180" s="230">
        <v>838924</v>
      </c>
      <c r="BU180" s="230">
        <v>464867</v>
      </c>
      <c r="BV180" s="230">
        <v>374057</v>
      </c>
      <c r="BW180" s="229">
        <v>0.80469999999999997</v>
      </c>
      <c r="BX180" s="230">
        <v>8166750</v>
      </c>
      <c r="BY180" s="230">
        <v>8986875</v>
      </c>
      <c r="BZ180" s="230">
        <v>-820125</v>
      </c>
      <c r="CA180" s="229">
        <v>-9.1300000000000006E-2</v>
      </c>
      <c r="CB180" s="230">
        <v>1690500</v>
      </c>
      <c r="CC180" s="230">
        <v>1585125</v>
      </c>
      <c r="CD180" s="230">
        <v>105375</v>
      </c>
      <c r="CE180" s="229">
        <v>6.6500000000000004E-2</v>
      </c>
      <c r="CF180" s="230">
        <v>7941750</v>
      </c>
      <c r="CG180" s="230">
        <v>7181625</v>
      </c>
      <c r="CH180" s="230">
        <v>760125</v>
      </c>
      <c r="CI180" s="229">
        <v>0.10580000000000001</v>
      </c>
      <c r="CJ180" s="230">
        <v>225000</v>
      </c>
      <c r="CK180" s="230">
        <v>220125</v>
      </c>
      <c r="CL180" s="230">
        <v>4875</v>
      </c>
      <c r="CM180" s="229">
        <v>2.2100000000000002E-2</v>
      </c>
      <c r="CN180" s="230">
        <v>615000</v>
      </c>
      <c r="CO180" s="230">
        <v>4126875</v>
      </c>
      <c r="CP180" s="230">
        <v>-3511875</v>
      </c>
      <c r="CQ180" s="229">
        <v>-0.85099999999999998</v>
      </c>
      <c r="CR180" s="230">
        <v>435000</v>
      </c>
      <c r="CS180" s="230">
        <v>2279250</v>
      </c>
      <c r="CT180" s="230">
        <v>-1844250</v>
      </c>
      <c r="CU180" s="229">
        <v>-0.80910000000000004</v>
      </c>
      <c r="CV180" s="230">
        <v>9216750</v>
      </c>
      <c r="CW180" s="230">
        <v>15393000</v>
      </c>
      <c r="CX180" s="230">
        <v>-6176250</v>
      </c>
      <c r="CY180" s="229">
        <v>-0.4012</v>
      </c>
      <c r="CZ180" s="228">
        <v>21.16</v>
      </c>
      <c r="DA180" s="228">
        <v>21.39</v>
      </c>
      <c r="DB180" s="228">
        <v>-0.23</v>
      </c>
      <c r="DC180" s="228">
        <v>-0.23</v>
      </c>
      <c r="DD180" s="228">
        <v>26.4</v>
      </c>
      <c r="DE180" s="228">
        <v>26.43</v>
      </c>
      <c r="DF180" s="228">
        <v>-5.24</v>
      </c>
      <c r="DG180" s="228">
        <v>-0.03</v>
      </c>
      <c r="DH180" s="228">
        <v>21.02</v>
      </c>
      <c r="DI180" s="228">
        <v>21.22</v>
      </c>
      <c r="DJ180" s="228">
        <v>-0.2</v>
      </c>
      <c r="DK180" s="228">
        <v>-0.2</v>
      </c>
      <c r="DL180" s="228">
        <v>21.67</v>
      </c>
      <c r="DM180" s="228">
        <v>22.26</v>
      </c>
      <c r="DN180" s="228">
        <v>-0.59</v>
      </c>
      <c r="DO180" s="228">
        <v>-0.59</v>
      </c>
      <c r="DP180" s="228">
        <v>0.71</v>
      </c>
      <c r="DQ180" s="228">
        <v>0.55000000000000004</v>
      </c>
      <c r="DR180" s="228">
        <v>0.16</v>
      </c>
      <c r="DS180" s="229">
        <v>0.29089999999999999</v>
      </c>
      <c r="DT180" s="231">
        <v>1860</v>
      </c>
      <c r="DU180" s="231">
        <v>1860</v>
      </c>
      <c r="DV180" s="228">
        <v>0.48</v>
      </c>
      <c r="DW180" s="228">
        <v>0.48</v>
      </c>
      <c r="DX180" s="228">
        <v>0</v>
      </c>
      <c r="DY180" s="229">
        <v>0</v>
      </c>
      <c r="DZ180" s="229">
        <v>0.82850000000000001</v>
      </c>
      <c r="EA180" s="230">
        <v>7401750</v>
      </c>
      <c r="EB180" s="229">
        <v>8.3999999999999995E-3</v>
      </c>
      <c r="EC180" s="229">
        <v>0.82850000000000001</v>
      </c>
      <c r="ED180" s="228">
        <v>16.02</v>
      </c>
      <c r="EE180" s="229">
        <v>8.5000000000000006E-3</v>
      </c>
      <c r="EF180" s="230">
        <v>516218</v>
      </c>
      <c r="EG180" s="230">
        <v>269949</v>
      </c>
      <c r="EH180" s="229">
        <v>0.9123</v>
      </c>
      <c r="EI180" s="229">
        <v>0.61529999999999996</v>
      </c>
      <c r="EJ180" s="231">
        <v>54803.1</v>
      </c>
      <c r="EK180" s="231">
        <v>25553.31</v>
      </c>
      <c r="EL180" s="231">
        <v>63843.63</v>
      </c>
      <c r="EM180" s="231">
        <v>9459</v>
      </c>
      <c r="EN180" s="231">
        <v>144200.04</v>
      </c>
      <c r="EO180" s="231">
        <v>196464.9</v>
      </c>
      <c r="EP180" s="231">
        <v>-52264.86</v>
      </c>
      <c r="EQ180" s="229">
        <v>-0.26600000000000001</v>
      </c>
      <c r="ER180" s="231">
        <v>11996</v>
      </c>
      <c r="ES180" s="231">
        <v>8116</v>
      </c>
      <c r="ET180" s="231">
        <v>154545</v>
      </c>
      <c r="EU180" s="231">
        <v>45527821</v>
      </c>
      <c r="EV180" s="231">
        <v>174657</v>
      </c>
      <c r="EW180" s="231">
        <v>291814</v>
      </c>
      <c r="EX180" s="231">
        <v>-117157</v>
      </c>
      <c r="EY180" s="229">
        <v>-0.40150000000000002</v>
      </c>
      <c r="EZ180" s="229">
        <v>0.2024</v>
      </c>
      <c r="FA180" s="227" t="s">
        <v>567</v>
      </c>
      <c r="FB180" s="161">
        <f t="shared" si="4"/>
        <v>0</v>
      </c>
    </row>
    <row r="181" spans="1:158" ht="17.25" thickBot="1" x14ac:dyDescent="0.3">
      <c r="A181" s="226">
        <v>46168</v>
      </c>
      <c r="B181" s="227" t="s">
        <v>172</v>
      </c>
      <c r="C181" s="227" t="s">
        <v>283</v>
      </c>
      <c r="D181" s="228">
        <v>750</v>
      </c>
      <c r="E181" s="228">
        <v>974.2</v>
      </c>
      <c r="F181" s="228">
        <v>976.7</v>
      </c>
      <c r="G181" s="228">
        <v>-2.5</v>
      </c>
      <c r="H181" s="229">
        <v>-2.5999999999999999E-3</v>
      </c>
      <c r="I181" s="228">
        <v>968.5</v>
      </c>
      <c r="J181" s="228">
        <v>969.6</v>
      </c>
      <c r="K181" s="228">
        <v>-1.1000000000000001</v>
      </c>
      <c r="L181" s="229">
        <v>-1.1000000000000001E-3</v>
      </c>
      <c r="M181" s="228">
        <v>967.7</v>
      </c>
      <c r="N181" s="228">
        <v>970.9</v>
      </c>
      <c r="O181" s="228">
        <v>-3.2</v>
      </c>
      <c r="P181" s="229">
        <v>-3.3E-3</v>
      </c>
      <c r="Q181" s="228">
        <v>974.2</v>
      </c>
      <c r="R181" s="228">
        <v>976.7</v>
      </c>
      <c r="S181" s="228">
        <v>-2.5</v>
      </c>
      <c r="T181" s="229">
        <v>-2.5999999999999999E-3</v>
      </c>
      <c r="U181" s="228">
        <v>980.2</v>
      </c>
      <c r="V181" s="228">
        <v>981.8</v>
      </c>
      <c r="W181" s="228">
        <v>-1.6</v>
      </c>
      <c r="X181" s="229">
        <v>-1.6000000000000001E-3</v>
      </c>
      <c r="Y181" s="228">
        <v>5.7</v>
      </c>
      <c r="Z181" s="228">
        <v>1.3</v>
      </c>
      <c r="AA181" s="228">
        <v>4.4000000000000004</v>
      </c>
      <c r="AB181" s="229">
        <v>5.8999999999999999E-3</v>
      </c>
      <c r="AC181" s="228">
        <v>-0.8</v>
      </c>
      <c r="AD181" s="228">
        <v>1.3</v>
      </c>
      <c r="AE181" s="228">
        <v>-2.1</v>
      </c>
      <c r="AF181" s="229">
        <v>-8.0000000000000004E-4</v>
      </c>
      <c r="AG181" s="228">
        <v>5.7</v>
      </c>
      <c r="AH181" s="228">
        <v>7.1</v>
      </c>
      <c r="AI181" s="228">
        <v>-1.4</v>
      </c>
      <c r="AJ181" s="229">
        <v>5.8999999999999999E-3</v>
      </c>
      <c r="AK181" s="228">
        <v>11.7</v>
      </c>
      <c r="AL181" s="228">
        <v>12.2</v>
      </c>
      <c r="AM181" s="228">
        <v>-0.5</v>
      </c>
      <c r="AN181" s="229">
        <v>1.21E-2</v>
      </c>
      <c r="AO181" s="228">
        <v>970.85</v>
      </c>
      <c r="AP181" s="228">
        <v>976.86</v>
      </c>
      <c r="AQ181" s="228">
        <v>0</v>
      </c>
      <c r="AR181" s="230">
        <v>46857000</v>
      </c>
      <c r="AS181" s="230">
        <v>56533500</v>
      </c>
      <c r="AT181" s="230">
        <v>-9676500</v>
      </c>
      <c r="AU181" s="229">
        <v>-0.17119999999999999</v>
      </c>
      <c r="AV181" s="230">
        <v>20172000</v>
      </c>
      <c r="AW181" s="230">
        <v>27581250</v>
      </c>
      <c r="AX181" s="230">
        <v>-7409250</v>
      </c>
      <c r="AY181" s="229">
        <v>-0.26860000000000001</v>
      </c>
      <c r="AZ181" s="230">
        <v>25969500</v>
      </c>
      <c r="BA181" s="230">
        <v>28356000</v>
      </c>
      <c r="BB181" s="230">
        <v>-2386500</v>
      </c>
      <c r="BC181" s="229">
        <v>-8.4199999999999997E-2</v>
      </c>
      <c r="BD181" s="230">
        <v>715500</v>
      </c>
      <c r="BE181" s="230">
        <v>596250</v>
      </c>
      <c r="BF181" s="230">
        <v>119250</v>
      </c>
      <c r="BG181" s="229">
        <v>0.2</v>
      </c>
      <c r="BH181" s="230">
        <v>89844000</v>
      </c>
      <c r="BI181" s="230">
        <v>214686000</v>
      </c>
      <c r="BJ181" s="230">
        <v>-124842000</v>
      </c>
      <c r="BK181" s="229">
        <v>-0.58150000000000002</v>
      </c>
      <c r="BL181" s="230">
        <v>48760500</v>
      </c>
      <c r="BM181" s="230">
        <v>86915250</v>
      </c>
      <c r="BN181" s="230">
        <v>-38154750</v>
      </c>
      <c r="BO181" s="229">
        <v>-0.439</v>
      </c>
      <c r="BP181" s="230">
        <v>185461500</v>
      </c>
      <c r="BQ181" s="230">
        <v>358134750</v>
      </c>
      <c r="BR181" s="230">
        <v>-172673250</v>
      </c>
      <c r="BS181" s="229">
        <v>-0.48209999999999997</v>
      </c>
      <c r="BT181" s="230">
        <v>17149391</v>
      </c>
      <c r="BU181" s="230">
        <v>11574146</v>
      </c>
      <c r="BV181" s="230">
        <v>5575245</v>
      </c>
      <c r="BW181" s="229">
        <v>0.48170000000000002</v>
      </c>
      <c r="BX181" s="230">
        <v>99054750</v>
      </c>
      <c r="BY181" s="230">
        <v>107804250</v>
      </c>
      <c r="BZ181" s="230">
        <v>-8749500</v>
      </c>
      <c r="CA181" s="229">
        <v>-8.1199999999999994E-2</v>
      </c>
      <c r="CB181" s="230">
        <v>11112000</v>
      </c>
      <c r="CC181" s="230">
        <v>24931500</v>
      </c>
      <c r="CD181" s="230">
        <v>-13819500</v>
      </c>
      <c r="CE181" s="229">
        <v>-0.55430000000000001</v>
      </c>
      <c r="CF181" s="230">
        <v>93072750</v>
      </c>
      <c r="CG181" s="230">
        <v>77083500</v>
      </c>
      <c r="CH181" s="230">
        <v>15989250</v>
      </c>
      <c r="CI181" s="229">
        <v>0.2074</v>
      </c>
      <c r="CJ181" s="230">
        <v>5982000</v>
      </c>
      <c r="CK181" s="230">
        <v>5789250</v>
      </c>
      <c r="CL181" s="230">
        <v>192750</v>
      </c>
      <c r="CM181" s="229">
        <v>3.3300000000000003E-2</v>
      </c>
      <c r="CN181" s="230">
        <v>33188250</v>
      </c>
      <c r="CO181" s="230">
        <v>90135000</v>
      </c>
      <c r="CP181" s="230">
        <v>-56946750</v>
      </c>
      <c r="CQ181" s="229">
        <v>-0.63180000000000003</v>
      </c>
      <c r="CR181" s="230">
        <v>27923250</v>
      </c>
      <c r="CS181" s="230">
        <v>52029000</v>
      </c>
      <c r="CT181" s="230">
        <v>-24105750</v>
      </c>
      <c r="CU181" s="229">
        <v>-0.46329999999999999</v>
      </c>
      <c r="CV181" s="230">
        <v>160166250</v>
      </c>
      <c r="CW181" s="230">
        <v>249968250</v>
      </c>
      <c r="CX181" s="230">
        <v>-89802000</v>
      </c>
      <c r="CY181" s="229">
        <v>-0.35930000000000001</v>
      </c>
      <c r="CZ181" s="228">
        <v>21.71</v>
      </c>
      <c r="DA181" s="228">
        <v>23.07</v>
      </c>
      <c r="DB181" s="228">
        <v>-1.36</v>
      </c>
      <c r="DC181" s="228">
        <v>-1.36</v>
      </c>
      <c r="DD181" s="228">
        <v>30.77</v>
      </c>
      <c r="DE181" s="228">
        <v>30.85</v>
      </c>
      <c r="DF181" s="228">
        <v>-9.06</v>
      </c>
      <c r="DG181" s="228">
        <v>-0.08</v>
      </c>
      <c r="DH181" s="228">
        <v>21.72</v>
      </c>
      <c r="DI181" s="228">
        <v>22.81</v>
      </c>
      <c r="DJ181" s="228">
        <v>-1.0900000000000001</v>
      </c>
      <c r="DK181" s="228">
        <v>-1.0900000000000001</v>
      </c>
      <c r="DL181" s="228">
        <v>21.7</v>
      </c>
      <c r="DM181" s="228">
        <v>23.45</v>
      </c>
      <c r="DN181" s="228">
        <v>-1.75</v>
      </c>
      <c r="DO181" s="228">
        <v>-1.75</v>
      </c>
      <c r="DP181" s="228">
        <v>0.84</v>
      </c>
      <c r="DQ181" s="228">
        <v>0.57999999999999996</v>
      </c>
      <c r="DR181" s="228">
        <v>0.26</v>
      </c>
      <c r="DS181" s="229">
        <v>0.44829999999999998</v>
      </c>
      <c r="DT181" s="231">
        <v>1100</v>
      </c>
      <c r="DU181" s="228">
        <v>970</v>
      </c>
      <c r="DV181" s="228">
        <v>0.54</v>
      </c>
      <c r="DW181" s="228">
        <v>0.4</v>
      </c>
      <c r="DX181" s="228">
        <v>0.14000000000000001</v>
      </c>
      <c r="DY181" s="229">
        <v>0.35</v>
      </c>
      <c r="DZ181" s="229">
        <v>0.89910000000000001</v>
      </c>
      <c r="EA181" s="230">
        <v>82872750</v>
      </c>
      <c r="EB181" s="229">
        <v>6.7000000000000002E-3</v>
      </c>
      <c r="EC181" s="229">
        <v>0.89910000000000001</v>
      </c>
      <c r="ED181" s="228">
        <v>6.01</v>
      </c>
      <c r="EE181" s="229">
        <v>6.1999999999999998E-3</v>
      </c>
      <c r="EF181" s="230">
        <v>8984102</v>
      </c>
      <c r="EG181" s="230">
        <v>6548433</v>
      </c>
      <c r="EH181" s="229">
        <v>0.37190000000000001</v>
      </c>
      <c r="EI181" s="229">
        <v>0.52390000000000003</v>
      </c>
      <c r="EJ181" s="231">
        <v>913885.35</v>
      </c>
      <c r="EK181" s="231">
        <v>488065.96</v>
      </c>
      <c r="EL181" s="231">
        <v>456553.09</v>
      </c>
      <c r="EM181" s="231">
        <v>42400</v>
      </c>
      <c r="EN181" s="231">
        <v>1858504.4</v>
      </c>
      <c r="EO181" s="231">
        <v>3563314.16</v>
      </c>
      <c r="EP181" s="231">
        <v>-1704809.76</v>
      </c>
      <c r="EQ181" s="229">
        <v>-0.47839999999999999</v>
      </c>
      <c r="ER181" s="231">
        <v>341734</v>
      </c>
      <c r="ES181" s="231">
        <v>276193</v>
      </c>
      <c r="ET181" s="231">
        <v>965350</v>
      </c>
      <c r="EU181" s="231">
        <v>580324288</v>
      </c>
      <c r="EV181" s="231">
        <v>1583277</v>
      </c>
      <c r="EW181" s="231">
        <v>2520176</v>
      </c>
      <c r="EX181" s="231">
        <v>-936899</v>
      </c>
      <c r="EY181" s="229">
        <v>-0.37180000000000002</v>
      </c>
      <c r="EZ181" s="229">
        <v>0.27600000000000002</v>
      </c>
      <c r="FA181" s="227" t="s">
        <v>567</v>
      </c>
      <c r="FB181" s="161">
        <f t="shared" si="4"/>
        <v>0</v>
      </c>
    </row>
    <row r="182" spans="1:158" ht="17.25" thickBot="1" x14ac:dyDescent="0.3">
      <c r="A182" s="226">
        <v>46168</v>
      </c>
      <c r="B182" s="227" t="s">
        <v>157</v>
      </c>
      <c r="C182" s="227" t="s">
        <v>284</v>
      </c>
      <c r="D182" s="228">
        <v>25</v>
      </c>
      <c r="E182" s="231">
        <v>24905</v>
      </c>
      <c r="F182" s="231">
        <v>25155</v>
      </c>
      <c r="G182" s="228">
        <v>-250</v>
      </c>
      <c r="H182" s="229">
        <v>-9.9000000000000008E-3</v>
      </c>
      <c r="I182" s="231">
        <v>25180</v>
      </c>
      <c r="J182" s="231">
        <v>25355</v>
      </c>
      <c r="K182" s="228">
        <v>-175</v>
      </c>
      <c r="L182" s="229">
        <v>-6.8999999999999999E-3</v>
      </c>
      <c r="M182" s="231">
        <v>25170</v>
      </c>
      <c r="N182" s="231">
        <v>25360</v>
      </c>
      <c r="O182" s="228">
        <v>-190</v>
      </c>
      <c r="P182" s="229">
        <v>-7.4999999999999997E-3</v>
      </c>
      <c r="Q182" s="231">
        <v>24905</v>
      </c>
      <c r="R182" s="231">
        <v>25155</v>
      </c>
      <c r="S182" s="228">
        <v>-250</v>
      </c>
      <c r="T182" s="229">
        <v>-9.9000000000000008E-3</v>
      </c>
      <c r="U182" s="231">
        <v>24840</v>
      </c>
      <c r="V182" s="231">
        <v>25155</v>
      </c>
      <c r="W182" s="228">
        <v>-315</v>
      </c>
      <c r="X182" s="229">
        <v>-1.2500000000000001E-2</v>
      </c>
      <c r="Y182" s="228">
        <v>-275</v>
      </c>
      <c r="Z182" s="228">
        <v>5</v>
      </c>
      <c r="AA182" s="228">
        <v>-280</v>
      </c>
      <c r="AB182" s="229">
        <v>-1.09E-2</v>
      </c>
      <c r="AC182" s="228">
        <v>-10</v>
      </c>
      <c r="AD182" s="228">
        <v>5</v>
      </c>
      <c r="AE182" s="228">
        <v>-15</v>
      </c>
      <c r="AF182" s="229">
        <v>-4.0000000000000002E-4</v>
      </c>
      <c r="AG182" s="228">
        <v>-275</v>
      </c>
      <c r="AH182" s="228">
        <v>-200</v>
      </c>
      <c r="AI182" s="228">
        <v>-75</v>
      </c>
      <c r="AJ182" s="229">
        <v>-1.09E-2</v>
      </c>
      <c r="AK182" s="228">
        <v>-340</v>
      </c>
      <c r="AL182" s="228">
        <v>-200</v>
      </c>
      <c r="AM182" s="228">
        <v>-140</v>
      </c>
      <c r="AN182" s="229">
        <v>-1.35E-2</v>
      </c>
      <c r="AO182" s="231">
        <v>25164.49</v>
      </c>
      <c r="AP182" s="231">
        <v>24940.82</v>
      </c>
      <c r="AQ182" s="228">
        <v>0</v>
      </c>
      <c r="AR182" s="230">
        <v>123925</v>
      </c>
      <c r="AS182" s="230">
        <v>219575</v>
      </c>
      <c r="AT182" s="230">
        <v>-95650</v>
      </c>
      <c r="AU182" s="229">
        <v>-0.43559999999999999</v>
      </c>
      <c r="AV182" s="230">
        <v>51225</v>
      </c>
      <c r="AW182" s="230">
        <v>105575</v>
      </c>
      <c r="AX182" s="230">
        <v>-54350</v>
      </c>
      <c r="AY182" s="229">
        <v>-0.51480000000000004</v>
      </c>
      <c r="AZ182" s="230">
        <v>71475</v>
      </c>
      <c r="BA182" s="230">
        <v>113350</v>
      </c>
      <c r="BB182" s="230">
        <v>-41875</v>
      </c>
      <c r="BC182" s="229">
        <v>-0.36940000000000001</v>
      </c>
      <c r="BD182" s="230">
        <v>1225</v>
      </c>
      <c r="BE182" s="228">
        <v>650</v>
      </c>
      <c r="BF182" s="228">
        <v>575</v>
      </c>
      <c r="BG182" s="229">
        <v>0.88460000000000005</v>
      </c>
      <c r="BH182" s="230">
        <v>74300</v>
      </c>
      <c r="BI182" s="230">
        <v>215700</v>
      </c>
      <c r="BJ182" s="230">
        <v>-141400</v>
      </c>
      <c r="BK182" s="229">
        <v>-0.65549999999999997</v>
      </c>
      <c r="BL182" s="230">
        <v>32950</v>
      </c>
      <c r="BM182" s="230">
        <v>65200</v>
      </c>
      <c r="BN182" s="230">
        <v>-32250</v>
      </c>
      <c r="BO182" s="229">
        <v>-0.49459999999999998</v>
      </c>
      <c r="BP182" s="230">
        <v>231175</v>
      </c>
      <c r="BQ182" s="230">
        <v>500475</v>
      </c>
      <c r="BR182" s="230">
        <v>-269300</v>
      </c>
      <c r="BS182" s="229">
        <v>-0.53810000000000002</v>
      </c>
      <c r="BT182" s="230">
        <v>17840</v>
      </c>
      <c r="BU182" s="230">
        <v>11496</v>
      </c>
      <c r="BV182" s="230">
        <v>6344</v>
      </c>
      <c r="BW182" s="229">
        <v>0.55179999999999996</v>
      </c>
      <c r="BX182" s="230">
        <v>399875</v>
      </c>
      <c r="BY182" s="230">
        <v>397875</v>
      </c>
      <c r="BZ182" s="230">
        <v>2000</v>
      </c>
      <c r="CA182" s="229">
        <v>5.0000000000000001E-3</v>
      </c>
      <c r="CB182" s="230">
        <v>11300</v>
      </c>
      <c r="CC182" s="230">
        <v>34875</v>
      </c>
      <c r="CD182" s="230">
        <v>-23575</v>
      </c>
      <c r="CE182" s="229">
        <v>-0.67600000000000005</v>
      </c>
      <c r="CF182" s="230">
        <v>396325</v>
      </c>
      <c r="CG182" s="230">
        <v>360225</v>
      </c>
      <c r="CH182" s="230">
        <v>36100</v>
      </c>
      <c r="CI182" s="229">
        <v>0.1002</v>
      </c>
      <c r="CJ182" s="230">
        <v>3550</v>
      </c>
      <c r="CK182" s="230">
        <v>2775</v>
      </c>
      <c r="CL182" s="228">
        <v>775</v>
      </c>
      <c r="CM182" s="229">
        <v>0.27929999999999999</v>
      </c>
      <c r="CN182" s="230">
        <v>17025</v>
      </c>
      <c r="CO182" s="230">
        <v>68500</v>
      </c>
      <c r="CP182" s="230">
        <v>-51475</v>
      </c>
      <c r="CQ182" s="229">
        <v>-0.75149999999999995</v>
      </c>
      <c r="CR182" s="230">
        <v>12475</v>
      </c>
      <c r="CS182" s="230">
        <v>43025</v>
      </c>
      <c r="CT182" s="230">
        <v>-30550</v>
      </c>
      <c r="CU182" s="229">
        <v>-0.71009999999999995</v>
      </c>
      <c r="CV182" s="230">
        <v>429375</v>
      </c>
      <c r="CW182" s="230">
        <v>509400</v>
      </c>
      <c r="CX182" s="230">
        <v>-80025</v>
      </c>
      <c r="CY182" s="229">
        <v>-0.15709999999999999</v>
      </c>
      <c r="CZ182" s="228">
        <v>24.13</v>
      </c>
      <c r="DA182" s="228">
        <v>24.11</v>
      </c>
      <c r="DB182" s="228">
        <v>0.02</v>
      </c>
      <c r="DC182" s="228">
        <v>0.02</v>
      </c>
      <c r="DD182" s="228">
        <v>27.61</v>
      </c>
      <c r="DE182" s="228">
        <v>27.65</v>
      </c>
      <c r="DF182" s="228">
        <v>-3.48</v>
      </c>
      <c r="DG182" s="228">
        <v>-0.04</v>
      </c>
      <c r="DH182" s="228">
        <v>23.77</v>
      </c>
      <c r="DI182" s="228">
        <v>24.2</v>
      </c>
      <c r="DJ182" s="228">
        <v>-0.43</v>
      </c>
      <c r="DK182" s="228">
        <v>-0.43</v>
      </c>
      <c r="DL182" s="228">
        <v>25.46</v>
      </c>
      <c r="DM182" s="228">
        <v>23.7</v>
      </c>
      <c r="DN182" s="228">
        <v>1.76</v>
      </c>
      <c r="DO182" s="228">
        <v>1.76</v>
      </c>
      <c r="DP182" s="228">
        <v>0.73</v>
      </c>
      <c r="DQ182" s="228">
        <v>0.63</v>
      </c>
      <c r="DR182" s="228">
        <v>0.1</v>
      </c>
      <c r="DS182" s="229">
        <v>0.15870000000000001</v>
      </c>
      <c r="DT182" s="231">
        <v>27000</v>
      </c>
      <c r="DU182" s="231">
        <v>25000</v>
      </c>
      <c r="DV182" s="228">
        <v>0.44</v>
      </c>
      <c r="DW182" s="228">
        <v>0.3</v>
      </c>
      <c r="DX182" s="228">
        <v>0.14000000000000001</v>
      </c>
      <c r="DY182" s="229">
        <v>0.4667</v>
      </c>
      <c r="DZ182" s="229">
        <v>0.97250000000000003</v>
      </c>
      <c r="EA182" s="230">
        <v>363000</v>
      </c>
      <c r="EB182" s="229">
        <v>-1.0500000000000001E-2</v>
      </c>
      <c r="EC182" s="229">
        <v>0.97250000000000003</v>
      </c>
      <c r="ED182" s="228">
        <v>-223.67</v>
      </c>
      <c r="EE182" s="229">
        <v>-8.8999999999999999E-3</v>
      </c>
      <c r="EF182" s="230">
        <v>9584</v>
      </c>
      <c r="EG182" s="230">
        <v>4523</v>
      </c>
      <c r="EH182" s="229">
        <v>1.1189</v>
      </c>
      <c r="EI182" s="229">
        <v>0.53720000000000001</v>
      </c>
      <c r="EJ182" s="231">
        <v>19452.72</v>
      </c>
      <c r="EK182" s="231">
        <v>8075.03</v>
      </c>
      <c r="EL182" s="231">
        <v>31021.06</v>
      </c>
      <c r="EM182" s="231">
        <v>7790</v>
      </c>
      <c r="EN182" s="231">
        <v>58548.81</v>
      </c>
      <c r="EO182" s="231">
        <v>127936.18</v>
      </c>
      <c r="EP182" s="231">
        <v>-69387.37</v>
      </c>
      <c r="EQ182" s="229">
        <v>-0.54239999999999999</v>
      </c>
      <c r="ER182" s="231">
        <v>4451</v>
      </c>
      <c r="ES182" s="231">
        <v>3053</v>
      </c>
      <c r="ET182" s="231">
        <v>99587</v>
      </c>
      <c r="EU182" s="231">
        <v>1655049</v>
      </c>
      <c r="EV182" s="231">
        <v>107091</v>
      </c>
      <c r="EW182" s="231">
        <v>128289</v>
      </c>
      <c r="EX182" s="231">
        <v>-21198</v>
      </c>
      <c r="EY182" s="229">
        <v>-0.16520000000000001</v>
      </c>
      <c r="EZ182" s="229">
        <v>0.25940000000000002</v>
      </c>
      <c r="FA182" s="227" t="s">
        <v>566</v>
      </c>
      <c r="FB182" s="161">
        <f t="shared" si="4"/>
        <v>0</v>
      </c>
    </row>
    <row r="183" spans="1:158" ht="17.25" thickBot="1" x14ac:dyDescent="0.3">
      <c r="A183" s="226">
        <v>46168</v>
      </c>
      <c r="B183" s="227" t="s">
        <v>175</v>
      </c>
      <c r="C183" s="227" t="s">
        <v>561</v>
      </c>
      <c r="D183" s="228">
        <v>825</v>
      </c>
      <c r="E183" s="228">
        <v>959.25</v>
      </c>
      <c r="F183" s="228">
        <v>967.45</v>
      </c>
      <c r="G183" s="228">
        <v>-8.1999999999999993</v>
      </c>
      <c r="H183" s="229">
        <v>-8.5000000000000006E-3</v>
      </c>
      <c r="I183" s="228">
        <v>952.15</v>
      </c>
      <c r="J183" s="228">
        <v>961.95</v>
      </c>
      <c r="K183" s="228">
        <v>-9.8000000000000007</v>
      </c>
      <c r="L183" s="229">
        <v>-1.0200000000000001E-2</v>
      </c>
      <c r="M183" s="228">
        <v>952.05</v>
      </c>
      <c r="N183" s="228">
        <v>961.6</v>
      </c>
      <c r="O183" s="228">
        <v>-9.5500000000000007</v>
      </c>
      <c r="P183" s="229">
        <v>-9.9000000000000008E-3</v>
      </c>
      <c r="Q183" s="228">
        <v>959.25</v>
      </c>
      <c r="R183" s="228">
        <v>967.45</v>
      </c>
      <c r="S183" s="228">
        <v>-8.1999999999999993</v>
      </c>
      <c r="T183" s="229">
        <v>-8.5000000000000006E-3</v>
      </c>
      <c r="U183" s="228">
        <v>960.6</v>
      </c>
      <c r="V183" s="228">
        <v>967.55</v>
      </c>
      <c r="W183" s="228">
        <v>-6.95</v>
      </c>
      <c r="X183" s="229">
        <v>-7.1999999999999998E-3</v>
      </c>
      <c r="Y183" s="228">
        <v>7.1</v>
      </c>
      <c r="Z183" s="228">
        <v>-0.35</v>
      </c>
      <c r="AA183" s="228">
        <v>7.45</v>
      </c>
      <c r="AB183" s="229">
        <v>7.4999999999999997E-3</v>
      </c>
      <c r="AC183" s="228">
        <v>-0.1</v>
      </c>
      <c r="AD183" s="228">
        <v>-0.35</v>
      </c>
      <c r="AE183" s="228">
        <v>0.25</v>
      </c>
      <c r="AF183" s="229">
        <v>-1E-4</v>
      </c>
      <c r="AG183" s="228">
        <v>7.1</v>
      </c>
      <c r="AH183" s="228">
        <v>5.5</v>
      </c>
      <c r="AI183" s="228">
        <v>1.6</v>
      </c>
      <c r="AJ183" s="229">
        <v>7.4999999999999997E-3</v>
      </c>
      <c r="AK183" s="228">
        <v>8.4499999999999993</v>
      </c>
      <c r="AL183" s="228">
        <v>5.6</v>
      </c>
      <c r="AM183" s="228">
        <v>2.85</v>
      </c>
      <c r="AN183" s="229">
        <v>8.8999999999999999E-3</v>
      </c>
      <c r="AO183" s="228">
        <v>956.6</v>
      </c>
      <c r="AP183" s="228">
        <v>962.78</v>
      </c>
      <c r="AQ183" s="228">
        <v>0</v>
      </c>
      <c r="AR183" s="230">
        <v>16920750</v>
      </c>
      <c r="AS183" s="230">
        <v>23380500</v>
      </c>
      <c r="AT183" s="230">
        <v>-6459750</v>
      </c>
      <c r="AU183" s="229">
        <v>-0.27629999999999999</v>
      </c>
      <c r="AV183" s="230">
        <v>7248450</v>
      </c>
      <c r="AW183" s="230">
        <v>11147400</v>
      </c>
      <c r="AX183" s="230">
        <v>-3898950</v>
      </c>
      <c r="AY183" s="229">
        <v>-0.3498</v>
      </c>
      <c r="AZ183" s="230">
        <v>9493275</v>
      </c>
      <c r="BA183" s="230">
        <v>12012000</v>
      </c>
      <c r="BB183" s="230">
        <v>-2518725</v>
      </c>
      <c r="BC183" s="229">
        <v>-0.2097</v>
      </c>
      <c r="BD183" s="230">
        <v>179025</v>
      </c>
      <c r="BE183" s="230">
        <v>221100</v>
      </c>
      <c r="BF183" s="230">
        <v>-42075</v>
      </c>
      <c r="BG183" s="229">
        <v>-0.1903</v>
      </c>
      <c r="BH183" s="230">
        <v>9566700</v>
      </c>
      <c r="BI183" s="230">
        <v>27214275</v>
      </c>
      <c r="BJ183" s="230">
        <v>-17647575</v>
      </c>
      <c r="BK183" s="229">
        <v>-0.64849999999999997</v>
      </c>
      <c r="BL183" s="230">
        <v>5921850</v>
      </c>
      <c r="BM183" s="230">
        <v>10364475</v>
      </c>
      <c r="BN183" s="230">
        <v>-4442625</v>
      </c>
      <c r="BO183" s="229">
        <v>-0.42859999999999998</v>
      </c>
      <c r="BP183" s="230">
        <v>32409300</v>
      </c>
      <c r="BQ183" s="230">
        <v>60959250</v>
      </c>
      <c r="BR183" s="230">
        <v>-28549950</v>
      </c>
      <c r="BS183" s="229">
        <v>-0.46829999999999999</v>
      </c>
      <c r="BT183" s="230">
        <v>4505592</v>
      </c>
      <c r="BU183" s="230">
        <v>6887354</v>
      </c>
      <c r="BV183" s="230">
        <v>-2381762</v>
      </c>
      <c r="BW183" s="229">
        <v>-0.3458</v>
      </c>
      <c r="BX183" s="230">
        <v>41004975</v>
      </c>
      <c r="BY183" s="230">
        <v>43891650</v>
      </c>
      <c r="BZ183" s="230">
        <v>-2886675</v>
      </c>
      <c r="CA183" s="229">
        <v>-6.5799999999999997E-2</v>
      </c>
      <c r="CB183" s="230">
        <v>2588025</v>
      </c>
      <c r="CC183" s="230">
        <v>7731900</v>
      </c>
      <c r="CD183" s="230">
        <v>-5143875</v>
      </c>
      <c r="CE183" s="229">
        <v>-0.6653</v>
      </c>
      <c r="CF183" s="230">
        <v>38607525</v>
      </c>
      <c r="CG183" s="230">
        <v>33866250</v>
      </c>
      <c r="CH183" s="230">
        <v>4741275</v>
      </c>
      <c r="CI183" s="229">
        <v>0.14000000000000001</v>
      </c>
      <c r="CJ183" s="230">
        <v>2397450</v>
      </c>
      <c r="CK183" s="230">
        <v>2293500</v>
      </c>
      <c r="CL183" s="230">
        <v>103950</v>
      </c>
      <c r="CM183" s="229">
        <v>4.53E-2</v>
      </c>
      <c r="CN183" s="230">
        <v>5006925</v>
      </c>
      <c r="CO183" s="230">
        <v>14630550</v>
      </c>
      <c r="CP183" s="230">
        <v>-9623625</v>
      </c>
      <c r="CQ183" s="229">
        <v>-0.65780000000000005</v>
      </c>
      <c r="CR183" s="230">
        <v>3865125</v>
      </c>
      <c r="CS183" s="230">
        <v>9487500</v>
      </c>
      <c r="CT183" s="230">
        <v>-5622375</v>
      </c>
      <c r="CU183" s="229">
        <v>-0.59260000000000002</v>
      </c>
      <c r="CV183" s="230">
        <v>49877025</v>
      </c>
      <c r="CW183" s="230">
        <v>68009700</v>
      </c>
      <c r="CX183" s="230">
        <v>-18132675</v>
      </c>
      <c r="CY183" s="229">
        <v>-0.2666</v>
      </c>
      <c r="CZ183" s="228">
        <v>30.88</v>
      </c>
      <c r="DA183" s="228">
        <v>31.99</v>
      </c>
      <c r="DB183" s="228">
        <v>-1.1100000000000001</v>
      </c>
      <c r="DC183" s="228">
        <v>-1.1100000000000001</v>
      </c>
      <c r="DD183" s="228">
        <v>44.48</v>
      </c>
      <c r="DE183" s="228">
        <v>44.57</v>
      </c>
      <c r="DF183" s="228">
        <v>-13.6</v>
      </c>
      <c r="DG183" s="228">
        <v>-0.09</v>
      </c>
      <c r="DH183" s="228">
        <v>30.73</v>
      </c>
      <c r="DI183" s="228">
        <v>31.91</v>
      </c>
      <c r="DJ183" s="228">
        <v>-1.18</v>
      </c>
      <c r="DK183" s="228">
        <v>-1.18</v>
      </c>
      <c r="DL183" s="228">
        <v>31.1</v>
      </c>
      <c r="DM183" s="228">
        <v>32.22</v>
      </c>
      <c r="DN183" s="228">
        <v>-1.1200000000000001</v>
      </c>
      <c r="DO183" s="228">
        <v>-1.1200000000000001</v>
      </c>
      <c r="DP183" s="228">
        <v>0.77</v>
      </c>
      <c r="DQ183" s="228">
        <v>0.65</v>
      </c>
      <c r="DR183" s="228">
        <v>0.12</v>
      </c>
      <c r="DS183" s="229">
        <v>0.18459999999999999</v>
      </c>
      <c r="DT183" s="231">
        <v>1000</v>
      </c>
      <c r="DU183" s="228">
        <v>900</v>
      </c>
      <c r="DV183" s="228">
        <v>0.62</v>
      </c>
      <c r="DW183" s="228">
        <v>0.38</v>
      </c>
      <c r="DX183" s="228">
        <v>0.24</v>
      </c>
      <c r="DY183" s="229">
        <v>0.63160000000000005</v>
      </c>
      <c r="DZ183" s="229">
        <v>0.94059999999999999</v>
      </c>
      <c r="EA183" s="230">
        <v>36159750</v>
      </c>
      <c r="EB183" s="229">
        <v>7.6E-3</v>
      </c>
      <c r="EC183" s="229">
        <v>0.94059999999999999</v>
      </c>
      <c r="ED183" s="228">
        <v>6.18</v>
      </c>
      <c r="EE183" s="229">
        <v>6.4999999999999997E-3</v>
      </c>
      <c r="EF183" s="230">
        <v>2708837</v>
      </c>
      <c r="EG183" s="230">
        <v>4374148</v>
      </c>
      <c r="EH183" s="229">
        <v>-0.38069999999999998</v>
      </c>
      <c r="EI183" s="229">
        <v>0.60119999999999996</v>
      </c>
      <c r="EJ183" s="231">
        <v>96211.07</v>
      </c>
      <c r="EK183" s="231">
        <v>56955.51</v>
      </c>
      <c r="EL183" s="231">
        <v>162462.25</v>
      </c>
      <c r="EM183" s="231">
        <v>18940</v>
      </c>
      <c r="EN183" s="231">
        <v>315628.83</v>
      </c>
      <c r="EO183" s="231">
        <v>596060.87</v>
      </c>
      <c r="EP183" s="231">
        <v>-280432.03999999998</v>
      </c>
      <c r="EQ183" s="229">
        <v>-0.47049999999999997</v>
      </c>
      <c r="ER183" s="231">
        <v>49977</v>
      </c>
      <c r="ES183" s="231">
        <v>35954</v>
      </c>
      <c r="ET183" s="231">
        <v>393373</v>
      </c>
      <c r="EU183" s="231">
        <v>210567108</v>
      </c>
      <c r="EV183" s="231">
        <v>479304</v>
      </c>
      <c r="EW183" s="231">
        <v>660619</v>
      </c>
      <c r="EX183" s="231">
        <v>-181315</v>
      </c>
      <c r="EY183" s="229">
        <v>-0.27450000000000002</v>
      </c>
      <c r="EZ183" s="229">
        <v>0.2369</v>
      </c>
      <c r="FA183" s="227" t="s">
        <v>567</v>
      </c>
      <c r="FB183" s="161">
        <f t="shared" si="4"/>
        <v>0</v>
      </c>
    </row>
    <row r="184" spans="1:158" ht="17.25" thickBot="1" x14ac:dyDescent="0.3">
      <c r="A184" s="226">
        <v>46168</v>
      </c>
      <c r="B184" s="227" t="s">
        <v>184</v>
      </c>
      <c r="C184" s="227" t="s">
        <v>285</v>
      </c>
      <c r="D184" s="228">
        <v>175</v>
      </c>
      <c r="E184" s="231">
        <v>3680.8</v>
      </c>
      <c r="F184" s="231">
        <v>3650.2</v>
      </c>
      <c r="G184" s="228">
        <v>30.6</v>
      </c>
      <c r="H184" s="229">
        <v>8.3999999999999995E-3</v>
      </c>
      <c r="I184" s="231">
        <v>3677.2</v>
      </c>
      <c r="J184" s="231">
        <v>3667.5</v>
      </c>
      <c r="K184" s="228">
        <v>9.6999999999999993</v>
      </c>
      <c r="L184" s="229">
        <v>2.5999999999999999E-3</v>
      </c>
      <c r="M184" s="231">
        <v>3685.5</v>
      </c>
      <c r="N184" s="231">
        <v>3664.3</v>
      </c>
      <c r="O184" s="228">
        <v>21.2</v>
      </c>
      <c r="P184" s="229">
        <v>5.7999999999999996E-3</v>
      </c>
      <c r="Q184" s="231">
        <v>3680.8</v>
      </c>
      <c r="R184" s="231">
        <v>3650.2</v>
      </c>
      <c r="S184" s="228">
        <v>30.6</v>
      </c>
      <c r="T184" s="229">
        <v>8.3999999999999995E-3</v>
      </c>
      <c r="U184" s="231">
        <v>3674.1</v>
      </c>
      <c r="V184" s="231">
        <v>3655.3</v>
      </c>
      <c r="W184" s="228">
        <v>18.8</v>
      </c>
      <c r="X184" s="229">
        <v>5.1000000000000004E-3</v>
      </c>
      <c r="Y184" s="228">
        <v>3.6</v>
      </c>
      <c r="Z184" s="228">
        <v>-3.2</v>
      </c>
      <c r="AA184" s="228">
        <v>6.8</v>
      </c>
      <c r="AB184" s="229">
        <v>1E-3</v>
      </c>
      <c r="AC184" s="228">
        <v>8.3000000000000007</v>
      </c>
      <c r="AD184" s="228">
        <v>-3.2</v>
      </c>
      <c r="AE184" s="228">
        <v>11.5</v>
      </c>
      <c r="AF184" s="229">
        <v>2.3E-3</v>
      </c>
      <c r="AG184" s="228">
        <v>3.6</v>
      </c>
      <c r="AH184" s="228">
        <v>-17.3</v>
      </c>
      <c r="AI184" s="228">
        <v>20.9</v>
      </c>
      <c r="AJ184" s="229">
        <v>1E-3</v>
      </c>
      <c r="AK184" s="228">
        <v>-3.1</v>
      </c>
      <c r="AL184" s="228">
        <v>-12.2</v>
      </c>
      <c r="AM184" s="228">
        <v>9.1</v>
      </c>
      <c r="AN184" s="229">
        <v>-8.0000000000000004E-4</v>
      </c>
      <c r="AO184" s="231">
        <v>3653.88</v>
      </c>
      <c r="AP184" s="231">
        <v>3646.34</v>
      </c>
      <c r="AQ184" s="228">
        <v>0</v>
      </c>
      <c r="AR184" s="230">
        <v>1860600</v>
      </c>
      <c r="AS184" s="230">
        <v>2862300</v>
      </c>
      <c r="AT184" s="230">
        <v>-1001700</v>
      </c>
      <c r="AU184" s="229">
        <v>-0.35</v>
      </c>
      <c r="AV184" s="230">
        <v>557200</v>
      </c>
      <c r="AW184" s="230">
        <v>1160600</v>
      </c>
      <c r="AX184" s="230">
        <v>-603400</v>
      </c>
      <c r="AY184" s="229">
        <v>-0.51990000000000003</v>
      </c>
      <c r="AZ184" s="230">
        <v>1288700</v>
      </c>
      <c r="BA184" s="230">
        <v>1691550</v>
      </c>
      <c r="BB184" s="230">
        <v>-402850</v>
      </c>
      <c r="BC184" s="229">
        <v>-0.2382</v>
      </c>
      <c r="BD184" s="230">
        <v>14700</v>
      </c>
      <c r="BE184" s="230">
        <v>10150</v>
      </c>
      <c r="BF184" s="230">
        <v>4550</v>
      </c>
      <c r="BG184" s="229">
        <v>0.44829999999999998</v>
      </c>
      <c r="BH184" s="230">
        <v>5094775</v>
      </c>
      <c r="BI184" s="230">
        <v>5933025</v>
      </c>
      <c r="BJ184" s="230">
        <v>-838250</v>
      </c>
      <c r="BK184" s="229">
        <v>-0.14130000000000001</v>
      </c>
      <c r="BL184" s="230">
        <v>3272150</v>
      </c>
      <c r="BM184" s="230">
        <v>6626375</v>
      </c>
      <c r="BN184" s="230">
        <v>-3354225</v>
      </c>
      <c r="BO184" s="229">
        <v>-0.50619999999999998</v>
      </c>
      <c r="BP184" s="230">
        <v>10227525</v>
      </c>
      <c r="BQ184" s="230">
        <v>15421700</v>
      </c>
      <c r="BR184" s="230">
        <v>-5194175</v>
      </c>
      <c r="BS184" s="229">
        <v>-0.33679999999999999</v>
      </c>
      <c r="BT184" s="230">
        <v>768312</v>
      </c>
      <c r="BU184" s="230">
        <v>526697</v>
      </c>
      <c r="BV184" s="230">
        <v>241615</v>
      </c>
      <c r="BW184" s="229">
        <v>0.4587</v>
      </c>
      <c r="BX184" s="230">
        <v>2977275</v>
      </c>
      <c r="BY184" s="230">
        <v>3148250</v>
      </c>
      <c r="BZ184" s="230">
        <v>-170975</v>
      </c>
      <c r="CA184" s="229">
        <v>-5.4300000000000001E-2</v>
      </c>
      <c r="CB184" s="230">
        <v>296450</v>
      </c>
      <c r="CC184" s="230">
        <v>453425</v>
      </c>
      <c r="CD184" s="230">
        <v>-156975</v>
      </c>
      <c r="CE184" s="229">
        <v>-0.34620000000000001</v>
      </c>
      <c r="CF184" s="230">
        <v>2959775</v>
      </c>
      <c r="CG184" s="230">
        <v>2682050</v>
      </c>
      <c r="CH184" s="230">
        <v>277725</v>
      </c>
      <c r="CI184" s="229">
        <v>0.10349999999999999</v>
      </c>
      <c r="CJ184" s="230">
        <v>17500</v>
      </c>
      <c r="CK184" s="230">
        <v>12775</v>
      </c>
      <c r="CL184" s="230">
        <v>4725</v>
      </c>
      <c r="CM184" s="229">
        <v>0.36990000000000001</v>
      </c>
      <c r="CN184" s="230">
        <v>1004850</v>
      </c>
      <c r="CO184" s="230">
        <v>1454775</v>
      </c>
      <c r="CP184" s="230">
        <v>-449925</v>
      </c>
      <c r="CQ184" s="229">
        <v>-0.30930000000000002</v>
      </c>
      <c r="CR184" s="230">
        <v>879200</v>
      </c>
      <c r="CS184" s="230">
        <v>1068550</v>
      </c>
      <c r="CT184" s="230">
        <v>-189350</v>
      </c>
      <c r="CU184" s="229">
        <v>-0.1772</v>
      </c>
      <c r="CV184" s="230">
        <v>4861325</v>
      </c>
      <c r="CW184" s="230">
        <v>5671575</v>
      </c>
      <c r="CX184" s="230">
        <v>-810250</v>
      </c>
      <c r="CY184" s="229">
        <v>-0.1429</v>
      </c>
      <c r="CZ184" s="228">
        <v>41.19</v>
      </c>
      <c r="DA184" s="228">
        <v>40.67</v>
      </c>
      <c r="DB184" s="228">
        <v>0.52</v>
      </c>
      <c r="DC184" s="228">
        <v>0.52</v>
      </c>
      <c r="DD184" s="228">
        <v>41.74</v>
      </c>
      <c r="DE184" s="228">
        <v>41.83</v>
      </c>
      <c r="DF184" s="228">
        <v>-0.55000000000000004</v>
      </c>
      <c r="DG184" s="228">
        <v>-0.09</v>
      </c>
      <c r="DH184" s="228">
        <v>40.89</v>
      </c>
      <c r="DI184" s="228">
        <v>40.56</v>
      </c>
      <c r="DJ184" s="228">
        <v>0.33</v>
      </c>
      <c r="DK184" s="228">
        <v>0.33</v>
      </c>
      <c r="DL184" s="228">
        <v>41.67</v>
      </c>
      <c r="DM184" s="228">
        <v>40.83</v>
      </c>
      <c r="DN184" s="228">
        <v>0.84</v>
      </c>
      <c r="DO184" s="228">
        <v>0.84</v>
      </c>
      <c r="DP184" s="228">
        <v>0.87</v>
      </c>
      <c r="DQ184" s="228">
        <v>0.73</v>
      </c>
      <c r="DR184" s="228">
        <v>0.14000000000000001</v>
      </c>
      <c r="DS184" s="229">
        <v>0.1918</v>
      </c>
      <c r="DT184" s="231">
        <v>4000</v>
      </c>
      <c r="DU184" s="231">
        <v>3600</v>
      </c>
      <c r="DV184" s="228">
        <v>0.64</v>
      </c>
      <c r="DW184" s="228">
        <v>1.1200000000000001</v>
      </c>
      <c r="DX184" s="228">
        <v>-0.48</v>
      </c>
      <c r="DY184" s="229">
        <v>-0.42859999999999998</v>
      </c>
      <c r="DZ184" s="229">
        <v>0.90939999999999999</v>
      </c>
      <c r="EA184" s="230">
        <v>2694825</v>
      </c>
      <c r="EB184" s="229">
        <v>-1.2999999999999999E-3</v>
      </c>
      <c r="EC184" s="229">
        <v>0.90939999999999999</v>
      </c>
      <c r="ED184" s="228">
        <v>-7.54</v>
      </c>
      <c r="EE184" s="229">
        <v>-2.0999999999999999E-3</v>
      </c>
      <c r="EF184" s="230">
        <v>189903</v>
      </c>
      <c r="EG184" s="230">
        <v>157777</v>
      </c>
      <c r="EH184" s="229">
        <v>0.2036</v>
      </c>
      <c r="EI184" s="229">
        <v>0.2472</v>
      </c>
      <c r="EJ184" s="231">
        <v>198948.47</v>
      </c>
      <c r="EK184" s="231">
        <v>116902.61</v>
      </c>
      <c r="EL184" s="231">
        <v>67885.78</v>
      </c>
      <c r="EM184" s="231">
        <v>10714</v>
      </c>
      <c r="EN184" s="231">
        <v>383736.86</v>
      </c>
      <c r="EO184" s="231">
        <v>583626.62</v>
      </c>
      <c r="EP184" s="231">
        <v>-199889.76</v>
      </c>
      <c r="EQ184" s="229">
        <v>-0.34250000000000003</v>
      </c>
      <c r="ER184" s="231">
        <v>39369</v>
      </c>
      <c r="ES184" s="231">
        <v>30603</v>
      </c>
      <c r="ET184" s="231">
        <v>109586</v>
      </c>
      <c r="EU184" s="231">
        <v>10374894</v>
      </c>
      <c r="EV184" s="231">
        <v>179559</v>
      </c>
      <c r="EW184" s="231">
        <v>209659</v>
      </c>
      <c r="EX184" s="231">
        <v>-30100</v>
      </c>
      <c r="EY184" s="229">
        <v>-0.14360000000000001</v>
      </c>
      <c r="EZ184" s="229">
        <v>0.46860000000000002</v>
      </c>
      <c r="FA184" s="227" t="s">
        <v>691</v>
      </c>
      <c r="FB184" s="161">
        <f t="shared" si="4"/>
        <v>0</v>
      </c>
    </row>
    <row r="185" spans="1:158" ht="17.25" thickBot="1" x14ac:dyDescent="0.3">
      <c r="A185" s="226">
        <v>46168</v>
      </c>
      <c r="B185" s="227" t="s">
        <v>498</v>
      </c>
      <c r="C185" s="227" t="s">
        <v>645</v>
      </c>
      <c r="D185" s="228">
        <v>50</v>
      </c>
      <c r="E185" s="231">
        <v>18632</v>
      </c>
      <c r="F185" s="231">
        <v>18507</v>
      </c>
      <c r="G185" s="228">
        <v>125</v>
      </c>
      <c r="H185" s="229">
        <v>6.7999999999999996E-3</v>
      </c>
      <c r="I185" s="231">
        <v>18479</v>
      </c>
      <c r="J185" s="231">
        <v>18377</v>
      </c>
      <c r="K185" s="228">
        <v>102</v>
      </c>
      <c r="L185" s="229">
        <v>5.5999999999999999E-3</v>
      </c>
      <c r="M185" s="231">
        <v>18469</v>
      </c>
      <c r="N185" s="231">
        <v>18387</v>
      </c>
      <c r="O185" s="228">
        <v>82</v>
      </c>
      <c r="P185" s="229">
        <v>4.4999999999999997E-3</v>
      </c>
      <c r="Q185" s="231">
        <v>18632</v>
      </c>
      <c r="R185" s="231">
        <v>18507</v>
      </c>
      <c r="S185" s="228">
        <v>125</v>
      </c>
      <c r="T185" s="229">
        <v>6.7999999999999996E-3</v>
      </c>
      <c r="U185" s="231">
        <v>18724</v>
      </c>
      <c r="V185" s="231">
        <v>18590</v>
      </c>
      <c r="W185" s="228">
        <v>134</v>
      </c>
      <c r="X185" s="229">
        <v>7.1999999999999998E-3</v>
      </c>
      <c r="Y185" s="228">
        <v>153</v>
      </c>
      <c r="Z185" s="228">
        <v>10</v>
      </c>
      <c r="AA185" s="228">
        <v>143</v>
      </c>
      <c r="AB185" s="229">
        <v>8.3000000000000001E-3</v>
      </c>
      <c r="AC185" s="228">
        <v>-10</v>
      </c>
      <c r="AD185" s="228">
        <v>10</v>
      </c>
      <c r="AE185" s="228">
        <v>-20</v>
      </c>
      <c r="AF185" s="229">
        <v>-5.0000000000000001E-4</v>
      </c>
      <c r="AG185" s="228">
        <v>153</v>
      </c>
      <c r="AH185" s="228">
        <v>130</v>
      </c>
      <c r="AI185" s="228">
        <v>23</v>
      </c>
      <c r="AJ185" s="229">
        <v>8.3000000000000001E-3</v>
      </c>
      <c r="AK185" s="228">
        <v>245</v>
      </c>
      <c r="AL185" s="228">
        <v>213</v>
      </c>
      <c r="AM185" s="228">
        <v>32</v>
      </c>
      <c r="AN185" s="229">
        <v>1.3299999999999999E-2</v>
      </c>
      <c r="AO185" s="231">
        <v>18413.84</v>
      </c>
      <c r="AP185" s="231">
        <v>18560.189999999999</v>
      </c>
      <c r="AQ185" s="228">
        <v>0</v>
      </c>
      <c r="AR185" s="230">
        <v>330000</v>
      </c>
      <c r="AS185" s="230">
        <v>574000</v>
      </c>
      <c r="AT185" s="230">
        <v>-244000</v>
      </c>
      <c r="AU185" s="229">
        <v>-0.42509999999999998</v>
      </c>
      <c r="AV185" s="230">
        <v>126750</v>
      </c>
      <c r="AW185" s="230">
        <v>271250</v>
      </c>
      <c r="AX185" s="230">
        <v>-144500</v>
      </c>
      <c r="AY185" s="229">
        <v>-0.53269999999999995</v>
      </c>
      <c r="AZ185" s="230">
        <v>199200</v>
      </c>
      <c r="BA185" s="230">
        <v>295000</v>
      </c>
      <c r="BB185" s="230">
        <v>-95800</v>
      </c>
      <c r="BC185" s="229">
        <v>-0.32469999999999999</v>
      </c>
      <c r="BD185" s="230">
        <v>4050</v>
      </c>
      <c r="BE185" s="230">
        <v>7750</v>
      </c>
      <c r="BF185" s="230">
        <v>-3700</v>
      </c>
      <c r="BG185" s="229">
        <v>-0.47739999999999999</v>
      </c>
      <c r="BH185" s="230">
        <v>556300</v>
      </c>
      <c r="BI185" s="230">
        <v>1193150</v>
      </c>
      <c r="BJ185" s="230">
        <v>-636850</v>
      </c>
      <c r="BK185" s="229">
        <v>-0.53380000000000005</v>
      </c>
      <c r="BL185" s="230">
        <v>362450</v>
      </c>
      <c r="BM185" s="230">
        <v>837350</v>
      </c>
      <c r="BN185" s="230">
        <v>-474900</v>
      </c>
      <c r="BO185" s="229">
        <v>-0.56710000000000005</v>
      </c>
      <c r="BP185" s="230">
        <v>1248750</v>
      </c>
      <c r="BQ185" s="230">
        <v>2604500</v>
      </c>
      <c r="BR185" s="230">
        <v>-1355750</v>
      </c>
      <c r="BS185" s="229">
        <v>-0.52049999999999996</v>
      </c>
      <c r="BT185" s="230">
        <v>124995</v>
      </c>
      <c r="BU185" s="230">
        <v>110617</v>
      </c>
      <c r="BV185" s="230">
        <v>14378</v>
      </c>
      <c r="BW185" s="229">
        <v>0.13</v>
      </c>
      <c r="BX185" s="230">
        <v>767050</v>
      </c>
      <c r="BY185" s="230">
        <v>823550</v>
      </c>
      <c r="BZ185" s="230">
        <v>-56500</v>
      </c>
      <c r="CA185" s="229">
        <v>-6.8599999999999994E-2</v>
      </c>
      <c r="CB185" s="230">
        <v>28550</v>
      </c>
      <c r="CC185" s="230">
        <v>112650</v>
      </c>
      <c r="CD185" s="230">
        <v>-84100</v>
      </c>
      <c r="CE185" s="229">
        <v>-0.74660000000000004</v>
      </c>
      <c r="CF185" s="230">
        <v>748250</v>
      </c>
      <c r="CG185" s="230">
        <v>694000</v>
      </c>
      <c r="CH185" s="230">
        <v>54250</v>
      </c>
      <c r="CI185" s="229">
        <v>7.8200000000000006E-2</v>
      </c>
      <c r="CJ185" s="230">
        <v>18800</v>
      </c>
      <c r="CK185" s="230">
        <v>16900</v>
      </c>
      <c r="CL185" s="230">
        <v>1900</v>
      </c>
      <c r="CM185" s="229">
        <v>0.1124</v>
      </c>
      <c r="CN185" s="230">
        <v>140450</v>
      </c>
      <c r="CO185" s="230">
        <v>364600</v>
      </c>
      <c r="CP185" s="230">
        <v>-224150</v>
      </c>
      <c r="CQ185" s="229">
        <v>-0.61480000000000001</v>
      </c>
      <c r="CR185" s="230">
        <v>86750</v>
      </c>
      <c r="CS185" s="230">
        <v>323550</v>
      </c>
      <c r="CT185" s="230">
        <v>-236800</v>
      </c>
      <c r="CU185" s="229">
        <v>-0.7319</v>
      </c>
      <c r="CV185" s="230">
        <v>994250</v>
      </c>
      <c r="CW185" s="230">
        <v>1511700</v>
      </c>
      <c r="CX185" s="230">
        <v>-517450</v>
      </c>
      <c r="CY185" s="229">
        <v>-0.34229999999999999</v>
      </c>
      <c r="CZ185" s="228">
        <v>33.81</v>
      </c>
      <c r="DA185" s="228">
        <v>35.229999999999997</v>
      </c>
      <c r="DB185" s="228">
        <v>-1.42</v>
      </c>
      <c r="DC185" s="228">
        <v>-1.42</v>
      </c>
      <c r="DD185" s="228">
        <v>41.64</v>
      </c>
      <c r="DE185" s="228">
        <v>41.73</v>
      </c>
      <c r="DF185" s="228">
        <v>-7.83</v>
      </c>
      <c r="DG185" s="228">
        <v>-0.09</v>
      </c>
      <c r="DH185" s="228">
        <v>33.119999999999997</v>
      </c>
      <c r="DI185" s="228">
        <v>34.86</v>
      </c>
      <c r="DJ185" s="228">
        <v>-1.74</v>
      </c>
      <c r="DK185" s="228">
        <v>-1.74</v>
      </c>
      <c r="DL185" s="228">
        <v>35</v>
      </c>
      <c r="DM185" s="228">
        <v>35.94</v>
      </c>
      <c r="DN185" s="228">
        <v>-0.94</v>
      </c>
      <c r="DO185" s="228">
        <v>-0.94</v>
      </c>
      <c r="DP185" s="228">
        <v>0.62</v>
      </c>
      <c r="DQ185" s="228">
        <v>0.89</v>
      </c>
      <c r="DR185" s="228">
        <v>-0.27</v>
      </c>
      <c r="DS185" s="229">
        <v>-0.3034</v>
      </c>
      <c r="DT185" s="231">
        <v>17000</v>
      </c>
      <c r="DU185" s="231">
        <v>16000</v>
      </c>
      <c r="DV185" s="228">
        <v>0.65</v>
      </c>
      <c r="DW185" s="228">
        <v>0.7</v>
      </c>
      <c r="DX185" s="228">
        <v>-0.05</v>
      </c>
      <c r="DY185" s="229">
        <v>-7.1400000000000005E-2</v>
      </c>
      <c r="DZ185" s="229">
        <v>0.96409999999999996</v>
      </c>
      <c r="EA185" s="230">
        <v>710900</v>
      </c>
      <c r="EB185" s="229">
        <v>8.8000000000000005E-3</v>
      </c>
      <c r="EC185" s="229">
        <v>0.96409999999999996</v>
      </c>
      <c r="ED185" s="228">
        <v>146.35</v>
      </c>
      <c r="EE185" s="229">
        <v>7.9000000000000008E-3</v>
      </c>
      <c r="EF185" s="230">
        <v>52864</v>
      </c>
      <c r="EG185" s="230">
        <v>34765</v>
      </c>
      <c r="EH185" s="229">
        <v>0.52059999999999995</v>
      </c>
      <c r="EI185" s="229">
        <v>0.4229</v>
      </c>
      <c r="EJ185" s="231">
        <v>106211.09</v>
      </c>
      <c r="EK185" s="231">
        <v>62358.28</v>
      </c>
      <c r="EL185" s="231">
        <v>61066.52</v>
      </c>
      <c r="EM185" s="231">
        <v>8440</v>
      </c>
      <c r="EN185" s="231">
        <v>229635.89</v>
      </c>
      <c r="EO185" s="231">
        <v>478170.54</v>
      </c>
      <c r="EP185" s="231">
        <v>-248534.65</v>
      </c>
      <c r="EQ185" s="229">
        <v>-0.51980000000000004</v>
      </c>
      <c r="ER185" s="231">
        <v>25957</v>
      </c>
      <c r="ES185" s="231">
        <v>14831</v>
      </c>
      <c r="ET185" s="231">
        <v>142934</v>
      </c>
      <c r="EU185" s="231">
        <v>3644817</v>
      </c>
      <c r="EV185" s="231">
        <v>183722</v>
      </c>
      <c r="EW185" s="231">
        <v>272269</v>
      </c>
      <c r="EX185" s="231">
        <v>-88547</v>
      </c>
      <c r="EY185" s="229">
        <v>-0.32519999999999999</v>
      </c>
      <c r="EZ185" s="229">
        <v>0.27279999999999999</v>
      </c>
      <c r="FA185" s="227" t="s">
        <v>691</v>
      </c>
      <c r="FB185" s="161">
        <f t="shared" si="4"/>
        <v>0</v>
      </c>
    </row>
    <row r="186" spans="1:158" ht="17.25" thickBot="1" x14ac:dyDescent="0.3">
      <c r="A186" s="226">
        <v>46168</v>
      </c>
      <c r="B186" s="227" t="s">
        <v>162</v>
      </c>
      <c r="C186" s="227" t="s">
        <v>613</v>
      </c>
      <c r="D186" s="228">
        <v>1225</v>
      </c>
      <c r="E186" s="228">
        <v>609.25</v>
      </c>
      <c r="F186" s="228">
        <v>597.29999999999995</v>
      </c>
      <c r="G186" s="228">
        <v>11.95</v>
      </c>
      <c r="H186" s="229">
        <v>0.02</v>
      </c>
      <c r="I186" s="228">
        <v>608</v>
      </c>
      <c r="J186" s="228">
        <v>594.65</v>
      </c>
      <c r="K186" s="228">
        <v>13.35</v>
      </c>
      <c r="L186" s="229">
        <v>2.2499999999999999E-2</v>
      </c>
      <c r="M186" s="228">
        <v>606.70000000000005</v>
      </c>
      <c r="N186" s="228">
        <v>596.1</v>
      </c>
      <c r="O186" s="228">
        <v>10.6</v>
      </c>
      <c r="P186" s="229">
        <v>1.78E-2</v>
      </c>
      <c r="Q186" s="228">
        <v>609.25</v>
      </c>
      <c r="R186" s="228">
        <v>597.29999999999995</v>
      </c>
      <c r="S186" s="228">
        <v>11.95</v>
      </c>
      <c r="T186" s="229">
        <v>0.02</v>
      </c>
      <c r="U186" s="228">
        <v>611.70000000000005</v>
      </c>
      <c r="V186" s="228">
        <v>601.29999999999995</v>
      </c>
      <c r="W186" s="228">
        <v>10.4</v>
      </c>
      <c r="X186" s="229">
        <v>1.7299999999999999E-2</v>
      </c>
      <c r="Y186" s="228">
        <v>1.25</v>
      </c>
      <c r="Z186" s="228">
        <v>1.45</v>
      </c>
      <c r="AA186" s="228">
        <v>-0.2</v>
      </c>
      <c r="AB186" s="229">
        <v>2.0999999999999999E-3</v>
      </c>
      <c r="AC186" s="228">
        <v>-1.3</v>
      </c>
      <c r="AD186" s="228">
        <v>1.45</v>
      </c>
      <c r="AE186" s="228">
        <v>-2.75</v>
      </c>
      <c r="AF186" s="229">
        <v>-2.0999999999999999E-3</v>
      </c>
      <c r="AG186" s="228">
        <v>1.25</v>
      </c>
      <c r="AH186" s="228">
        <v>2.65</v>
      </c>
      <c r="AI186" s="228">
        <v>-1.4</v>
      </c>
      <c r="AJ186" s="229">
        <v>2.0999999999999999E-3</v>
      </c>
      <c r="AK186" s="228">
        <v>3.7</v>
      </c>
      <c r="AL186" s="228">
        <v>6.65</v>
      </c>
      <c r="AM186" s="228">
        <v>-2.95</v>
      </c>
      <c r="AN186" s="229">
        <v>6.1000000000000004E-3</v>
      </c>
      <c r="AO186" s="228">
        <v>602.16</v>
      </c>
      <c r="AP186" s="228">
        <v>604.37</v>
      </c>
      <c r="AQ186" s="228">
        <v>0</v>
      </c>
      <c r="AR186" s="230">
        <v>8978025</v>
      </c>
      <c r="AS186" s="230">
        <v>13084225</v>
      </c>
      <c r="AT186" s="230">
        <v>-4106200</v>
      </c>
      <c r="AU186" s="229">
        <v>-0.31380000000000002</v>
      </c>
      <c r="AV186" s="230">
        <v>3798725</v>
      </c>
      <c r="AW186" s="230">
        <v>6404300</v>
      </c>
      <c r="AX186" s="230">
        <v>-2605575</v>
      </c>
      <c r="AY186" s="229">
        <v>-0.40679999999999999</v>
      </c>
      <c r="AZ186" s="230">
        <v>5154800</v>
      </c>
      <c r="BA186" s="230">
        <v>6651750</v>
      </c>
      <c r="BB186" s="230">
        <v>-1496950</v>
      </c>
      <c r="BC186" s="229">
        <v>-0.22500000000000001</v>
      </c>
      <c r="BD186" s="230">
        <v>24500</v>
      </c>
      <c r="BE186" s="230">
        <v>28175</v>
      </c>
      <c r="BF186" s="230">
        <v>-3675</v>
      </c>
      <c r="BG186" s="229">
        <v>-0.13039999999999999</v>
      </c>
      <c r="BH186" s="230">
        <v>5948600</v>
      </c>
      <c r="BI186" s="230">
        <v>4325475</v>
      </c>
      <c r="BJ186" s="230">
        <v>1623125</v>
      </c>
      <c r="BK186" s="229">
        <v>0.37519999999999998</v>
      </c>
      <c r="BL186" s="230">
        <v>2948575</v>
      </c>
      <c r="BM186" s="230">
        <v>2695000</v>
      </c>
      <c r="BN186" s="230">
        <v>253575</v>
      </c>
      <c r="BO186" s="229">
        <v>9.4100000000000003E-2</v>
      </c>
      <c r="BP186" s="230">
        <v>17875200</v>
      </c>
      <c r="BQ186" s="230">
        <v>20104700</v>
      </c>
      <c r="BR186" s="230">
        <v>-2229500</v>
      </c>
      <c r="BS186" s="229">
        <v>-0.1109</v>
      </c>
      <c r="BT186" s="230">
        <v>2567668</v>
      </c>
      <c r="BU186" s="230">
        <v>771538</v>
      </c>
      <c r="BV186" s="230">
        <v>1796130</v>
      </c>
      <c r="BW186" s="229">
        <v>2.3279999999999998</v>
      </c>
      <c r="BX186" s="230">
        <v>14967050</v>
      </c>
      <c r="BY186" s="230">
        <v>15223075</v>
      </c>
      <c r="BZ186" s="230">
        <v>-256025</v>
      </c>
      <c r="CA186" s="229">
        <v>-1.6799999999999999E-2</v>
      </c>
      <c r="CB186" s="230">
        <v>863625</v>
      </c>
      <c r="CC186" s="230">
        <v>2567600</v>
      </c>
      <c r="CD186" s="230">
        <v>-1703975</v>
      </c>
      <c r="CE186" s="229">
        <v>-0.66359999999999997</v>
      </c>
      <c r="CF186" s="230">
        <v>14880075</v>
      </c>
      <c r="CG186" s="230">
        <v>12572175</v>
      </c>
      <c r="CH186" s="230">
        <v>2307900</v>
      </c>
      <c r="CI186" s="229">
        <v>0.18360000000000001</v>
      </c>
      <c r="CJ186" s="230">
        <v>86975</v>
      </c>
      <c r="CK186" s="230">
        <v>83300</v>
      </c>
      <c r="CL186" s="230">
        <v>3675</v>
      </c>
      <c r="CM186" s="229">
        <v>4.41E-2</v>
      </c>
      <c r="CN186" s="230">
        <v>1825250</v>
      </c>
      <c r="CO186" s="230">
        <v>5038425</v>
      </c>
      <c r="CP186" s="230">
        <v>-3213175</v>
      </c>
      <c r="CQ186" s="229">
        <v>-0.63770000000000004</v>
      </c>
      <c r="CR186" s="230">
        <v>1407525</v>
      </c>
      <c r="CS186" s="230">
        <v>3045350</v>
      </c>
      <c r="CT186" s="230">
        <v>-1637825</v>
      </c>
      <c r="CU186" s="229">
        <v>-0.53779999999999994</v>
      </c>
      <c r="CV186" s="230">
        <v>18199825</v>
      </c>
      <c r="CW186" s="230">
        <v>23306850</v>
      </c>
      <c r="CX186" s="230">
        <v>-5107025</v>
      </c>
      <c r="CY186" s="229">
        <v>-0.21909999999999999</v>
      </c>
      <c r="CZ186" s="228">
        <v>31.67</v>
      </c>
      <c r="DA186" s="228">
        <v>32.61</v>
      </c>
      <c r="DB186" s="228">
        <v>-0.94</v>
      </c>
      <c r="DC186" s="228">
        <v>-0.94</v>
      </c>
      <c r="DD186" s="228">
        <v>41.08</v>
      </c>
      <c r="DE186" s="228">
        <v>41.1</v>
      </c>
      <c r="DF186" s="228">
        <v>-9.41</v>
      </c>
      <c r="DG186" s="228">
        <v>-0.02</v>
      </c>
      <c r="DH186" s="228">
        <v>31.1</v>
      </c>
      <c r="DI186" s="228">
        <v>32.25</v>
      </c>
      <c r="DJ186" s="228">
        <v>-1.1499999999999999</v>
      </c>
      <c r="DK186" s="228">
        <v>-1.1499999999999999</v>
      </c>
      <c r="DL186" s="228">
        <v>32.909999999999997</v>
      </c>
      <c r="DM186" s="228">
        <v>33.39</v>
      </c>
      <c r="DN186" s="228">
        <v>-0.48</v>
      </c>
      <c r="DO186" s="228">
        <v>-0.48</v>
      </c>
      <c r="DP186" s="228">
        <v>0.77</v>
      </c>
      <c r="DQ186" s="228">
        <v>0.6</v>
      </c>
      <c r="DR186" s="228">
        <v>0.17</v>
      </c>
      <c r="DS186" s="229">
        <v>0.2833</v>
      </c>
      <c r="DT186" s="228">
        <v>600</v>
      </c>
      <c r="DU186" s="228">
        <v>600</v>
      </c>
      <c r="DV186" s="228">
        <v>0.5</v>
      </c>
      <c r="DW186" s="228">
        <v>0.62</v>
      </c>
      <c r="DX186" s="228">
        <v>-0.12</v>
      </c>
      <c r="DY186" s="229">
        <v>-0.19350000000000001</v>
      </c>
      <c r="DZ186" s="229">
        <v>0.94540000000000002</v>
      </c>
      <c r="EA186" s="230">
        <v>12655475</v>
      </c>
      <c r="EB186" s="229">
        <v>4.1999999999999997E-3</v>
      </c>
      <c r="EC186" s="229">
        <v>0.94540000000000002</v>
      </c>
      <c r="ED186" s="228">
        <v>2.21</v>
      </c>
      <c r="EE186" s="229">
        <v>3.7000000000000002E-3</v>
      </c>
      <c r="EF186" s="230">
        <v>1511919</v>
      </c>
      <c r="EG186" s="230">
        <v>315141</v>
      </c>
      <c r="EH186" s="229">
        <v>3.7976000000000001</v>
      </c>
      <c r="EI186" s="229">
        <v>0.58879999999999999</v>
      </c>
      <c r="EJ186" s="231">
        <v>36826.51</v>
      </c>
      <c r="EK186" s="231">
        <v>17500.78</v>
      </c>
      <c r="EL186" s="231">
        <v>54178.16</v>
      </c>
      <c r="EM186" s="231">
        <v>6987</v>
      </c>
      <c r="EN186" s="231">
        <v>108505.45</v>
      </c>
      <c r="EO186" s="231">
        <v>120547.62</v>
      </c>
      <c r="EP186" s="231">
        <v>-12042.17</v>
      </c>
      <c r="EQ186" s="229">
        <v>-9.9900000000000003E-2</v>
      </c>
      <c r="ER186" s="231">
        <v>11100</v>
      </c>
      <c r="ES186" s="231">
        <v>8223</v>
      </c>
      <c r="ET186" s="231">
        <v>91189</v>
      </c>
      <c r="EU186" s="231">
        <v>61283708</v>
      </c>
      <c r="EV186" s="231">
        <v>110512</v>
      </c>
      <c r="EW186" s="231">
        <v>139051</v>
      </c>
      <c r="EX186" s="231">
        <v>-28539</v>
      </c>
      <c r="EY186" s="229">
        <v>-0.20519999999999999</v>
      </c>
      <c r="EZ186" s="229">
        <v>0.29699999999999999</v>
      </c>
      <c r="FA186" s="227" t="s">
        <v>691</v>
      </c>
      <c r="FB186" s="161">
        <f t="shared" si="4"/>
        <v>0</v>
      </c>
    </row>
    <row r="187" spans="1:158" ht="17.25" thickBot="1" x14ac:dyDescent="0.3">
      <c r="A187" s="226">
        <v>46168</v>
      </c>
      <c r="B187" s="227" t="s">
        <v>197</v>
      </c>
      <c r="C187" s="227" t="s">
        <v>286</v>
      </c>
      <c r="D187" s="228">
        <v>200</v>
      </c>
      <c r="E187" s="231">
        <v>2762.1</v>
      </c>
      <c r="F187" s="231">
        <v>2731.3</v>
      </c>
      <c r="G187" s="228">
        <v>30.8</v>
      </c>
      <c r="H187" s="229">
        <v>1.1299999999999999E-2</v>
      </c>
      <c r="I187" s="231">
        <v>2749.7</v>
      </c>
      <c r="J187" s="231">
        <v>2711</v>
      </c>
      <c r="K187" s="228">
        <v>38.700000000000003</v>
      </c>
      <c r="L187" s="229">
        <v>1.43E-2</v>
      </c>
      <c r="M187" s="231">
        <v>2749.7</v>
      </c>
      <c r="N187" s="231">
        <v>2713.9</v>
      </c>
      <c r="O187" s="228">
        <v>35.799999999999997</v>
      </c>
      <c r="P187" s="229">
        <v>1.32E-2</v>
      </c>
      <c r="Q187" s="231">
        <v>2762.1</v>
      </c>
      <c r="R187" s="231">
        <v>2731.3</v>
      </c>
      <c r="S187" s="228">
        <v>30.8</v>
      </c>
      <c r="T187" s="229">
        <v>1.1299999999999999E-2</v>
      </c>
      <c r="U187" s="231">
        <v>2774.5</v>
      </c>
      <c r="V187" s="231">
        <v>2740.4</v>
      </c>
      <c r="W187" s="228">
        <v>34.1</v>
      </c>
      <c r="X187" s="229">
        <v>1.24E-2</v>
      </c>
      <c r="Y187" s="228">
        <v>12.4</v>
      </c>
      <c r="Z187" s="228">
        <v>2.9</v>
      </c>
      <c r="AA187" s="228">
        <v>9.5</v>
      </c>
      <c r="AB187" s="229">
        <v>4.4999999999999997E-3</v>
      </c>
      <c r="AC187" s="228">
        <v>0</v>
      </c>
      <c r="AD187" s="228">
        <v>2.9</v>
      </c>
      <c r="AE187" s="228">
        <v>-2.9</v>
      </c>
      <c r="AF187" s="229">
        <v>0</v>
      </c>
      <c r="AG187" s="228">
        <v>12.4</v>
      </c>
      <c r="AH187" s="228">
        <v>20.3</v>
      </c>
      <c r="AI187" s="228">
        <v>-7.9</v>
      </c>
      <c r="AJ187" s="229">
        <v>4.4999999999999997E-3</v>
      </c>
      <c r="AK187" s="228">
        <v>24.8</v>
      </c>
      <c r="AL187" s="228">
        <v>29.4</v>
      </c>
      <c r="AM187" s="228">
        <v>-4.5999999999999996</v>
      </c>
      <c r="AN187" s="229">
        <v>8.9999999999999993E-3</v>
      </c>
      <c r="AO187" s="231">
        <v>2748.1</v>
      </c>
      <c r="AP187" s="231">
        <v>2762.41</v>
      </c>
      <c r="AQ187" s="228">
        <v>0</v>
      </c>
      <c r="AR187" s="230">
        <v>1637600</v>
      </c>
      <c r="AS187" s="230">
        <v>2159400</v>
      </c>
      <c r="AT187" s="230">
        <v>-521800</v>
      </c>
      <c r="AU187" s="229">
        <v>-0.24160000000000001</v>
      </c>
      <c r="AV187" s="230">
        <v>549600</v>
      </c>
      <c r="AW187" s="230">
        <v>975400</v>
      </c>
      <c r="AX187" s="230">
        <v>-425800</v>
      </c>
      <c r="AY187" s="229">
        <v>-0.4365</v>
      </c>
      <c r="AZ187" s="230">
        <v>1071800</v>
      </c>
      <c r="BA187" s="230">
        <v>1162000</v>
      </c>
      <c r="BB187" s="230">
        <v>-90200</v>
      </c>
      <c r="BC187" s="229">
        <v>-7.7600000000000002E-2</v>
      </c>
      <c r="BD187" s="230">
        <v>16200</v>
      </c>
      <c r="BE187" s="230">
        <v>22000</v>
      </c>
      <c r="BF187" s="230">
        <v>-5800</v>
      </c>
      <c r="BG187" s="229">
        <v>-0.2636</v>
      </c>
      <c r="BH187" s="230">
        <v>3288600</v>
      </c>
      <c r="BI187" s="230">
        <v>2414200</v>
      </c>
      <c r="BJ187" s="230">
        <v>874400</v>
      </c>
      <c r="BK187" s="229">
        <v>0.36220000000000002</v>
      </c>
      <c r="BL187" s="230">
        <v>1256200</v>
      </c>
      <c r="BM187" s="230">
        <v>973400</v>
      </c>
      <c r="BN187" s="230">
        <v>282800</v>
      </c>
      <c r="BO187" s="229">
        <v>0.29049999999999998</v>
      </c>
      <c r="BP187" s="230">
        <v>6182400</v>
      </c>
      <c r="BQ187" s="230">
        <v>5547000</v>
      </c>
      <c r="BR187" s="230">
        <v>635400</v>
      </c>
      <c r="BS187" s="229">
        <v>0.1145</v>
      </c>
      <c r="BT187" s="230">
        <v>729778</v>
      </c>
      <c r="BU187" s="230">
        <v>177535</v>
      </c>
      <c r="BV187" s="230">
        <v>552243</v>
      </c>
      <c r="BW187" s="229">
        <v>3.1105999999999998</v>
      </c>
      <c r="BX187" s="230">
        <v>3419200</v>
      </c>
      <c r="BY187" s="230">
        <v>4191400</v>
      </c>
      <c r="BZ187" s="230">
        <v>-772200</v>
      </c>
      <c r="CA187" s="229">
        <v>-0.1842</v>
      </c>
      <c r="CB187" s="230">
        <v>640200</v>
      </c>
      <c r="CC187" s="230">
        <v>924600</v>
      </c>
      <c r="CD187" s="230">
        <v>-284400</v>
      </c>
      <c r="CE187" s="229">
        <v>-0.30759999999999998</v>
      </c>
      <c r="CF187" s="230">
        <v>3386200</v>
      </c>
      <c r="CG187" s="230">
        <v>3234600</v>
      </c>
      <c r="CH187" s="230">
        <v>151600</v>
      </c>
      <c r="CI187" s="229">
        <v>4.6899999999999997E-2</v>
      </c>
      <c r="CJ187" s="230">
        <v>33000</v>
      </c>
      <c r="CK187" s="230">
        <v>32200</v>
      </c>
      <c r="CL187" s="228">
        <v>800</v>
      </c>
      <c r="CM187" s="229">
        <v>2.4799999999999999E-2</v>
      </c>
      <c r="CN187" s="230">
        <v>564400</v>
      </c>
      <c r="CO187" s="230">
        <v>1567600</v>
      </c>
      <c r="CP187" s="230">
        <v>-1003200</v>
      </c>
      <c r="CQ187" s="229">
        <v>-0.64</v>
      </c>
      <c r="CR187" s="230">
        <v>327800</v>
      </c>
      <c r="CS187" s="230">
        <v>1204600</v>
      </c>
      <c r="CT187" s="230">
        <v>-876800</v>
      </c>
      <c r="CU187" s="229">
        <v>-0.72789999999999999</v>
      </c>
      <c r="CV187" s="230">
        <v>4311400</v>
      </c>
      <c r="CW187" s="230">
        <v>6963600</v>
      </c>
      <c r="CX187" s="230">
        <v>-2652200</v>
      </c>
      <c r="CY187" s="229">
        <v>-0.38090000000000002</v>
      </c>
      <c r="CZ187" s="228">
        <v>25.52</v>
      </c>
      <c r="DA187" s="228">
        <v>25.59</v>
      </c>
      <c r="DB187" s="228">
        <v>-7.0000000000000007E-2</v>
      </c>
      <c r="DC187" s="228">
        <v>-7.0000000000000007E-2</v>
      </c>
      <c r="DD187" s="228">
        <v>36.770000000000003</v>
      </c>
      <c r="DE187" s="228">
        <v>36.81</v>
      </c>
      <c r="DF187" s="228">
        <v>-11.25</v>
      </c>
      <c r="DG187" s="228">
        <v>-0.04</v>
      </c>
      <c r="DH187" s="228">
        <v>25.46</v>
      </c>
      <c r="DI187" s="228">
        <v>25.55</v>
      </c>
      <c r="DJ187" s="228">
        <v>-0.09</v>
      </c>
      <c r="DK187" s="228">
        <v>-0.09</v>
      </c>
      <c r="DL187" s="228">
        <v>25.87</v>
      </c>
      <c r="DM187" s="228">
        <v>25.77</v>
      </c>
      <c r="DN187" s="228">
        <v>0.1</v>
      </c>
      <c r="DO187" s="228">
        <v>0.1</v>
      </c>
      <c r="DP187" s="228">
        <v>0.57999999999999996</v>
      </c>
      <c r="DQ187" s="228">
        <v>0.77</v>
      </c>
      <c r="DR187" s="228">
        <v>-0.19</v>
      </c>
      <c r="DS187" s="229">
        <v>-0.24679999999999999</v>
      </c>
      <c r="DT187" s="231">
        <v>2700</v>
      </c>
      <c r="DU187" s="231">
        <v>2500</v>
      </c>
      <c r="DV187" s="228">
        <v>0.38</v>
      </c>
      <c r="DW187" s="228">
        <v>0.4</v>
      </c>
      <c r="DX187" s="228">
        <v>-0.02</v>
      </c>
      <c r="DY187" s="229">
        <v>-0.05</v>
      </c>
      <c r="DZ187" s="229">
        <v>0.84230000000000005</v>
      </c>
      <c r="EA187" s="230">
        <v>3266800</v>
      </c>
      <c r="EB187" s="229">
        <v>4.4999999999999997E-3</v>
      </c>
      <c r="EC187" s="229">
        <v>0.84230000000000005</v>
      </c>
      <c r="ED187" s="228">
        <v>14.31</v>
      </c>
      <c r="EE187" s="229">
        <v>5.1999999999999998E-3</v>
      </c>
      <c r="EF187" s="230">
        <v>349802</v>
      </c>
      <c r="EG187" s="230">
        <v>69483</v>
      </c>
      <c r="EH187" s="229">
        <v>4.0343999999999998</v>
      </c>
      <c r="EI187" s="229">
        <v>0.4793</v>
      </c>
      <c r="EJ187" s="231">
        <v>92801.12</v>
      </c>
      <c r="EK187" s="231">
        <v>34234.06</v>
      </c>
      <c r="EL187" s="231">
        <v>45160.62</v>
      </c>
      <c r="EM187" s="231">
        <v>9064</v>
      </c>
      <c r="EN187" s="231">
        <v>172195.8</v>
      </c>
      <c r="EO187" s="231">
        <v>151289.4</v>
      </c>
      <c r="EP187" s="231">
        <v>20906.400000000001</v>
      </c>
      <c r="EQ187" s="229">
        <v>0.13819999999999999</v>
      </c>
      <c r="ER187" s="231">
        <v>15671</v>
      </c>
      <c r="ES187" s="231">
        <v>8859</v>
      </c>
      <c r="ET187" s="231">
        <v>94446</v>
      </c>
      <c r="EU187" s="231">
        <v>19721628</v>
      </c>
      <c r="EV187" s="231">
        <v>118976</v>
      </c>
      <c r="EW187" s="231">
        <v>188817</v>
      </c>
      <c r="EX187" s="231">
        <v>-69841</v>
      </c>
      <c r="EY187" s="229">
        <v>-0.36990000000000001</v>
      </c>
      <c r="EZ187" s="229">
        <v>0.21859999999999999</v>
      </c>
      <c r="FA187" s="227" t="s">
        <v>691</v>
      </c>
      <c r="FB187" s="161">
        <f t="shared" si="4"/>
        <v>0</v>
      </c>
    </row>
    <row r="188" spans="1:158" ht="17.25" thickBot="1" x14ac:dyDescent="0.3">
      <c r="A188" s="226">
        <v>46168</v>
      </c>
      <c r="B188" s="227" t="s">
        <v>170</v>
      </c>
      <c r="C188" s="227" t="s">
        <v>288</v>
      </c>
      <c r="D188" s="228">
        <v>350</v>
      </c>
      <c r="E188" s="231">
        <v>1855</v>
      </c>
      <c r="F188" s="231">
        <v>1855.3</v>
      </c>
      <c r="G188" s="228">
        <v>-0.3</v>
      </c>
      <c r="H188" s="229">
        <v>-2.0000000000000001E-4</v>
      </c>
      <c r="I188" s="231">
        <v>1840.8</v>
      </c>
      <c r="J188" s="231">
        <v>1840.6</v>
      </c>
      <c r="K188" s="228">
        <v>0.2</v>
      </c>
      <c r="L188" s="229">
        <v>1E-4</v>
      </c>
      <c r="M188" s="231">
        <v>1846.5</v>
      </c>
      <c r="N188" s="231">
        <v>1843.5</v>
      </c>
      <c r="O188" s="228">
        <v>3</v>
      </c>
      <c r="P188" s="229">
        <v>1.6000000000000001E-3</v>
      </c>
      <c r="Q188" s="231">
        <v>1855</v>
      </c>
      <c r="R188" s="231">
        <v>1855.3</v>
      </c>
      <c r="S188" s="228">
        <v>-0.3</v>
      </c>
      <c r="T188" s="229">
        <v>-2.0000000000000001E-4</v>
      </c>
      <c r="U188" s="231">
        <v>1862.7</v>
      </c>
      <c r="V188" s="231">
        <v>1865.1</v>
      </c>
      <c r="W188" s="228">
        <v>-2.4</v>
      </c>
      <c r="X188" s="229">
        <v>-1.2999999999999999E-3</v>
      </c>
      <c r="Y188" s="228">
        <v>14.2</v>
      </c>
      <c r="Z188" s="228">
        <v>2.9</v>
      </c>
      <c r="AA188" s="228">
        <v>11.3</v>
      </c>
      <c r="AB188" s="229">
        <v>7.7000000000000002E-3</v>
      </c>
      <c r="AC188" s="228">
        <v>5.7</v>
      </c>
      <c r="AD188" s="228">
        <v>2.9</v>
      </c>
      <c r="AE188" s="228">
        <v>2.8</v>
      </c>
      <c r="AF188" s="229">
        <v>3.0999999999999999E-3</v>
      </c>
      <c r="AG188" s="228">
        <v>14.2</v>
      </c>
      <c r="AH188" s="228">
        <v>14.7</v>
      </c>
      <c r="AI188" s="228">
        <v>-0.5</v>
      </c>
      <c r="AJ188" s="229">
        <v>7.7000000000000002E-3</v>
      </c>
      <c r="AK188" s="228">
        <v>21.9</v>
      </c>
      <c r="AL188" s="228">
        <v>24.5</v>
      </c>
      <c r="AM188" s="228">
        <v>-2.6</v>
      </c>
      <c r="AN188" s="229">
        <v>1.1900000000000001E-2</v>
      </c>
      <c r="AO188" s="231">
        <v>1833.53</v>
      </c>
      <c r="AP188" s="231">
        <v>1845.62</v>
      </c>
      <c r="AQ188" s="228">
        <v>0</v>
      </c>
      <c r="AR188" s="230">
        <v>6344100</v>
      </c>
      <c r="AS188" s="230">
        <v>17892700</v>
      </c>
      <c r="AT188" s="230">
        <v>-11548600</v>
      </c>
      <c r="AU188" s="229">
        <v>-0.64539999999999997</v>
      </c>
      <c r="AV188" s="230">
        <v>2604350</v>
      </c>
      <c r="AW188" s="230">
        <v>8782550</v>
      </c>
      <c r="AX188" s="230">
        <v>-6178200</v>
      </c>
      <c r="AY188" s="229">
        <v>-0.70350000000000001</v>
      </c>
      <c r="AZ188" s="230">
        <v>3705100</v>
      </c>
      <c r="BA188" s="230">
        <v>8852900</v>
      </c>
      <c r="BB188" s="230">
        <v>-5147800</v>
      </c>
      <c r="BC188" s="229">
        <v>-0.58150000000000002</v>
      </c>
      <c r="BD188" s="230">
        <v>34650</v>
      </c>
      <c r="BE188" s="230">
        <v>257250</v>
      </c>
      <c r="BF188" s="230">
        <v>-222600</v>
      </c>
      <c r="BG188" s="229">
        <v>-0.86529999999999996</v>
      </c>
      <c r="BH188" s="230">
        <v>12798100</v>
      </c>
      <c r="BI188" s="230">
        <v>42303450</v>
      </c>
      <c r="BJ188" s="230">
        <v>-29505350</v>
      </c>
      <c r="BK188" s="229">
        <v>-0.69750000000000001</v>
      </c>
      <c r="BL188" s="230">
        <v>12007800</v>
      </c>
      <c r="BM188" s="230">
        <v>29667400</v>
      </c>
      <c r="BN188" s="230">
        <v>-17659600</v>
      </c>
      <c r="BO188" s="229">
        <v>-0.59530000000000005</v>
      </c>
      <c r="BP188" s="230">
        <v>31150000</v>
      </c>
      <c r="BQ188" s="230">
        <v>89863550</v>
      </c>
      <c r="BR188" s="230">
        <v>-58713550</v>
      </c>
      <c r="BS188" s="229">
        <v>-0.65339999999999998</v>
      </c>
      <c r="BT188" s="230">
        <v>2457082</v>
      </c>
      <c r="BU188" s="230">
        <v>3138722</v>
      </c>
      <c r="BV188" s="230">
        <v>-681640</v>
      </c>
      <c r="BW188" s="229">
        <v>-0.2172</v>
      </c>
      <c r="BX188" s="230">
        <v>23211650</v>
      </c>
      <c r="BY188" s="230">
        <v>26847800</v>
      </c>
      <c r="BZ188" s="230">
        <v>-3636150</v>
      </c>
      <c r="CA188" s="229">
        <v>-0.13539999999999999</v>
      </c>
      <c r="CB188" s="230">
        <v>3679550</v>
      </c>
      <c r="CC188" s="230">
        <v>4437650</v>
      </c>
      <c r="CD188" s="230">
        <v>-758100</v>
      </c>
      <c r="CE188" s="229">
        <v>-0.17080000000000001</v>
      </c>
      <c r="CF188" s="230">
        <v>22840650</v>
      </c>
      <c r="CG188" s="230">
        <v>22052100</v>
      </c>
      <c r="CH188" s="230">
        <v>788550</v>
      </c>
      <c r="CI188" s="229">
        <v>3.5799999999999998E-2</v>
      </c>
      <c r="CJ188" s="230">
        <v>371000</v>
      </c>
      <c r="CK188" s="230">
        <v>358050</v>
      </c>
      <c r="CL188" s="230">
        <v>12950</v>
      </c>
      <c r="CM188" s="229">
        <v>3.6200000000000003E-2</v>
      </c>
      <c r="CN188" s="230">
        <v>4523400</v>
      </c>
      <c r="CO188" s="230">
        <v>18827550</v>
      </c>
      <c r="CP188" s="230">
        <v>-14304150</v>
      </c>
      <c r="CQ188" s="229">
        <v>-0.75970000000000004</v>
      </c>
      <c r="CR188" s="230">
        <v>4236400</v>
      </c>
      <c r="CS188" s="230">
        <v>11706800</v>
      </c>
      <c r="CT188" s="230">
        <v>-7470400</v>
      </c>
      <c r="CU188" s="229">
        <v>-0.6381</v>
      </c>
      <c r="CV188" s="230">
        <v>31971450</v>
      </c>
      <c r="CW188" s="230">
        <v>57382150</v>
      </c>
      <c r="CX188" s="230">
        <v>-25410700</v>
      </c>
      <c r="CY188" s="229">
        <v>-0.44280000000000003</v>
      </c>
      <c r="CZ188" s="228">
        <v>17.13</v>
      </c>
      <c r="DA188" s="228">
        <v>18.18</v>
      </c>
      <c r="DB188" s="228">
        <v>-1.05</v>
      </c>
      <c r="DC188" s="228">
        <v>-1.05</v>
      </c>
      <c r="DD188" s="228">
        <v>25.45</v>
      </c>
      <c r="DE188" s="228">
        <v>25.51</v>
      </c>
      <c r="DF188" s="228">
        <v>-8.32</v>
      </c>
      <c r="DG188" s="228">
        <v>-0.06</v>
      </c>
      <c r="DH188" s="228">
        <v>17.32</v>
      </c>
      <c r="DI188" s="228">
        <v>18.22</v>
      </c>
      <c r="DJ188" s="228">
        <v>-0.9</v>
      </c>
      <c r="DK188" s="228">
        <v>-0.9</v>
      </c>
      <c r="DL188" s="228">
        <v>16.89</v>
      </c>
      <c r="DM188" s="228">
        <v>18.14</v>
      </c>
      <c r="DN188" s="228">
        <v>-1.25</v>
      </c>
      <c r="DO188" s="228">
        <v>-1.25</v>
      </c>
      <c r="DP188" s="228">
        <v>0.94</v>
      </c>
      <c r="DQ188" s="228">
        <v>0.62</v>
      </c>
      <c r="DR188" s="228">
        <v>0.32</v>
      </c>
      <c r="DS188" s="229">
        <v>0.5161</v>
      </c>
      <c r="DT188" s="231">
        <v>1900</v>
      </c>
      <c r="DU188" s="231">
        <v>1900</v>
      </c>
      <c r="DV188" s="228">
        <v>0.94</v>
      </c>
      <c r="DW188" s="228">
        <v>0.7</v>
      </c>
      <c r="DX188" s="228">
        <v>0.24</v>
      </c>
      <c r="DY188" s="229">
        <v>0.34289999999999998</v>
      </c>
      <c r="DZ188" s="229">
        <v>0.86319999999999997</v>
      </c>
      <c r="EA188" s="230">
        <v>22410150</v>
      </c>
      <c r="EB188" s="229">
        <v>4.5999999999999999E-3</v>
      </c>
      <c r="EC188" s="229">
        <v>0.86319999999999997</v>
      </c>
      <c r="ED188" s="228">
        <v>12.09</v>
      </c>
      <c r="EE188" s="229">
        <v>6.6E-3</v>
      </c>
      <c r="EF188" s="230">
        <v>1411960</v>
      </c>
      <c r="EG188" s="230">
        <v>1604244</v>
      </c>
      <c r="EH188" s="229">
        <v>-0.11990000000000001</v>
      </c>
      <c r="EI188" s="229">
        <v>0.5746</v>
      </c>
      <c r="EJ188" s="231">
        <v>241010.51</v>
      </c>
      <c r="EK188" s="231">
        <v>220001.51</v>
      </c>
      <c r="EL188" s="231">
        <v>116775.96</v>
      </c>
      <c r="EM188" s="231">
        <v>30615</v>
      </c>
      <c r="EN188" s="231">
        <v>577787.98</v>
      </c>
      <c r="EO188" s="231">
        <v>1671038.92</v>
      </c>
      <c r="EP188" s="231">
        <v>-1093250.94</v>
      </c>
      <c r="EQ188" s="229">
        <v>-0.6542</v>
      </c>
      <c r="ER188" s="231">
        <v>86727</v>
      </c>
      <c r="ES188" s="231">
        <v>76375</v>
      </c>
      <c r="ET188" s="231">
        <v>430605</v>
      </c>
      <c r="EU188" s="231">
        <v>121755902</v>
      </c>
      <c r="EV188" s="231">
        <v>593707</v>
      </c>
      <c r="EW188" s="231">
        <v>1061511</v>
      </c>
      <c r="EX188" s="231">
        <v>-467804</v>
      </c>
      <c r="EY188" s="229">
        <v>-0.44069999999999998</v>
      </c>
      <c r="EZ188" s="229">
        <v>0.2626</v>
      </c>
      <c r="FA188" s="227" t="s">
        <v>567</v>
      </c>
      <c r="FB188" s="161">
        <f t="shared" si="4"/>
        <v>0</v>
      </c>
    </row>
    <row r="189" spans="1:158" ht="17.25" thickBot="1" x14ac:dyDescent="0.3">
      <c r="A189" s="226">
        <v>46168</v>
      </c>
      <c r="B189" s="227" t="s">
        <v>184</v>
      </c>
      <c r="C189" s="227" t="s">
        <v>573</v>
      </c>
      <c r="D189" s="228">
        <v>175</v>
      </c>
      <c r="E189" s="231">
        <v>3572.6</v>
      </c>
      <c r="F189" s="231">
        <v>3609.5</v>
      </c>
      <c r="G189" s="228">
        <v>-36.9</v>
      </c>
      <c r="H189" s="229">
        <v>-1.0200000000000001E-2</v>
      </c>
      <c r="I189" s="231">
        <v>3570.9</v>
      </c>
      <c r="J189" s="231">
        <v>3612.9</v>
      </c>
      <c r="K189" s="228">
        <v>-42</v>
      </c>
      <c r="L189" s="229">
        <v>-1.1599999999999999E-2</v>
      </c>
      <c r="M189" s="231">
        <v>3563.4</v>
      </c>
      <c r="N189" s="231">
        <v>3610.8</v>
      </c>
      <c r="O189" s="228">
        <v>-47.4</v>
      </c>
      <c r="P189" s="229">
        <v>-1.3100000000000001E-2</v>
      </c>
      <c r="Q189" s="231">
        <v>3572.6</v>
      </c>
      <c r="R189" s="231">
        <v>3609.5</v>
      </c>
      <c r="S189" s="228">
        <v>-36.9</v>
      </c>
      <c r="T189" s="229">
        <v>-1.0200000000000001E-2</v>
      </c>
      <c r="U189" s="231">
        <v>3587.8</v>
      </c>
      <c r="V189" s="231">
        <v>3632.4</v>
      </c>
      <c r="W189" s="228">
        <v>-44.6</v>
      </c>
      <c r="X189" s="229">
        <v>-1.23E-2</v>
      </c>
      <c r="Y189" s="228">
        <v>1.7</v>
      </c>
      <c r="Z189" s="228">
        <v>-2.1</v>
      </c>
      <c r="AA189" s="228">
        <v>3.8</v>
      </c>
      <c r="AB189" s="229">
        <v>5.0000000000000001E-4</v>
      </c>
      <c r="AC189" s="228">
        <v>-7.5</v>
      </c>
      <c r="AD189" s="228">
        <v>-2.1</v>
      </c>
      <c r="AE189" s="228">
        <v>-5.4</v>
      </c>
      <c r="AF189" s="229">
        <v>-2.0999999999999999E-3</v>
      </c>
      <c r="AG189" s="228">
        <v>1.7</v>
      </c>
      <c r="AH189" s="228">
        <v>-3.4</v>
      </c>
      <c r="AI189" s="228">
        <v>5.0999999999999996</v>
      </c>
      <c r="AJ189" s="229">
        <v>5.0000000000000001E-4</v>
      </c>
      <c r="AK189" s="228">
        <v>16.899999999999999</v>
      </c>
      <c r="AL189" s="228">
        <v>19.5</v>
      </c>
      <c r="AM189" s="228">
        <v>-2.6</v>
      </c>
      <c r="AN189" s="229">
        <v>4.7000000000000002E-3</v>
      </c>
      <c r="AO189" s="231">
        <v>3571.28</v>
      </c>
      <c r="AP189" s="231">
        <v>3574.42</v>
      </c>
      <c r="AQ189" s="228">
        <v>0</v>
      </c>
      <c r="AR189" s="230">
        <v>858900</v>
      </c>
      <c r="AS189" s="230">
        <v>1329125</v>
      </c>
      <c r="AT189" s="230">
        <v>-470225</v>
      </c>
      <c r="AU189" s="229">
        <v>-0.3538</v>
      </c>
      <c r="AV189" s="230">
        <v>384300</v>
      </c>
      <c r="AW189" s="230">
        <v>624750</v>
      </c>
      <c r="AX189" s="230">
        <v>-240450</v>
      </c>
      <c r="AY189" s="229">
        <v>-0.38490000000000002</v>
      </c>
      <c r="AZ189" s="230">
        <v>470050</v>
      </c>
      <c r="BA189" s="230">
        <v>697900</v>
      </c>
      <c r="BB189" s="230">
        <v>-227850</v>
      </c>
      <c r="BC189" s="229">
        <v>-0.32650000000000001</v>
      </c>
      <c r="BD189" s="230">
        <v>4550</v>
      </c>
      <c r="BE189" s="230">
        <v>6475</v>
      </c>
      <c r="BF189" s="230">
        <v>-1925</v>
      </c>
      <c r="BG189" s="229">
        <v>-0.29730000000000001</v>
      </c>
      <c r="BH189" s="230">
        <v>553875</v>
      </c>
      <c r="BI189" s="230">
        <v>1146775</v>
      </c>
      <c r="BJ189" s="230">
        <v>-592900</v>
      </c>
      <c r="BK189" s="229">
        <v>-0.51700000000000002</v>
      </c>
      <c r="BL189" s="230">
        <v>208775</v>
      </c>
      <c r="BM189" s="230">
        <v>913325</v>
      </c>
      <c r="BN189" s="230">
        <v>-704550</v>
      </c>
      <c r="BO189" s="229">
        <v>-0.77139999999999997</v>
      </c>
      <c r="BP189" s="230">
        <v>1621550</v>
      </c>
      <c r="BQ189" s="230">
        <v>3389225</v>
      </c>
      <c r="BR189" s="230">
        <v>-1767675</v>
      </c>
      <c r="BS189" s="229">
        <v>-0.52159999999999995</v>
      </c>
      <c r="BT189" s="230">
        <v>96135</v>
      </c>
      <c r="BU189" s="230">
        <v>88353</v>
      </c>
      <c r="BV189" s="230">
        <v>7782</v>
      </c>
      <c r="BW189" s="229">
        <v>8.8099999999999998E-2</v>
      </c>
      <c r="BX189" s="230">
        <v>2092125</v>
      </c>
      <c r="BY189" s="230">
        <v>2169825</v>
      </c>
      <c r="BZ189" s="230">
        <v>-77700</v>
      </c>
      <c r="CA189" s="229">
        <v>-3.5799999999999998E-2</v>
      </c>
      <c r="CB189" s="230">
        <v>130725</v>
      </c>
      <c r="CC189" s="230">
        <v>305375</v>
      </c>
      <c r="CD189" s="230">
        <v>-174650</v>
      </c>
      <c r="CE189" s="229">
        <v>-0.57189999999999996</v>
      </c>
      <c r="CF189" s="230">
        <v>2080050</v>
      </c>
      <c r="CG189" s="230">
        <v>1856050</v>
      </c>
      <c r="CH189" s="230">
        <v>224000</v>
      </c>
      <c r="CI189" s="229">
        <v>0.1207</v>
      </c>
      <c r="CJ189" s="230">
        <v>12075</v>
      </c>
      <c r="CK189" s="230">
        <v>8400</v>
      </c>
      <c r="CL189" s="230">
        <v>3675</v>
      </c>
      <c r="CM189" s="229">
        <v>0.4375</v>
      </c>
      <c r="CN189" s="230">
        <v>107625</v>
      </c>
      <c r="CO189" s="230">
        <v>985250</v>
      </c>
      <c r="CP189" s="230">
        <v>-877625</v>
      </c>
      <c r="CQ189" s="229">
        <v>-0.89080000000000004</v>
      </c>
      <c r="CR189" s="230">
        <v>110250</v>
      </c>
      <c r="CS189" s="230">
        <v>407750</v>
      </c>
      <c r="CT189" s="230">
        <v>-297500</v>
      </c>
      <c r="CU189" s="229">
        <v>-0.72960000000000003</v>
      </c>
      <c r="CV189" s="230">
        <v>2310000</v>
      </c>
      <c r="CW189" s="230">
        <v>3562825</v>
      </c>
      <c r="CX189" s="230">
        <v>-1252825</v>
      </c>
      <c r="CY189" s="229">
        <v>-0.35160000000000002</v>
      </c>
      <c r="CZ189" s="228">
        <v>27.02</v>
      </c>
      <c r="DA189" s="228">
        <v>28.14</v>
      </c>
      <c r="DB189" s="228">
        <v>-1.1200000000000001</v>
      </c>
      <c r="DC189" s="228">
        <v>-1.1200000000000001</v>
      </c>
      <c r="DD189" s="228">
        <v>36.770000000000003</v>
      </c>
      <c r="DE189" s="228">
        <v>36.83</v>
      </c>
      <c r="DF189" s="228">
        <v>-9.75</v>
      </c>
      <c r="DG189" s="228">
        <v>-0.06</v>
      </c>
      <c r="DH189" s="228">
        <v>26.89</v>
      </c>
      <c r="DI189" s="228">
        <v>27.71</v>
      </c>
      <c r="DJ189" s="228">
        <v>-0.82</v>
      </c>
      <c r="DK189" s="228">
        <v>-0.82</v>
      </c>
      <c r="DL189" s="228">
        <v>27.12</v>
      </c>
      <c r="DM189" s="228">
        <v>29.5</v>
      </c>
      <c r="DN189" s="228">
        <v>-2.38</v>
      </c>
      <c r="DO189" s="228">
        <v>-2.38</v>
      </c>
      <c r="DP189" s="228">
        <v>1.02</v>
      </c>
      <c r="DQ189" s="228">
        <v>0.41</v>
      </c>
      <c r="DR189" s="228">
        <v>0.61</v>
      </c>
      <c r="DS189" s="229">
        <v>1.4878</v>
      </c>
      <c r="DT189" s="231">
        <v>4000</v>
      </c>
      <c r="DU189" s="231">
        <v>3450</v>
      </c>
      <c r="DV189" s="228">
        <v>0.38</v>
      </c>
      <c r="DW189" s="228">
        <v>0.8</v>
      </c>
      <c r="DX189" s="228">
        <v>-0.42</v>
      </c>
      <c r="DY189" s="229">
        <v>-0.52500000000000002</v>
      </c>
      <c r="DZ189" s="229">
        <v>0.94120000000000004</v>
      </c>
      <c r="EA189" s="230">
        <v>1864450</v>
      </c>
      <c r="EB189" s="229">
        <v>2.5999999999999999E-3</v>
      </c>
      <c r="EC189" s="229">
        <v>0.94120000000000004</v>
      </c>
      <c r="ED189" s="228">
        <v>3.14</v>
      </c>
      <c r="EE189" s="229">
        <v>8.9999999999999998E-4</v>
      </c>
      <c r="EF189" s="230">
        <v>39044</v>
      </c>
      <c r="EG189" s="230">
        <v>40936</v>
      </c>
      <c r="EH189" s="229">
        <v>-4.6199999999999998E-2</v>
      </c>
      <c r="EI189" s="229">
        <v>0.40610000000000002</v>
      </c>
      <c r="EJ189" s="231">
        <v>21033.4</v>
      </c>
      <c r="EK189" s="231">
        <v>7425.37</v>
      </c>
      <c r="EL189" s="231">
        <v>30689.62</v>
      </c>
      <c r="EM189" s="231">
        <v>5565</v>
      </c>
      <c r="EN189" s="231">
        <v>59148.39</v>
      </c>
      <c r="EO189" s="231">
        <v>123405.5</v>
      </c>
      <c r="EP189" s="231">
        <v>-64257.11</v>
      </c>
      <c r="EQ189" s="229">
        <v>-0.52070000000000005</v>
      </c>
      <c r="ER189" s="231">
        <v>4014</v>
      </c>
      <c r="ES189" s="231">
        <v>3841</v>
      </c>
      <c r="ET189" s="231">
        <v>74745</v>
      </c>
      <c r="EU189" s="231">
        <v>9724371</v>
      </c>
      <c r="EV189" s="231">
        <v>82600</v>
      </c>
      <c r="EW189" s="231">
        <v>130478</v>
      </c>
      <c r="EX189" s="231">
        <v>-47878</v>
      </c>
      <c r="EY189" s="229">
        <v>-0.3669</v>
      </c>
      <c r="EZ189" s="229">
        <v>0.23749999999999999</v>
      </c>
      <c r="FA189" s="227" t="s">
        <v>567</v>
      </c>
      <c r="FB189" s="161">
        <f t="shared" si="4"/>
        <v>0</v>
      </c>
    </row>
    <row r="190" spans="1:158" ht="17.25" thickBot="1" x14ac:dyDescent="0.3">
      <c r="A190" s="226">
        <v>46168</v>
      </c>
      <c r="B190" s="227" t="s">
        <v>161</v>
      </c>
      <c r="C190" s="227" t="s">
        <v>680</v>
      </c>
      <c r="D190" s="228">
        <v>9025</v>
      </c>
      <c r="E190" s="228">
        <v>55.02</v>
      </c>
      <c r="F190" s="228">
        <v>54.18</v>
      </c>
      <c r="G190" s="228">
        <v>0.84</v>
      </c>
      <c r="H190" s="229">
        <v>1.55E-2</v>
      </c>
      <c r="I190" s="228">
        <v>54.58</v>
      </c>
      <c r="J190" s="228">
        <v>53.99</v>
      </c>
      <c r="K190" s="228">
        <v>0.59</v>
      </c>
      <c r="L190" s="229">
        <v>1.09E-2</v>
      </c>
      <c r="M190" s="228">
        <v>54.74</v>
      </c>
      <c r="N190" s="228">
        <v>54.18</v>
      </c>
      <c r="O190" s="228">
        <v>0.56000000000000005</v>
      </c>
      <c r="P190" s="229">
        <v>1.03E-2</v>
      </c>
      <c r="Q190" s="228">
        <v>55.02</v>
      </c>
      <c r="R190" s="228">
        <v>54.18</v>
      </c>
      <c r="S190" s="228">
        <v>0.84</v>
      </c>
      <c r="T190" s="229">
        <v>1.55E-2</v>
      </c>
      <c r="U190" s="228">
        <v>55.21</v>
      </c>
      <c r="V190" s="228">
        <v>54.08</v>
      </c>
      <c r="W190" s="228">
        <v>1.1299999999999999</v>
      </c>
      <c r="X190" s="229">
        <v>2.0899999999999998E-2</v>
      </c>
      <c r="Y190" s="228">
        <v>0.44</v>
      </c>
      <c r="Z190" s="228">
        <v>0.19</v>
      </c>
      <c r="AA190" s="228">
        <v>0.25</v>
      </c>
      <c r="AB190" s="229">
        <v>8.0999999999999996E-3</v>
      </c>
      <c r="AC190" s="228">
        <v>0.16</v>
      </c>
      <c r="AD190" s="228">
        <v>0.19</v>
      </c>
      <c r="AE190" s="228">
        <v>-0.03</v>
      </c>
      <c r="AF190" s="229">
        <v>2.8999999999999998E-3</v>
      </c>
      <c r="AG190" s="228">
        <v>0.44</v>
      </c>
      <c r="AH190" s="228">
        <v>0.19</v>
      </c>
      <c r="AI190" s="228">
        <v>0.25</v>
      </c>
      <c r="AJ190" s="229">
        <v>8.0999999999999996E-3</v>
      </c>
      <c r="AK190" s="228">
        <v>0.63</v>
      </c>
      <c r="AL190" s="228">
        <v>0.09</v>
      </c>
      <c r="AM190" s="228">
        <v>0.54</v>
      </c>
      <c r="AN190" s="229">
        <v>1.15E-2</v>
      </c>
      <c r="AO190" s="228">
        <v>54.6</v>
      </c>
      <c r="AP190" s="228">
        <v>55.06</v>
      </c>
      <c r="AQ190" s="228">
        <v>0</v>
      </c>
      <c r="AR190" s="230">
        <v>202412700</v>
      </c>
      <c r="AS190" s="230">
        <v>294440625</v>
      </c>
      <c r="AT190" s="230">
        <v>-92027925</v>
      </c>
      <c r="AU190" s="229">
        <v>-0.31259999999999999</v>
      </c>
      <c r="AV190" s="230">
        <v>76080750</v>
      </c>
      <c r="AW190" s="230">
        <v>119518075</v>
      </c>
      <c r="AX190" s="230">
        <v>-43437325</v>
      </c>
      <c r="AY190" s="229">
        <v>-0.3634</v>
      </c>
      <c r="AZ190" s="230">
        <v>123110025</v>
      </c>
      <c r="BA190" s="230">
        <v>166222450</v>
      </c>
      <c r="BB190" s="230">
        <v>-43112425</v>
      </c>
      <c r="BC190" s="229">
        <v>-0.25940000000000002</v>
      </c>
      <c r="BD190" s="230">
        <v>3221925</v>
      </c>
      <c r="BE190" s="230">
        <v>8700100</v>
      </c>
      <c r="BF190" s="230">
        <v>-5478175</v>
      </c>
      <c r="BG190" s="229">
        <v>-0.62970000000000004</v>
      </c>
      <c r="BH190" s="230">
        <v>257113225</v>
      </c>
      <c r="BI190" s="230">
        <v>277500700</v>
      </c>
      <c r="BJ190" s="230">
        <v>-20387475</v>
      </c>
      <c r="BK190" s="229">
        <v>-7.3499999999999996E-2</v>
      </c>
      <c r="BL190" s="230">
        <v>143777275</v>
      </c>
      <c r="BM190" s="230">
        <v>167964275</v>
      </c>
      <c r="BN190" s="230">
        <v>-24187000</v>
      </c>
      <c r="BO190" s="229">
        <v>-0.14399999999999999</v>
      </c>
      <c r="BP190" s="230">
        <v>603303200</v>
      </c>
      <c r="BQ190" s="230">
        <v>739905600</v>
      </c>
      <c r="BR190" s="230">
        <v>-136602400</v>
      </c>
      <c r="BS190" s="229">
        <v>-0.18459999999999999</v>
      </c>
      <c r="BT190" s="230">
        <v>182577261</v>
      </c>
      <c r="BU190" s="230">
        <v>142556667</v>
      </c>
      <c r="BV190" s="230">
        <v>40020594</v>
      </c>
      <c r="BW190" s="229">
        <v>0.28070000000000001</v>
      </c>
      <c r="BX190" s="230">
        <v>329435125</v>
      </c>
      <c r="BY190" s="230">
        <v>344067450</v>
      </c>
      <c r="BZ190" s="230">
        <v>-14632325</v>
      </c>
      <c r="CA190" s="229">
        <v>-4.2500000000000003E-2</v>
      </c>
      <c r="CB190" s="230">
        <v>15152975</v>
      </c>
      <c r="CC190" s="230">
        <v>43915650</v>
      </c>
      <c r="CD190" s="230">
        <v>-28762675</v>
      </c>
      <c r="CE190" s="229">
        <v>-0.65500000000000003</v>
      </c>
      <c r="CF190" s="230">
        <v>317255825</v>
      </c>
      <c r="CG190" s="230">
        <v>288836100</v>
      </c>
      <c r="CH190" s="230">
        <v>28419725</v>
      </c>
      <c r="CI190" s="229">
        <v>9.8400000000000001E-2</v>
      </c>
      <c r="CJ190" s="230">
        <v>12179300</v>
      </c>
      <c r="CK190" s="230">
        <v>11315700</v>
      </c>
      <c r="CL190" s="230">
        <v>863600</v>
      </c>
      <c r="CM190" s="229">
        <v>7.6300000000000007E-2</v>
      </c>
      <c r="CN190" s="230">
        <v>82817075</v>
      </c>
      <c r="CO190" s="230">
        <v>180653425</v>
      </c>
      <c r="CP190" s="230">
        <v>-97836350</v>
      </c>
      <c r="CQ190" s="229">
        <v>-0.54159999999999997</v>
      </c>
      <c r="CR190" s="230">
        <v>47807425</v>
      </c>
      <c r="CS190" s="230">
        <v>93493650</v>
      </c>
      <c r="CT190" s="230">
        <v>-45686225</v>
      </c>
      <c r="CU190" s="229">
        <v>-0.48870000000000002</v>
      </c>
      <c r="CV190" s="230">
        <v>460059625</v>
      </c>
      <c r="CW190" s="230">
        <v>618214525</v>
      </c>
      <c r="CX190" s="230">
        <v>-158154900</v>
      </c>
      <c r="CY190" s="229">
        <v>-0.25580000000000003</v>
      </c>
      <c r="CZ190" s="228">
        <v>36.97</v>
      </c>
      <c r="DA190" s="228">
        <v>45.85</v>
      </c>
      <c r="DB190" s="228">
        <v>-8.8800000000000008</v>
      </c>
      <c r="DC190" s="228">
        <v>-8.8800000000000008</v>
      </c>
      <c r="DD190" s="228">
        <v>46.27</v>
      </c>
      <c r="DE190" s="228">
        <v>46.34</v>
      </c>
      <c r="DF190" s="228">
        <v>-9.3000000000000007</v>
      </c>
      <c r="DG190" s="228">
        <v>-7.0000000000000007E-2</v>
      </c>
      <c r="DH190" s="228">
        <v>37.08</v>
      </c>
      <c r="DI190" s="228">
        <v>45.4</v>
      </c>
      <c r="DJ190" s="228">
        <v>-8.32</v>
      </c>
      <c r="DK190" s="228">
        <v>-8.32</v>
      </c>
      <c r="DL190" s="228">
        <v>36.770000000000003</v>
      </c>
      <c r="DM190" s="228">
        <v>46.64</v>
      </c>
      <c r="DN190" s="228">
        <v>-9.8699999999999992</v>
      </c>
      <c r="DO190" s="228">
        <v>-9.8699999999999992</v>
      </c>
      <c r="DP190" s="228">
        <v>0.57999999999999996</v>
      </c>
      <c r="DQ190" s="228">
        <v>0.52</v>
      </c>
      <c r="DR190" s="228">
        <v>0.06</v>
      </c>
      <c r="DS190" s="229">
        <v>0.1154</v>
      </c>
      <c r="DT190" s="228">
        <v>60</v>
      </c>
      <c r="DU190" s="228">
        <v>55</v>
      </c>
      <c r="DV190" s="228">
        <v>0.56000000000000005</v>
      </c>
      <c r="DW190" s="228">
        <v>0.61</v>
      </c>
      <c r="DX190" s="228">
        <v>-0.05</v>
      </c>
      <c r="DY190" s="229">
        <v>-8.2000000000000003E-2</v>
      </c>
      <c r="DZ190" s="229">
        <v>0.95599999999999996</v>
      </c>
      <c r="EA190" s="230">
        <v>300151800</v>
      </c>
      <c r="EB190" s="229">
        <v>5.1000000000000004E-3</v>
      </c>
      <c r="EC190" s="229">
        <v>0.95599999999999996</v>
      </c>
      <c r="ED190" s="228">
        <v>0.46</v>
      </c>
      <c r="EE190" s="229">
        <v>8.3999999999999995E-3</v>
      </c>
      <c r="EF190" s="230">
        <v>55417610</v>
      </c>
      <c r="EG190" s="230">
        <v>51435297</v>
      </c>
      <c r="EH190" s="229">
        <v>7.7399999999999997E-2</v>
      </c>
      <c r="EI190" s="229">
        <v>0.30349999999999999</v>
      </c>
      <c r="EJ190" s="231">
        <v>148818.60999999999</v>
      </c>
      <c r="EK190" s="231">
        <v>77819.08</v>
      </c>
      <c r="EL190" s="231">
        <v>111837.01</v>
      </c>
      <c r="EM190" s="231">
        <v>18868</v>
      </c>
      <c r="EN190" s="231">
        <v>338474.7</v>
      </c>
      <c r="EO190" s="231">
        <v>411432.44</v>
      </c>
      <c r="EP190" s="231">
        <v>-72957.740000000005</v>
      </c>
      <c r="EQ190" s="229">
        <v>-0.17730000000000001</v>
      </c>
      <c r="ER190" s="231">
        <v>47534</v>
      </c>
      <c r="ES190" s="231">
        <v>25373</v>
      </c>
      <c r="ET190" s="231">
        <v>181278</v>
      </c>
      <c r="EU190" s="231">
        <v>1815546735</v>
      </c>
      <c r="EV190" s="231">
        <v>254185</v>
      </c>
      <c r="EW190" s="231">
        <v>338545</v>
      </c>
      <c r="EX190" s="231">
        <v>-84360</v>
      </c>
      <c r="EY190" s="229">
        <v>-0.2492</v>
      </c>
      <c r="EZ190" s="229">
        <v>0.25340000000000001</v>
      </c>
      <c r="FA190" s="227" t="s">
        <v>691</v>
      </c>
      <c r="FB190" s="161">
        <f t="shared" si="4"/>
        <v>0</v>
      </c>
    </row>
    <row r="191" spans="1:158" ht="17.25" thickBot="1" x14ac:dyDescent="0.3">
      <c r="A191" s="226">
        <v>46168</v>
      </c>
      <c r="B191" s="227" t="s">
        <v>614</v>
      </c>
      <c r="C191" s="227" t="s">
        <v>689</v>
      </c>
      <c r="D191" s="228">
        <v>1300</v>
      </c>
      <c r="E191" s="228">
        <v>256.10000000000002</v>
      </c>
      <c r="F191" s="228">
        <v>252.15</v>
      </c>
      <c r="G191" s="228">
        <v>3.95</v>
      </c>
      <c r="H191" s="229">
        <v>1.5699999999999999E-2</v>
      </c>
      <c r="I191" s="228">
        <v>253.9</v>
      </c>
      <c r="J191" s="228">
        <v>250.05</v>
      </c>
      <c r="K191" s="228">
        <v>3.85</v>
      </c>
      <c r="L191" s="229">
        <v>1.54E-2</v>
      </c>
      <c r="M191" s="228">
        <v>254.6</v>
      </c>
      <c r="N191" s="228">
        <v>250.7</v>
      </c>
      <c r="O191" s="228">
        <v>3.9</v>
      </c>
      <c r="P191" s="229">
        <v>1.5599999999999999E-2</v>
      </c>
      <c r="Q191" s="228">
        <v>256.10000000000002</v>
      </c>
      <c r="R191" s="228">
        <v>252.15</v>
      </c>
      <c r="S191" s="228">
        <v>3.95</v>
      </c>
      <c r="T191" s="229">
        <v>1.5699999999999999E-2</v>
      </c>
      <c r="U191" s="228">
        <v>257.39999999999998</v>
      </c>
      <c r="V191" s="228">
        <v>252.95</v>
      </c>
      <c r="W191" s="228">
        <v>4.45</v>
      </c>
      <c r="X191" s="229">
        <v>1.7600000000000001E-2</v>
      </c>
      <c r="Y191" s="228">
        <v>2.2000000000000002</v>
      </c>
      <c r="Z191" s="228">
        <v>0.65</v>
      </c>
      <c r="AA191" s="228">
        <v>1.55</v>
      </c>
      <c r="AB191" s="229">
        <v>8.6999999999999994E-3</v>
      </c>
      <c r="AC191" s="228">
        <v>0.7</v>
      </c>
      <c r="AD191" s="228">
        <v>0.65</v>
      </c>
      <c r="AE191" s="228">
        <v>0.05</v>
      </c>
      <c r="AF191" s="229">
        <v>2.8E-3</v>
      </c>
      <c r="AG191" s="228">
        <v>2.2000000000000002</v>
      </c>
      <c r="AH191" s="228">
        <v>2.1</v>
      </c>
      <c r="AI191" s="228">
        <v>0.1</v>
      </c>
      <c r="AJ191" s="229">
        <v>8.6999999999999994E-3</v>
      </c>
      <c r="AK191" s="228">
        <v>3.5</v>
      </c>
      <c r="AL191" s="228">
        <v>2.9</v>
      </c>
      <c r="AM191" s="228">
        <v>0.6</v>
      </c>
      <c r="AN191" s="229">
        <v>1.38E-2</v>
      </c>
      <c r="AO191" s="228">
        <v>254.44</v>
      </c>
      <c r="AP191" s="228">
        <v>255.99</v>
      </c>
      <c r="AQ191" s="228">
        <v>0</v>
      </c>
      <c r="AR191" s="230">
        <v>15055300</v>
      </c>
      <c r="AS191" s="230">
        <v>25509900</v>
      </c>
      <c r="AT191" s="230">
        <v>-10454600</v>
      </c>
      <c r="AU191" s="229">
        <v>-0.4098</v>
      </c>
      <c r="AV191" s="230">
        <v>5500300</v>
      </c>
      <c r="AW191" s="230">
        <v>10530000</v>
      </c>
      <c r="AX191" s="230">
        <v>-5029700</v>
      </c>
      <c r="AY191" s="229">
        <v>-0.47770000000000001</v>
      </c>
      <c r="AZ191" s="230">
        <v>9406800</v>
      </c>
      <c r="BA191" s="230">
        <v>14911000</v>
      </c>
      <c r="BB191" s="230">
        <v>-5504200</v>
      </c>
      <c r="BC191" s="229">
        <v>-0.36909999999999998</v>
      </c>
      <c r="BD191" s="230">
        <v>148200</v>
      </c>
      <c r="BE191" s="230">
        <v>68900</v>
      </c>
      <c r="BF191" s="230">
        <v>79300</v>
      </c>
      <c r="BG191" s="229">
        <v>1.1509</v>
      </c>
      <c r="BH191" s="230">
        <v>9972300</v>
      </c>
      <c r="BI191" s="230">
        <v>10554700</v>
      </c>
      <c r="BJ191" s="230">
        <v>-582400</v>
      </c>
      <c r="BK191" s="229">
        <v>-5.5199999999999999E-2</v>
      </c>
      <c r="BL191" s="230">
        <v>3949400</v>
      </c>
      <c r="BM191" s="230">
        <v>4435600</v>
      </c>
      <c r="BN191" s="230">
        <v>-486200</v>
      </c>
      <c r="BO191" s="229">
        <v>-0.1096</v>
      </c>
      <c r="BP191" s="230">
        <v>28977000</v>
      </c>
      <c r="BQ191" s="230">
        <v>40500200</v>
      </c>
      <c r="BR191" s="230">
        <v>-11523200</v>
      </c>
      <c r="BS191" s="229">
        <v>-0.28449999999999998</v>
      </c>
      <c r="BT191" s="230">
        <v>8487347</v>
      </c>
      <c r="BU191" s="230">
        <v>9910182</v>
      </c>
      <c r="BV191" s="230">
        <v>-1422835</v>
      </c>
      <c r="BW191" s="229">
        <v>-0.14360000000000001</v>
      </c>
      <c r="BX191" s="230">
        <v>43264025</v>
      </c>
      <c r="BY191" s="230">
        <v>49028150</v>
      </c>
      <c r="BZ191" s="230">
        <v>-5764125</v>
      </c>
      <c r="CA191" s="229">
        <v>-0.1176</v>
      </c>
      <c r="CB191" s="230">
        <v>6698900</v>
      </c>
      <c r="CC191" s="230">
        <v>9972300</v>
      </c>
      <c r="CD191" s="230">
        <v>-3273400</v>
      </c>
      <c r="CE191" s="229">
        <v>-0.32819999999999999</v>
      </c>
      <c r="CF191" s="230">
        <v>42590600</v>
      </c>
      <c r="CG191" s="230">
        <v>38504700</v>
      </c>
      <c r="CH191" s="230">
        <v>4085900</v>
      </c>
      <c r="CI191" s="229">
        <v>0.1061</v>
      </c>
      <c r="CJ191" s="230">
        <v>673425</v>
      </c>
      <c r="CK191" s="230">
        <v>551150</v>
      </c>
      <c r="CL191" s="230">
        <v>122275</v>
      </c>
      <c r="CM191" s="229">
        <v>0.22189999999999999</v>
      </c>
      <c r="CN191" s="230">
        <v>5416325</v>
      </c>
      <c r="CO191" s="230">
        <v>16912225</v>
      </c>
      <c r="CP191" s="230">
        <v>-11495900</v>
      </c>
      <c r="CQ191" s="229">
        <v>-0.67969999999999997</v>
      </c>
      <c r="CR191" s="230">
        <v>2200925</v>
      </c>
      <c r="CS191" s="230">
        <v>6237425</v>
      </c>
      <c r="CT191" s="230">
        <v>-4036500</v>
      </c>
      <c r="CU191" s="229">
        <v>-0.64710000000000001</v>
      </c>
      <c r="CV191" s="230">
        <v>50881275</v>
      </c>
      <c r="CW191" s="230">
        <v>72177800</v>
      </c>
      <c r="CX191" s="230">
        <v>-21296525</v>
      </c>
      <c r="CY191" s="229">
        <v>-0.29509999999999997</v>
      </c>
      <c r="CZ191" s="228">
        <v>38.42</v>
      </c>
      <c r="DA191" s="228">
        <v>38.03</v>
      </c>
      <c r="DB191" s="228">
        <v>0.39</v>
      </c>
      <c r="DC191" s="228">
        <v>0.39</v>
      </c>
      <c r="DD191" s="228">
        <v>44.95</v>
      </c>
      <c r="DE191" s="228">
        <v>45.02</v>
      </c>
      <c r="DF191" s="228">
        <v>-6.53</v>
      </c>
      <c r="DG191" s="228">
        <v>-7.0000000000000007E-2</v>
      </c>
      <c r="DH191" s="228">
        <v>38.619999999999997</v>
      </c>
      <c r="DI191" s="228">
        <v>37.86</v>
      </c>
      <c r="DJ191" s="228">
        <v>0.76</v>
      </c>
      <c r="DK191" s="228">
        <v>0.76</v>
      </c>
      <c r="DL191" s="228">
        <v>37.56</v>
      </c>
      <c r="DM191" s="228">
        <v>38.6</v>
      </c>
      <c r="DN191" s="228">
        <v>-1.04</v>
      </c>
      <c r="DO191" s="228">
        <v>-1.04</v>
      </c>
      <c r="DP191" s="228">
        <v>0.41</v>
      </c>
      <c r="DQ191" s="228">
        <v>0.37</v>
      </c>
      <c r="DR191" s="228">
        <v>0.04</v>
      </c>
      <c r="DS191" s="229">
        <v>0.1081</v>
      </c>
      <c r="DT191" s="228">
        <v>300</v>
      </c>
      <c r="DU191" s="228">
        <v>260</v>
      </c>
      <c r="DV191" s="228">
        <v>0.4</v>
      </c>
      <c r="DW191" s="228">
        <v>0.42</v>
      </c>
      <c r="DX191" s="228">
        <v>-0.02</v>
      </c>
      <c r="DY191" s="229">
        <v>-4.7600000000000003E-2</v>
      </c>
      <c r="DZ191" s="229">
        <v>0.8659</v>
      </c>
      <c r="EA191" s="230">
        <v>39055850</v>
      </c>
      <c r="EB191" s="229">
        <v>5.8999999999999999E-3</v>
      </c>
      <c r="EC191" s="229">
        <v>0.8659</v>
      </c>
      <c r="ED191" s="228">
        <v>1.55</v>
      </c>
      <c r="EE191" s="229">
        <v>6.1000000000000004E-3</v>
      </c>
      <c r="EF191" s="230">
        <v>4130782</v>
      </c>
      <c r="EG191" s="230">
        <v>5356767</v>
      </c>
      <c r="EH191" s="229">
        <v>-0.22889999999999999</v>
      </c>
      <c r="EI191" s="229">
        <v>0.48670000000000002</v>
      </c>
      <c r="EJ191" s="231">
        <v>27316.37</v>
      </c>
      <c r="EK191" s="231">
        <v>10341.200000000001</v>
      </c>
      <c r="EL191" s="231">
        <v>38610.959999999999</v>
      </c>
      <c r="EM191" s="231">
        <v>16103</v>
      </c>
      <c r="EN191" s="231">
        <v>76268.53</v>
      </c>
      <c r="EO191" s="231">
        <v>104370.42</v>
      </c>
      <c r="EP191" s="231">
        <v>-28101.89</v>
      </c>
      <c r="EQ191" s="229">
        <v>-0.26929999999999998</v>
      </c>
      <c r="ER191" s="231">
        <v>15180</v>
      </c>
      <c r="ES191" s="231">
        <v>5477</v>
      </c>
      <c r="ET191" s="231">
        <v>110808</v>
      </c>
      <c r="EU191" s="231">
        <v>389472858</v>
      </c>
      <c r="EV191" s="231">
        <v>131465</v>
      </c>
      <c r="EW191" s="231">
        <v>187488</v>
      </c>
      <c r="EX191" s="231">
        <v>-56023</v>
      </c>
      <c r="EY191" s="229">
        <v>-0.29880000000000001</v>
      </c>
      <c r="EZ191" s="229">
        <v>0.13059999999999999</v>
      </c>
      <c r="FA191" s="227" t="s">
        <v>691</v>
      </c>
      <c r="FB191" s="161">
        <f t="shared" si="4"/>
        <v>0</v>
      </c>
    </row>
    <row r="192" spans="1:158" ht="17.25" thickBot="1" x14ac:dyDescent="0.3">
      <c r="A192" s="226">
        <v>46168</v>
      </c>
      <c r="B192" s="227" t="s">
        <v>168</v>
      </c>
      <c r="C192" s="227" t="s">
        <v>291</v>
      </c>
      <c r="D192" s="228">
        <v>550</v>
      </c>
      <c r="E192" s="231">
        <v>1197.7</v>
      </c>
      <c r="F192" s="231">
        <v>1197.5</v>
      </c>
      <c r="G192" s="228">
        <v>0.2</v>
      </c>
      <c r="H192" s="229">
        <v>2.0000000000000001E-4</v>
      </c>
      <c r="I192" s="231">
        <v>1187.5999999999999</v>
      </c>
      <c r="J192" s="231">
        <v>1187.2</v>
      </c>
      <c r="K192" s="228">
        <v>0.4</v>
      </c>
      <c r="L192" s="229">
        <v>2.9999999999999997E-4</v>
      </c>
      <c r="M192" s="231">
        <v>1188.2</v>
      </c>
      <c r="N192" s="231">
        <v>1189.4000000000001</v>
      </c>
      <c r="O192" s="228">
        <v>-1.2</v>
      </c>
      <c r="P192" s="229">
        <v>-1E-3</v>
      </c>
      <c r="Q192" s="231">
        <v>1197.7</v>
      </c>
      <c r="R192" s="231">
        <v>1197.5</v>
      </c>
      <c r="S192" s="228">
        <v>0.2</v>
      </c>
      <c r="T192" s="229">
        <v>2.0000000000000001E-4</v>
      </c>
      <c r="U192" s="231">
        <v>1204.8</v>
      </c>
      <c r="V192" s="231">
        <v>1204.8</v>
      </c>
      <c r="W192" s="228">
        <v>0</v>
      </c>
      <c r="X192" s="229">
        <v>0</v>
      </c>
      <c r="Y192" s="228">
        <v>10.1</v>
      </c>
      <c r="Z192" s="228">
        <v>2.2000000000000002</v>
      </c>
      <c r="AA192" s="228">
        <v>7.9</v>
      </c>
      <c r="AB192" s="229">
        <v>8.5000000000000006E-3</v>
      </c>
      <c r="AC192" s="228">
        <v>0.6</v>
      </c>
      <c r="AD192" s="228">
        <v>2.2000000000000002</v>
      </c>
      <c r="AE192" s="228">
        <v>-1.6</v>
      </c>
      <c r="AF192" s="229">
        <v>5.0000000000000001E-4</v>
      </c>
      <c r="AG192" s="228">
        <v>10.1</v>
      </c>
      <c r="AH192" s="228">
        <v>10.3</v>
      </c>
      <c r="AI192" s="228">
        <v>-0.2</v>
      </c>
      <c r="AJ192" s="229">
        <v>8.5000000000000006E-3</v>
      </c>
      <c r="AK192" s="228">
        <v>17.2</v>
      </c>
      <c r="AL192" s="228">
        <v>17.600000000000001</v>
      </c>
      <c r="AM192" s="228">
        <v>-0.4</v>
      </c>
      <c r="AN192" s="229">
        <v>1.4500000000000001E-2</v>
      </c>
      <c r="AO192" s="231">
        <v>1189.43</v>
      </c>
      <c r="AP192" s="231">
        <v>1199.46</v>
      </c>
      <c r="AQ192" s="228">
        <v>0</v>
      </c>
      <c r="AR192" s="230">
        <v>6280450</v>
      </c>
      <c r="AS192" s="230">
        <v>7155500</v>
      </c>
      <c r="AT192" s="230">
        <v>-875050</v>
      </c>
      <c r="AU192" s="229">
        <v>-0.12230000000000001</v>
      </c>
      <c r="AV192" s="230">
        <v>2364450</v>
      </c>
      <c r="AW192" s="230">
        <v>3504600</v>
      </c>
      <c r="AX192" s="230">
        <v>-1140150</v>
      </c>
      <c r="AY192" s="229">
        <v>-0.32529999999999998</v>
      </c>
      <c r="AZ192" s="230">
        <v>3890150</v>
      </c>
      <c r="BA192" s="230">
        <v>3623400</v>
      </c>
      <c r="BB192" s="230">
        <v>266750</v>
      </c>
      <c r="BC192" s="229">
        <v>7.3599999999999999E-2</v>
      </c>
      <c r="BD192" s="230">
        <v>25850</v>
      </c>
      <c r="BE192" s="230">
        <v>27500</v>
      </c>
      <c r="BF192" s="230">
        <v>-1650</v>
      </c>
      <c r="BG192" s="229">
        <v>-0.06</v>
      </c>
      <c r="BH192" s="230">
        <v>3313200</v>
      </c>
      <c r="BI192" s="230">
        <v>4238300</v>
      </c>
      <c r="BJ192" s="230">
        <v>-925100</v>
      </c>
      <c r="BK192" s="229">
        <v>-0.21829999999999999</v>
      </c>
      <c r="BL192" s="230">
        <v>1494350</v>
      </c>
      <c r="BM192" s="230">
        <v>1802900</v>
      </c>
      <c r="BN192" s="230">
        <v>-308550</v>
      </c>
      <c r="BO192" s="229">
        <v>-0.1711</v>
      </c>
      <c r="BP192" s="230">
        <v>11088000</v>
      </c>
      <c r="BQ192" s="230">
        <v>13196700</v>
      </c>
      <c r="BR192" s="230">
        <v>-2108700</v>
      </c>
      <c r="BS192" s="229">
        <v>-0.1598</v>
      </c>
      <c r="BT192" s="230">
        <v>1813605</v>
      </c>
      <c r="BU192" s="230">
        <v>2129809</v>
      </c>
      <c r="BV192" s="230">
        <v>-316204</v>
      </c>
      <c r="BW192" s="229">
        <v>-0.14849999999999999</v>
      </c>
      <c r="BX192" s="230">
        <v>15092000</v>
      </c>
      <c r="BY192" s="230">
        <v>15470950</v>
      </c>
      <c r="BZ192" s="230">
        <v>-378950</v>
      </c>
      <c r="CA192" s="229">
        <v>-2.4500000000000001E-2</v>
      </c>
      <c r="CB192" s="230">
        <v>799150</v>
      </c>
      <c r="CC192" s="230">
        <v>2376550</v>
      </c>
      <c r="CD192" s="230">
        <v>-1577400</v>
      </c>
      <c r="CE192" s="229">
        <v>-0.66369999999999996</v>
      </c>
      <c r="CF192" s="230">
        <v>14580500</v>
      </c>
      <c r="CG192" s="230">
        <v>12593350</v>
      </c>
      <c r="CH192" s="230">
        <v>1987150</v>
      </c>
      <c r="CI192" s="229">
        <v>0.1578</v>
      </c>
      <c r="CJ192" s="230">
        <v>511500</v>
      </c>
      <c r="CK192" s="230">
        <v>501050</v>
      </c>
      <c r="CL192" s="230">
        <v>10450</v>
      </c>
      <c r="CM192" s="229">
        <v>2.0899999999999998E-2</v>
      </c>
      <c r="CN192" s="230">
        <v>1141250</v>
      </c>
      <c r="CO192" s="230">
        <v>4711850</v>
      </c>
      <c r="CP192" s="230">
        <v>-3570600</v>
      </c>
      <c r="CQ192" s="229">
        <v>-0.75780000000000003</v>
      </c>
      <c r="CR192" s="230">
        <v>901450</v>
      </c>
      <c r="CS192" s="230">
        <v>3136100</v>
      </c>
      <c r="CT192" s="230">
        <v>-2234650</v>
      </c>
      <c r="CU192" s="229">
        <v>-0.71260000000000001</v>
      </c>
      <c r="CV192" s="230">
        <v>17134700</v>
      </c>
      <c r="CW192" s="230">
        <v>23318900</v>
      </c>
      <c r="CX192" s="230">
        <v>-6184200</v>
      </c>
      <c r="CY192" s="229">
        <v>-0.26519999999999999</v>
      </c>
      <c r="CZ192" s="228">
        <v>22.45</v>
      </c>
      <c r="DA192" s="228">
        <v>23.19</v>
      </c>
      <c r="DB192" s="228">
        <v>-0.74</v>
      </c>
      <c r="DC192" s="228">
        <v>-0.74</v>
      </c>
      <c r="DD192" s="228">
        <v>28.8</v>
      </c>
      <c r="DE192" s="228">
        <v>28.87</v>
      </c>
      <c r="DF192" s="228">
        <v>-6.35</v>
      </c>
      <c r="DG192" s="228">
        <v>-7.0000000000000007E-2</v>
      </c>
      <c r="DH192" s="228">
        <v>22.83</v>
      </c>
      <c r="DI192" s="228">
        <v>23.06</v>
      </c>
      <c r="DJ192" s="228">
        <v>-0.23</v>
      </c>
      <c r="DK192" s="228">
        <v>-0.23</v>
      </c>
      <c r="DL192" s="228">
        <v>21.64</v>
      </c>
      <c r="DM192" s="228">
        <v>23.46</v>
      </c>
      <c r="DN192" s="228">
        <v>-1.82</v>
      </c>
      <c r="DO192" s="228">
        <v>-1.82</v>
      </c>
      <c r="DP192" s="228">
        <v>0.79</v>
      </c>
      <c r="DQ192" s="228">
        <v>0.67</v>
      </c>
      <c r="DR192" s="228">
        <v>0.12</v>
      </c>
      <c r="DS192" s="229">
        <v>0.17910000000000001</v>
      </c>
      <c r="DT192" s="231">
        <v>1250</v>
      </c>
      <c r="DU192" s="231">
        <v>1100</v>
      </c>
      <c r="DV192" s="228">
        <v>0.45</v>
      </c>
      <c r="DW192" s="228">
        <v>0.43</v>
      </c>
      <c r="DX192" s="228">
        <v>0.02</v>
      </c>
      <c r="DY192" s="229">
        <v>4.65E-2</v>
      </c>
      <c r="DZ192" s="229">
        <v>0.94969999999999999</v>
      </c>
      <c r="EA192" s="230">
        <v>13094400</v>
      </c>
      <c r="EB192" s="229">
        <v>8.0000000000000002E-3</v>
      </c>
      <c r="EC192" s="229">
        <v>0.94969999999999999</v>
      </c>
      <c r="ED192" s="228">
        <v>10.029999999999999</v>
      </c>
      <c r="EE192" s="229">
        <v>8.3999999999999995E-3</v>
      </c>
      <c r="EF192" s="230">
        <v>1002014</v>
      </c>
      <c r="EG192" s="230">
        <v>1376316</v>
      </c>
      <c r="EH192" s="229">
        <v>-0.27200000000000002</v>
      </c>
      <c r="EI192" s="229">
        <v>0.55249999999999999</v>
      </c>
      <c r="EJ192" s="231">
        <v>40964.720000000001</v>
      </c>
      <c r="EK192" s="231">
        <v>17983.7</v>
      </c>
      <c r="EL192" s="231">
        <v>75096.210000000006</v>
      </c>
      <c r="EM192" s="231">
        <v>10466</v>
      </c>
      <c r="EN192" s="231">
        <v>134044.63</v>
      </c>
      <c r="EO192" s="231">
        <v>159021.47</v>
      </c>
      <c r="EP192" s="231">
        <v>-24976.84</v>
      </c>
      <c r="EQ192" s="229">
        <v>-0.15709999999999999</v>
      </c>
      <c r="ER192" s="231">
        <v>14195</v>
      </c>
      <c r="ES192" s="231">
        <v>10600</v>
      </c>
      <c r="ET192" s="231">
        <v>180793</v>
      </c>
      <c r="EU192" s="231">
        <v>65472757</v>
      </c>
      <c r="EV192" s="231">
        <v>205589</v>
      </c>
      <c r="EW192" s="231">
        <v>280992</v>
      </c>
      <c r="EX192" s="231">
        <v>-75403</v>
      </c>
      <c r="EY192" s="229">
        <v>-0.26829999999999998</v>
      </c>
      <c r="EZ192" s="229">
        <v>0.26169999999999999</v>
      </c>
      <c r="FA192" s="227" t="s">
        <v>691</v>
      </c>
      <c r="FB192" s="161">
        <f t="shared" si="4"/>
        <v>0</v>
      </c>
    </row>
    <row r="193" spans="1:158" ht="17.25" thickBot="1" x14ac:dyDescent="0.3">
      <c r="A193" s="226">
        <v>46168</v>
      </c>
      <c r="B193" s="227" t="s">
        <v>221</v>
      </c>
      <c r="C193" s="227" t="s">
        <v>603</v>
      </c>
      <c r="D193" s="228">
        <v>100</v>
      </c>
      <c r="E193" s="231">
        <v>4247.2</v>
      </c>
      <c r="F193" s="231">
        <v>4217.8</v>
      </c>
      <c r="G193" s="228">
        <v>29.4</v>
      </c>
      <c r="H193" s="229">
        <v>7.0000000000000001E-3</v>
      </c>
      <c r="I193" s="231">
        <v>4335.6000000000004</v>
      </c>
      <c r="J193" s="231">
        <v>4327.2</v>
      </c>
      <c r="K193" s="228">
        <v>8.4</v>
      </c>
      <c r="L193" s="229">
        <v>1.9E-3</v>
      </c>
      <c r="M193" s="231">
        <v>4349.3999999999996</v>
      </c>
      <c r="N193" s="231">
        <v>4336.2</v>
      </c>
      <c r="O193" s="228">
        <v>13.2</v>
      </c>
      <c r="P193" s="229">
        <v>3.0000000000000001E-3</v>
      </c>
      <c r="Q193" s="231">
        <v>4247.2</v>
      </c>
      <c r="R193" s="231">
        <v>4217.8</v>
      </c>
      <c r="S193" s="228">
        <v>29.4</v>
      </c>
      <c r="T193" s="229">
        <v>7.0000000000000001E-3</v>
      </c>
      <c r="U193" s="231">
        <v>4237.3999999999996</v>
      </c>
      <c r="V193" s="231">
        <v>4213.3</v>
      </c>
      <c r="W193" s="228">
        <v>24.1</v>
      </c>
      <c r="X193" s="229">
        <v>5.7000000000000002E-3</v>
      </c>
      <c r="Y193" s="228">
        <v>-88.4</v>
      </c>
      <c r="Z193" s="228">
        <v>9</v>
      </c>
      <c r="AA193" s="228">
        <v>-97.4</v>
      </c>
      <c r="AB193" s="229">
        <v>-2.0400000000000001E-2</v>
      </c>
      <c r="AC193" s="228">
        <v>13.8</v>
      </c>
      <c r="AD193" s="228">
        <v>9</v>
      </c>
      <c r="AE193" s="228">
        <v>4.8</v>
      </c>
      <c r="AF193" s="229">
        <v>3.2000000000000002E-3</v>
      </c>
      <c r="AG193" s="228">
        <v>-88.4</v>
      </c>
      <c r="AH193" s="228">
        <v>-109.4</v>
      </c>
      <c r="AI193" s="228">
        <v>21</v>
      </c>
      <c r="AJ193" s="229">
        <v>-2.0400000000000001E-2</v>
      </c>
      <c r="AK193" s="228">
        <v>-98.2</v>
      </c>
      <c r="AL193" s="228">
        <v>-113.9</v>
      </c>
      <c r="AM193" s="228">
        <v>15.7</v>
      </c>
      <c r="AN193" s="229">
        <v>-2.2599999999999999E-2</v>
      </c>
      <c r="AO193" s="231">
        <v>4350.08</v>
      </c>
      <c r="AP193" s="231">
        <v>4250.8599999999997</v>
      </c>
      <c r="AQ193" s="228">
        <v>0</v>
      </c>
      <c r="AR193" s="230">
        <v>735700</v>
      </c>
      <c r="AS193" s="230">
        <v>1679000</v>
      </c>
      <c r="AT193" s="230">
        <v>-943300</v>
      </c>
      <c r="AU193" s="229">
        <v>-0.56179999999999997</v>
      </c>
      <c r="AV193" s="230">
        <v>328100</v>
      </c>
      <c r="AW193" s="230">
        <v>736500</v>
      </c>
      <c r="AX193" s="230">
        <v>-408400</v>
      </c>
      <c r="AY193" s="229">
        <v>-0.55449999999999999</v>
      </c>
      <c r="AZ193" s="230">
        <v>394600</v>
      </c>
      <c r="BA193" s="230">
        <v>930200</v>
      </c>
      <c r="BB193" s="230">
        <v>-535600</v>
      </c>
      <c r="BC193" s="229">
        <v>-0.57579999999999998</v>
      </c>
      <c r="BD193" s="230">
        <v>13000</v>
      </c>
      <c r="BE193" s="230">
        <v>12300</v>
      </c>
      <c r="BF193" s="228">
        <v>700</v>
      </c>
      <c r="BG193" s="229">
        <v>5.6899999999999999E-2</v>
      </c>
      <c r="BH193" s="230">
        <v>863900</v>
      </c>
      <c r="BI193" s="230">
        <v>2276200</v>
      </c>
      <c r="BJ193" s="230">
        <v>-1412300</v>
      </c>
      <c r="BK193" s="229">
        <v>-0.62050000000000005</v>
      </c>
      <c r="BL193" s="230">
        <v>213100</v>
      </c>
      <c r="BM193" s="230">
        <v>674200</v>
      </c>
      <c r="BN193" s="230">
        <v>-461100</v>
      </c>
      <c r="BO193" s="229">
        <v>-0.68389999999999995</v>
      </c>
      <c r="BP193" s="230">
        <v>1812700</v>
      </c>
      <c r="BQ193" s="230">
        <v>4629400</v>
      </c>
      <c r="BR193" s="230">
        <v>-2816700</v>
      </c>
      <c r="BS193" s="229">
        <v>-0.60840000000000005</v>
      </c>
      <c r="BT193" s="230">
        <v>198359</v>
      </c>
      <c r="BU193" s="230">
        <v>302176</v>
      </c>
      <c r="BV193" s="230">
        <v>-103817</v>
      </c>
      <c r="BW193" s="229">
        <v>-0.34360000000000002</v>
      </c>
      <c r="BX193" s="230">
        <v>1874450</v>
      </c>
      <c r="BY193" s="230">
        <v>2151475</v>
      </c>
      <c r="BZ193" s="230">
        <v>-277025</v>
      </c>
      <c r="CA193" s="229">
        <v>-0.1288</v>
      </c>
      <c r="CB193" s="230">
        <v>140100</v>
      </c>
      <c r="CC193" s="230">
        <v>262300</v>
      </c>
      <c r="CD193" s="230">
        <v>-122200</v>
      </c>
      <c r="CE193" s="229">
        <v>-0.46589999999999998</v>
      </c>
      <c r="CF193" s="230">
        <v>1827700</v>
      </c>
      <c r="CG193" s="230">
        <v>1849800</v>
      </c>
      <c r="CH193" s="230">
        <v>-22100</v>
      </c>
      <c r="CI193" s="229">
        <v>-1.1900000000000001E-2</v>
      </c>
      <c r="CJ193" s="230">
        <v>46750</v>
      </c>
      <c r="CK193" s="230">
        <v>39375</v>
      </c>
      <c r="CL193" s="230">
        <v>7375</v>
      </c>
      <c r="CM193" s="229">
        <v>0.18729999999999999</v>
      </c>
      <c r="CN193" s="230">
        <v>324550</v>
      </c>
      <c r="CO193" s="230">
        <v>1095450</v>
      </c>
      <c r="CP193" s="230">
        <v>-770900</v>
      </c>
      <c r="CQ193" s="229">
        <v>-0.70369999999999999</v>
      </c>
      <c r="CR193" s="230">
        <v>229825</v>
      </c>
      <c r="CS193" s="230">
        <v>554225</v>
      </c>
      <c r="CT193" s="230">
        <v>-324400</v>
      </c>
      <c r="CU193" s="229">
        <v>-0.58530000000000004</v>
      </c>
      <c r="CV193" s="230">
        <v>2428825</v>
      </c>
      <c r="CW193" s="230">
        <v>3801150</v>
      </c>
      <c r="CX193" s="230">
        <v>-1372325</v>
      </c>
      <c r="CY193" s="229">
        <v>-0.36099999999999999</v>
      </c>
      <c r="CZ193" s="228">
        <v>31.69</v>
      </c>
      <c r="DA193" s="228">
        <v>31.91</v>
      </c>
      <c r="DB193" s="228">
        <v>-0.22</v>
      </c>
      <c r="DC193" s="228">
        <v>-0.22</v>
      </c>
      <c r="DD193" s="228">
        <v>39.04</v>
      </c>
      <c r="DE193" s="228">
        <v>39.119999999999997</v>
      </c>
      <c r="DF193" s="228">
        <v>-7.35</v>
      </c>
      <c r="DG193" s="228">
        <v>-0.08</v>
      </c>
      <c r="DH193" s="228">
        <v>31.94</v>
      </c>
      <c r="DI193" s="228">
        <v>32.04</v>
      </c>
      <c r="DJ193" s="228">
        <v>-0.1</v>
      </c>
      <c r="DK193" s="228">
        <v>-0.1</v>
      </c>
      <c r="DL193" s="228">
        <v>30.58</v>
      </c>
      <c r="DM193" s="228">
        <v>31.47</v>
      </c>
      <c r="DN193" s="228">
        <v>-0.89</v>
      </c>
      <c r="DO193" s="228">
        <v>-0.89</v>
      </c>
      <c r="DP193" s="228">
        <v>0.71</v>
      </c>
      <c r="DQ193" s="228">
        <v>0.51</v>
      </c>
      <c r="DR193" s="228">
        <v>0.2</v>
      </c>
      <c r="DS193" s="229">
        <v>0.39219999999999999</v>
      </c>
      <c r="DT193" s="231">
        <v>4500</v>
      </c>
      <c r="DU193" s="231">
        <v>3800</v>
      </c>
      <c r="DV193" s="228">
        <v>0.25</v>
      </c>
      <c r="DW193" s="228">
        <v>0.3</v>
      </c>
      <c r="DX193" s="228">
        <v>-0.05</v>
      </c>
      <c r="DY193" s="229">
        <v>-0.16669999999999999</v>
      </c>
      <c r="DZ193" s="229">
        <v>0.93049999999999999</v>
      </c>
      <c r="EA193" s="230">
        <v>1889175</v>
      </c>
      <c r="EB193" s="229">
        <v>-2.35E-2</v>
      </c>
      <c r="EC193" s="229">
        <v>0.93049999999999999</v>
      </c>
      <c r="ED193" s="228">
        <v>-99.22</v>
      </c>
      <c r="EE193" s="229">
        <v>-2.2800000000000001E-2</v>
      </c>
      <c r="EF193" s="230">
        <v>94227</v>
      </c>
      <c r="EG193" s="230">
        <v>90674</v>
      </c>
      <c r="EH193" s="229">
        <v>3.9199999999999999E-2</v>
      </c>
      <c r="EI193" s="229">
        <v>0.47499999999999998</v>
      </c>
      <c r="EJ193" s="231">
        <v>39381.29</v>
      </c>
      <c r="EK193" s="231">
        <v>9221.43</v>
      </c>
      <c r="EL193" s="231">
        <v>31735.91</v>
      </c>
      <c r="EM193" s="231">
        <v>11984</v>
      </c>
      <c r="EN193" s="231">
        <v>80338.63</v>
      </c>
      <c r="EO193" s="231">
        <v>203631.5</v>
      </c>
      <c r="EP193" s="231">
        <v>-123292.87</v>
      </c>
      <c r="EQ193" s="229">
        <v>-0.60550000000000004</v>
      </c>
      <c r="ER193" s="231">
        <v>14566</v>
      </c>
      <c r="ES193" s="231">
        <v>9793</v>
      </c>
      <c r="ET193" s="231">
        <v>79607</v>
      </c>
      <c r="EU193" s="231">
        <v>5241946</v>
      </c>
      <c r="EV193" s="231">
        <v>103966</v>
      </c>
      <c r="EW193" s="231">
        <v>164118</v>
      </c>
      <c r="EX193" s="231">
        <v>-60152</v>
      </c>
      <c r="EY193" s="229">
        <v>-0.36649999999999999</v>
      </c>
      <c r="EZ193" s="229">
        <v>0.46329999999999999</v>
      </c>
      <c r="FA193" s="227" t="s">
        <v>691</v>
      </c>
      <c r="FB193" s="161">
        <f t="shared" si="4"/>
        <v>0</v>
      </c>
    </row>
    <row r="194" spans="1:158" ht="17.25" thickBot="1" x14ac:dyDescent="0.3">
      <c r="A194" s="226">
        <v>46168</v>
      </c>
      <c r="B194" s="227" t="s">
        <v>161</v>
      </c>
      <c r="C194" s="227" t="s">
        <v>293</v>
      </c>
      <c r="D194" s="228">
        <v>1450</v>
      </c>
      <c r="E194" s="228">
        <v>421.95</v>
      </c>
      <c r="F194" s="228">
        <v>414.3</v>
      </c>
      <c r="G194" s="228">
        <v>7.65</v>
      </c>
      <c r="H194" s="229">
        <v>1.8499999999999999E-2</v>
      </c>
      <c r="I194" s="228">
        <v>420.95</v>
      </c>
      <c r="J194" s="228">
        <v>413.55</v>
      </c>
      <c r="K194" s="228">
        <v>7.4</v>
      </c>
      <c r="L194" s="229">
        <v>1.7899999999999999E-2</v>
      </c>
      <c r="M194" s="228">
        <v>420.7</v>
      </c>
      <c r="N194" s="228">
        <v>414.35</v>
      </c>
      <c r="O194" s="228">
        <v>6.35</v>
      </c>
      <c r="P194" s="229">
        <v>1.5299999999999999E-2</v>
      </c>
      <c r="Q194" s="228">
        <v>421.95</v>
      </c>
      <c r="R194" s="228">
        <v>414.3</v>
      </c>
      <c r="S194" s="228">
        <v>7.65</v>
      </c>
      <c r="T194" s="229">
        <v>1.8499999999999999E-2</v>
      </c>
      <c r="U194" s="228">
        <v>424.55</v>
      </c>
      <c r="V194" s="228">
        <v>416.55</v>
      </c>
      <c r="W194" s="228">
        <v>8</v>
      </c>
      <c r="X194" s="229">
        <v>1.9199999999999998E-2</v>
      </c>
      <c r="Y194" s="228">
        <v>1</v>
      </c>
      <c r="Z194" s="228">
        <v>0.8</v>
      </c>
      <c r="AA194" s="228">
        <v>0.2</v>
      </c>
      <c r="AB194" s="229">
        <v>2.3999999999999998E-3</v>
      </c>
      <c r="AC194" s="228">
        <v>-0.25</v>
      </c>
      <c r="AD194" s="228">
        <v>0.8</v>
      </c>
      <c r="AE194" s="228">
        <v>-1.05</v>
      </c>
      <c r="AF194" s="229">
        <v>-5.9999999999999995E-4</v>
      </c>
      <c r="AG194" s="228">
        <v>1</v>
      </c>
      <c r="AH194" s="228">
        <v>0.75</v>
      </c>
      <c r="AI194" s="228">
        <v>0.25</v>
      </c>
      <c r="AJ194" s="229">
        <v>2.3999999999999998E-3</v>
      </c>
      <c r="AK194" s="228">
        <v>3.6</v>
      </c>
      <c r="AL194" s="228">
        <v>3</v>
      </c>
      <c r="AM194" s="228">
        <v>0.6</v>
      </c>
      <c r="AN194" s="229">
        <v>8.6E-3</v>
      </c>
      <c r="AO194" s="228">
        <v>422.18</v>
      </c>
      <c r="AP194" s="228">
        <v>422.84</v>
      </c>
      <c r="AQ194" s="228">
        <v>0</v>
      </c>
      <c r="AR194" s="230">
        <v>34237400</v>
      </c>
      <c r="AS194" s="230">
        <v>29007250</v>
      </c>
      <c r="AT194" s="230">
        <v>5230150</v>
      </c>
      <c r="AU194" s="229">
        <v>0.18029999999999999</v>
      </c>
      <c r="AV194" s="230">
        <v>12213350</v>
      </c>
      <c r="AW194" s="230">
        <v>14494200</v>
      </c>
      <c r="AX194" s="230">
        <v>-2280850</v>
      </c>
      <c r="AY194" s="229">
        <v>-0.15740000000000001</v>
      </c>
      <c r="AZ194" s="230">
        <v>21591950</v>
      </c>
      <c r="BA194" s="230">
        <v>14214350</v>
      </c>
      <c r="BB194" s="230">
        <v>7377600</v>
      </c>
      <c r="BC194" s="229">
        <v>0.51900000000000002</v>
      </c>
      <c r="BD194" s="230">
        <v>432100</v>
      </c>
      <c r="BE194" s="230">
        <v>298700</v>
      </c>
      <c r="BF194" s="230">
        <v>133400</v>
      </c>
      <c r="BG194" s="229">
        <v>0.4466</v>
      </c>
      <c r="BH194" s="230">
        <v>77416950</v>
      </c>
      <c r="BI194" s="230">
        <v>41180000</v>
      </c>
      <c r="BJ194" s="230">
        <v>36236950</v>
      </c>
      <c r="BK194" s="229">
        <v>0.88</v>
      </c>
      <c r="BL194" s="230">
        <v>23210150</v>
      </c>
      <c r="BM194" s="230">
        <v>20824900</v>
      </c>
      <c r="BN194" s="230">
        <v>2385250</v>
      </c>
      <c r="BO194" s="229">
        <v>0.1145</v>
      </c>
      <c r="BP194" s="230">
        <v>134864500</v>
      </c>
      <c r="BQ194" s="230">
        <v>91012150</v>
      </c>
      <c r="BR194" s="230">
        <v>43852350</v>
      </c>
      <c r="BS194" s="229">
        <v>0.48180000000000001</v>
      </c>
      <c r="BT194" s="230">
        <v>10289940</v>
      </c>
      <c r="BU194" s="230">
        <v>3824946</v>
      </c>
      <c r="BV194" s="230">
        <v>6464994</v>
      </c>
      <c r="BW194" s="229">
        <v>1.6901999999999999</v>
      </c>
      <c r="BX194" s="230">
        <v>58928000</v>
      </c>
      <c r="BY194" s="230">
        <v>61181300</v>
      </c>
      <c r="BZ194" s="230">
        <v>-2253300</v>
      </c>
      <c r="CA194" s="229">
        <v>-3.6799999999999999E-2</v>
      </c>
      <c r="CB194" s="230">
        <v>8769600</v>
      </c>
      <c r="CC194" s="230">
        <v>12989100</v>
      </c>
      <c r="CD194" s="230">
        <v>-4219500</v>
      </c>
      <c r="CE194" s="229">
        <v>-0.32479999999999998</v>
      </c>
      <c r="CF194" s="230">
        <v>52807550</v>
      </c>
      <c r="CG194" s="230">
        <v>42189200</v>
      </c>
      <c r="CH194" s="230">
        <v>10618350</v>
      </c>
      <c r="CI194" s="229">
        <v>0.25169999999999998</v>
      </c>
      <c r="CJ194" s="230">
        <v>6120450</v>
      </c>
      <c r="CK194" s="230">
        <v>6003000</v>
      </c>
      <c r="CL194" s="230">
        <v>117450</v>
      </c>
      <c r="CM194" s="229">
        <v>1.9599999999999999E-2</v>
      </c>
      <c r="CN194" s="230">
        <v>19147250</v>
      </c>
      <c r="CO194" s="230">
        <v>38842600</v>
      </c>
      <c r="CP194" s="230">
        <v>-19695350</v>
      </c>
      <c r="CQ194" s="229">
        <v>-0.5071</v>
      </c>
      <c r="CR194" s="230">
        <v>12717950</v>
      </c>
      <c r="CS194" s="230">
        <v>22005200</v>
      </c>
      <c r="CT194" s="230">
        <v>-9287250</v>
      </c>
      <c r="CU194" s="229">
        <v>-0.42199999999999999</v>
      </c>
      <c r="CV194" s="230">
        <v>90793200</v>
      </c>
      <c r="CW194" s="230">
        <v>122029100</v>
      </c>
      <c r="CX194" s="230">
        <v>-31235900</v>
      </c>
      <c r="CY194" s="229">
        <v>-0.25600000000000001</v>
      </c>
      <c r="CZ194" s="228">
        <v>24.76</v>
      </c>
      <c r="DA194" s="228">
        <v>24.24</v>
      </c>
      <c r="DB194" s="228">
        <v>0.52</v>
      </c>
      <c r="DC194" s="228">
        <v>0.52</v>
      </c>
      <c r="DD194" s="228">
        <v>31.65</v>
      </c>
      <c r="DE194" s="228">
        <v>31.63</v>
      </c>
      <c r="DF194" s="228">
        <v>-6.89</v>
      </c>
      <c r="DG194" s="228">
        <v>0.02</v>
      </c>
      <c r="DH194" s="228">
        <v>24.88</v>
      </c>
      <c r="DI194" s="228">
        <v>24.23</v>
      </c>
      <c r="DJ194" s="228">
        <v>0.65</v>
      </c>
      <c r="DK194" s="228">
        <v>0.65</v>
      </c>
      <c r="DL194" s="228">
        <v>24.37</v>
      </c>
      <c r="DM194" s="228">
        <v>24.24</v>
      </c>
      <c r="DN194" s="228">
        <v>0.13</v>
      </c>
      <c r="DO194" s="228">
        <v>0.13</v>
      </c>
      <c r="DP194" s="228">
        <v>0.66</v>
      </c>
      <c r="DQ194" s="228">
        <v>0.56999999999999995</v>
      </c>
      <c r="DR194" s="228">
        <v>0.09</v>
      </c>
      <c r="DS194" s="229">
        <v>0.15790000000000001</v>
      </c>
      <c r="DT194" s="228">
        <v>420</v>
      </c>
      <c r="DU194" s="228">
        <v>420</v>
      </c>
      <c r="DV194" s="228">
        <v>0.3</v>
      </c>
      <c r="DW194" s="228">
        <v>0.51</v>
      </c>
      <c r="DX194" s="228">
        <v>-0.21</v>
      </c>
      <c r="DY194" s="229">
        <v>-0.4118</v>
      </c>
      <c r="DZ194" s="229">
        <v>0.87050000000000005</v>
      </c>
      <c r="EA194" s="230">
        <v>48192200</v>
      </c>
      <c r="EB194" s="229">
        <v>3.0000000000000001E-3</v>
      </c>
      <c r="EC194" s="229">
        <v>0.87050000000000005</v>
      </c>
      <c r="ED194" s="228">
        <v>0.66</v>
      </c>
      <c r="EE194" s="229">
        <v>1.6000000000000001E-3</v>
      </c>
      <c r="EF194" s="230">
        <v>4313440</v>
      </c>
      <c r="EG194" s="230">
        <v>1680587</v>
      </c>
      <c r="EH194" s="229">
        <v>1.5666</v>
      </c>
      <c r="EI194" s="229">
        <v>0.41920000000000002</v>
      </c>
      <c r="EJ194" s="231">
        <v>340082.57</v>
      </c>
      <c r="EK194" s="231">
        <v>98035.67</v>
      </c>
      <c r="EL194" s="231">
        <v>144698.96</v>
      </c>
      <c r="EM194" s="231">
        <v>16760</v>
      </c>
      <c r="EN194" s="231">
        <v>582817.19999999995</v>
      </c>
      <c r="EO194" s="231">
        <v>383438.59</v>
      </c>
      <c r="EP194" s="231">
        <v>199378.61</v>
      </c>
      <c r="EQ194" s="229">
        <v>0.52</v>
      </c>
      <c r="ER194" s="231">
        <v>83796</v>
      </c>
      <c r="ES194" s="231">
        <v>52207</v>
      </c>
      <c r="ET194" s="231">
        <v>248806</v>
      </c>
      <c r="EU194" s="231">
        <v>169808198</v>
      </c>
      <c r="EV194" s="231">
        <v>384809</v>
      </c>
      <c r="EW194" s="231">
        <v>516842</v>
      </c>
      <c r="EX194" s="231">
        <v>-132033</v>
      </c>
      <c r="EY194" s="229">
        <v>-0.2555</v>
      </c>
      <c r="EZ194" s="229">
        <v>0.53469999999999995</v>
      </c>
      <c r="FA194" s="227" t="s">
        <v>691</v>
      </c>
      <c r="FB194" s="161">
        <f t="shared" si="4"/>
        <v>0</v>
      </c>
    </row>
    <row r="195" spans="1:158" ht="17.25" thickBot="1" x14ac:dyDescent="0.3">
      <c r="A195" s="226">
        <v>46168</v>
      </c>
      <c r="B195" s="227" t="s">
        <v>227</v>
      </c>
      <c r="C195" s="227" t="s">
        <v>294</v>
      </c>
      <c r="D195" s="228">
        <v>2750</v>
      </c>
      <c r="E195" s="228">
        <v>208.1</v>
      </c>
      <c r="F195" s="228">
        <v>207.97</v>
      </c>
      <c r="G195" s="228">
        <v>0.13</v>
      </c>
      <c r="H195" s="229">
        <v>5.9999999999999995E-4</v>
      </c>
      <c r="I195" s="228">
        <v>210.47</v>
      </c>
      <c r="J195" s="228">
        <v>210.22</v>
      </c>
      <c r="K195" s="228">
        <v>0.25</v>
      </c>
      <c r="L195" s="229">
        <v>1.1999999999999999E-3</v>
      </c>
      <c r="M195" s="228">
        <v>210.32</v>
      </c>
      <c r="N195" s="228">
        <v>210.65</v>
      </c>
      <c r="O195" s="228">
        <v>-0.33</v>
      </c>
      <c r="P195" s="229">
        <v>-1.6000000000000001E-3</v>
      </c>
      <c r="Q195" s="228">
        <v>208.1</v>
      </c>
      <c r="R195" s="228">
        <v>207.97</v>
      </c>
      <c r="S195" s="228">
        <v>0.13</v>
      </c>
      <c r="T195" s="229">
        <v>5.9999999999999995E-4</v>
      </c>
      <c r="U195" s="228">
        <v>209.39</v>
      </c>
      <c r="V195" s="228">
        <v>209.02</v>
      </c>
      <c r="W195" s="228">
        <v>0.37</v>
      </c>
      <c r="X195" s="229">
        <v>1.8E-3</v>
      </c>
      <c r="Y195" s="228">
        <v>-2.37</v>
      </c>
      <c r="Z195" s="228">
        <v>0.43</v>
      </c>
      <c r="AA195" s="228">
        <v>-2.8</v>
      </c>
      <c r="AB195" s="229">
        <v>-1.1299999999999999E-2</v>
      </c>
      <c r="AC195" s="228">
        <v>-0.15</v>
      </c>
      <c r="AD195" s="228">
        <v>0.43</v>
      </c>
      <c r="AE195" s="228">
        <v>-0.57999999999999996</v>
      </c>
      <c r="AF195" s="229">
        <v>-6.9999999999999999E-4</v>
      </c>
      <c r="AG195" s="228">
        <v>-2.37</v>
      </c>
      <c r="AH195" s="228">
        <v>-2.25</v>
      </c>
      <c r="AI195" s="228">
        <v>-0.12</v>
      </c>
      <c r="AJ195" s="229">
        <v>-1.1299999999999999E-2</v>
      </c>
      <c r="AK195" s="228">
        <v>-1.08</v>
      </c>
      <c r="AL195" s="228">
        <v>-1.2</v>
      </c>
      <c r="AM195" s="228">
        <v>0.12</v>
      </c>
      <c r="AN195" s="229">
        <v>-5.1000000000000004E-3</v>
      </c>
      <c r="AO195" s="228">
        <v>210.29</v>
      </c>
      <c r="AP195" s="228">
        <v>207.83</v>
      </c>
      <c r="AQ195" s="228">
        <v>0</v>
      </c>
      <c r="AR195" s="230">
        <v>82186500</v>
      </c>
      <c r="AS195" s="230">
        <v>83396500</v>
      </c>
      <c r="AT195" s="230">
        <v>-1210000</v>
      </c>
      <c r="AU195" s="229">
        <v>-1.4500000000000001E-2</v>
      </c>
      <c r="AV195" s="230">
        <v>35332000</v>
      </c>
      <c r="AW195" s="230">
        <v>42394000</v>
      </c>
      <c r="AX195" s="230">
        <v>-7062000</v>
      </c>
      <c r="AY195" s="229">
        <v>-0.1666</v>
      </c>
      <c r="AZ195" s="230">
        <v>46024000</v>
      </c>
      <c r="BA195" s="230">
        <v>40394750</v>
      </c>
      <c r="BB195" s="230">
        <v>5629250</v>
      </c>
      <c r="BC195" s="229">
        <v>0.1394</v>
      </c>
      <c r="BD195" s="230">
        <v>830500</v>
      </c>
      <c r="BE195" s="230">
        <v>607750</v>
      </c>
      <c r="BF195" s="230">
        <v>222750</v>
      </c>
      <c r="BG195" s="229">
        <v>0.36649999999999999</v>
      </c>
      <c r="BH195" s="230">
        <v>102022250</v>
      </c>
      <c r="BI195" s="230">
        <v>170439500</v>
      </c>
      <c r="BJ195" s="230">
        <v>-68417250</v>
      </c>
      <c r="BK195" s="229">
        <v>-0.40139999999999998</v>
      </c>
      <c r="BL195" s="230">
        <v>69635500</v>
      </c>
      <c r="BM195" s="230">
        <v>99849750</v>
      </c>
      <c r="BN195" s="230">
        <v>-30214250</v>
      </c>
      <c r="BO195" s="229">
        <v>-0.30259999999999998</v>
      </c>
      <c r="BP195" s="230">
        <v>253844250</v>
      </c>
      <c r="BQ195" s="230">
        <v>353685750</v>
      </c>
      <c r="BR195" s="230">
        <v>-99841500</v>
      </c>
      <c r="BS195" s="229">
        <v>-0.2823</v>
      </c>
      <c r="BT195" s="230">
        <v>18306305</v>
      </c>
      <c r="BU195" s="230">
        <v>24611794</v>
      </c>
      <c r="BV195" s="230">
        <v>-6305489</v>
      </c>
      <c r="BW195" s="229">
        <v>-0.25619999999999998</v>
      </c>
      <c r="BX195" s="230">
        <v>191721750</v>
      </c>
      <c r="BY195" s="230">
        <v>206508500</v>
      </c>
      <c r="BZ195" s="230">
        <v>-14786750</v>
      </c>
      <c r="CA195" s="229">
        <v>-7.1599999999999997E-2</v>
      </c>
      <c r="CB195" s="230">
        <v>25792250</v>
      </c>
      <c r="CC195" s="230">
        <v>34559250</v>
      </c>
      <c r="CD195" s="230">
        <v>-8767000</v>
      </c>
      <c r="CE195" s="229">
        <v>-0.25369999999999998</v>
      </c>
      <c r="CF195" s="230">
        <v>157602500</v>
      </c>
      <c r="CG195" s="230">
        <v>138107750</v>
      </c>
      <c r="CH195" s="230">
        <v>19494750</v>
      </c>
      <c r="CI195" s="229">
        <v>0.14119999999999999</v>
      </c>
      <c r="CJ195" s="230">
        <v>34119250</v>
      </c>
      <c r="CK195" s="230">
        <v>33841500</v>
      </c>
      <c r="CL195" s="230">
        <v>277750</v>
      </c>
      <c r="CM195" s="229">
        <v>8.2000000000000007E-3</v>
      </c>
      <c r="CN195" s="230">
        <v>45523500</v>
      </c>
      <c r="CO195" s="230">
        <v>119897250</v>
      </c>
      <c r="CP195" s="230">
        <v>-74373750</v>
      </c>
      <c r="CQ195" s="229">
        <v>-0.62029999999999996</v>
      </c>
      <c r="CR195" s="230">
        <v>27203000</v>
      </c>
      <c r="CS195" s="230">
        <v>72283750</v>
      </c>
      <c r="CT195" s="230">
        <v>-45080750</v>
      </c>
      <c r="CU195" s="229">
        <v>-0.62370000000000003</v>
      </c>
      <c r="CV195" s="230">
        <v>264448250</v>
      </c>
      <c r="CW195" s="230">
        <v>398689500</v>
      </c>
      <c r="CX195" s="230">
        <v>-134241250</v>
      </c>
      <c r="CY195" s="229">
        <v>-0.3367</v>
      </c>
      <c r="CZ195" s="228">
        <v>25.17</v>
      </c>
      <c r="DA195" s="228">
        <v>26.36</v>
      </c>
      <c r="DB195" s="228">
        <v>-1.19</v>
      </c>
      <c r="DC195" s="228">
        <v>-1.19</v>
      </c>
      <c r="DD195" s="228">
        <v>35.090000000000003</v>
      </c>
      <c r="DE195" s="228">
        <v>35.18</v>
      </c>
      <c r="DF195" s="228">
        <v>-9.92</v>
      </c>
      <c r="DG195" s="228">
        <v>-0.09</v>
      </c>
      <c r="DH195" s="228">
        <v>25.44</v>
      </c>
      <c r="DI195" s="228">
        <v>26.48</v>
      </c>
      <c r="DJ195" s="228">
        <v>-1.04</v>
      </c>
      <c r="DK195" s="228">
        <v>-1.04</v>
      </c>
      <c r="DL195" s="228">
        <v>24.74</v>
      </c>
      <c r="DM195" s="228">
        <v>26.11</v>
      </c>
      <c r="DN195" s="228">
        <v>-1.37</v>
      </c>
      <c r="DO195" s="228">
        <v>-1.37</v>
      </c>
      <c r="DP195" s="228">
        <v>0.6</v>
      </c>
      <c r="DQ195" s="228">
        <v>0.6</v>
      </c>
      <c r="DR195" s="228">
        <v>0</v>
      </c>
      <c r="DS195" s="229">
        <v>0</v>
      </c>
      <c r="DT195" s="228">
        <v>210</v>
      </c>
      <c r="DU195" s="228">
        <v>210</v>
      </c>
      <c r="DV195" s="228">
        <v>0.68</v>
      </c>
      <c r="DW195" s="228">
        <v>0.59</v>
      </c>
      <c r="DX195" s="228">
        <v>0.09</v>
      </c>
      <c r="DY195" s="229">
        <v>0.1525</v>
      </c>
      <c r="DZ195" s="229">
        <v>0.88139999999999996</v>
      </c>
      <c r="EA195" s="230">
        <v>171949250</v>
      </c>
      <c r="EB195" s="229">
        <v>-1.06E-2</v>
      </c>
      <c r="EC195" s="229">
        <v>0.88139999999999996</v>
      </c>
      <c r="ED195" s="228">
        <v>-2.46</v>
      </c>
      <c r="EE195" s="229">
        <v>-1.17E-2</v>
      </c>
      <c r="EF195" s="230">
        <v>7642496</v>
      </c>
      <c r="EG195" s="230">
        <v>12806927</v>
      </c>
      <c r="EH195" s="229">
        <v>-0.40329999999999999</v>
      </c>
      <c r="EI195" s="229">
        <v>0.41749999999999998</v>
      </c>
      <c r="EJ195" s="231">
        <v>220447.01</v>
      </c>
      <c r="EK195" s="231">
        <v>145634.09</v>
      </c>
      <c r="EL195" s="231">
        <v>171688.92</v>
      </c>
      <c r="EM195" s="231">
        <v>29986</v>
      </c>
      <c r="EN195" s="231">
        <v>537770.02</v>
      </c>
      <c r="EO195" s="231">
        <v>749514.87</v>
      </c>
      <c r="EP195" s="231">
        <v>-211744.85</v>
      </c>
      <c r="EQ195" s="229">
        <v>-0.28249999999999997</v>
      </c>
      <c r="ER195" s="231">
        <v>99099</v>
      </c>
      <c r="ES195" s="231">
        <v>55622</v>
      </c>
      <c r="ET195" s="231">
        <v>399413</v>
      </c>
      <c r="EU195" s="231">
        <v>1049350971</v>
      </c>
      <c r="EV195" s="231">
        <v>554134</v>
      </c>
      <c r="EW195" s="231">
        <v>840282</v>
      </c>
      <c r="EX195" s="231">
        <v>-286148</v>
      </c>
      <c r="EY195" s="229">
        <v>-0.34050000000000002</v>
      </c>
      <c r="EZ195" s="229">
        <v>0.252</v>
      </c>
      <c r="FA195" s="227" t="s">
        <v>691</v>
      </c>
      <c r="FB195" s="161">
        <f t="shared" ref="FB195:FB258" si="5">BX262-CB262</f>
        <v>0</v>
      </c>
    </row>
    <row r="196" spans="1:158" ht="17.25" thickBot="1" x14ac:dyDescent="0.3">
      <c r="A196" s="226">
        <v>46168</v>
      </c>
      <c r="B196" s="227" t="s">
        <v>221</v>
      </c>
      <c r="C196" s="227" t="s">
        <v>295</v>
      </c>
      <c r="D196" s="228">
        <v>175</v>
      </c>
      <c r="E196" s="231">
        <v>2287.5</v>
      </c>
      <c r="F196" s="231">
        <v>2277.6999999999998</v>
      </c>
      <c r="G196" s="228">
        <v>9.8000000000000007</v>
      </c>
      <c r="H196" s="229">
        <v>4.3E-3</v>
      </c>
      <c r="I196" s="231">
        <v>2276.1999999999998</v>
      </c>
      <c r="J196" s="231">
        <v>2308.1999999999998</v>
      </c>
      <c r="K196" s="228">
        <v>-32</v>
      </c>
      <c r="L196" s="229">
        <v>-1.3899999999999999E-2</v>
      </c>
      <c r="M196" s="231">
        <v>2275.6999999999998</v>
      </c>
      <c r="N196" s="231">
        <v>2316.4</v>
      </c>
      <c r="O196" s="228">
        <v>-40.700000000000003</v>
      </c>
      <c r="P196" s="229">
        <v>-1.7600000000000001E-2</v>
      </c>
      <c r="Q196" s="231">
        <v>2287.5</v>
      </c>
      <c r="R196" s="231">
        <v>2277.6999999999998</v>
      </c>
      <c r="S196" s="228">
        <v>9.8000000000000007</v>
      </c>
      <c r="T196" s="229">
        <v>4.3E-3</v>
      </c>
      <c r="U196" s="231">
        <v>2281.1</v>
      </c>
      <c r="V196" s="231">
        <v>2268.6</v>
      </c>
      <c r="W196" s="228">
        <v>12.5</v>
      </c>
      <c r="X196" s="229">
        <v>5.4999999999999997E-3</v>
      </c>
      <c r="Y196" s="228">
        <v>11.3</v>
      </c>
      <c r="Z196" s="228">
        <v>8.1999999999999993</v>
      </c>
      <c r="AA196" s="228">
        <v>3.1</v>
      </c>
      <c r="AB196" s="229">
        <v>5.0000000000000001E-3</v>
      </c>
      <c r="AC196" s="228">
        <v>-0.5</v>
      </c>
      <c r="AD196" s="228">
        <v>8.1999999999999993</v>
      </c>
      <c r="AE196" s="228">
        <v>-8.6999999999999993</v>
      </c>
      <c r="AF196" s="229">
        <v>-2.0000000000000001E-4</v>
      </c>
      <c r="AG196" s="228">
        <v>11.3</v>
      </c>
      <c r="AH196" s="228">
        <v>-30.5</v>
      </c>
      <c r="AI196" s="228">
        <v>41.8</v>
      </c>
      <c r="AJ196" s="229">
        <v>5.0000000000000001E-3</v>
      </c>
      <c r="AK196" s="228">
        <v>4.9000000000000004</v>
      </c>
      <c r="AL196" s="228">
        <v>-39.6</v>
      </c>
      <c r="AM196" s="228">
        <v>44.5</v>
      </c>
      <c r="AN196" s="229">
        <v>2.2000000000000001E-3</v>
      </c>
      <c r="AO196" s="231">
        <v>2292.7800000000002</v>
      </c>
      <c r="AP196" s="231">
        <v>2292.33</v>
      </c>
      <c r="AQ196" s="228">
        <v>0</v>
      </c>
      <c r="AR196" s="230">
        <v>10298400</v>
      </c>
      <c r="AS196" s="230">
        <v>24371900</v>
      </c>
      <c r="AT196" s="230">
        <v>-14073500</v>
      </c>
      <c r="AU196" s="229">
        <v>-0.57740000000000002</v>
      </c>
      <c r="AV196" s="230">
        <v>4146450</v>
      </c>
      <c r="AW196" s="230">
        <v>11048450</v>
      </c>
      <c r="AX196" s="230">
        <v>-6902000</v>
      </c>
      <c r="AY196" s="229">
        <v>-0.62470000000000003</v>
      </c>
      <c r="AZ196" s="230">
        <v>5695725</v>
      </c>
      <c r="BA196" s="230">
        <v>12880700</v>
      </c>
      <c r="BB196" s="230">
        <v>-7184975</v>
      </c>
      <c r="BC196" s="229">
        <v>-0.55779999999999996</v>
      </c>
      <c r="BD196" s="230">
        <v>456225</v>
      </c>
      <c r="BE196" s="230">
        <v>442750</v>
      </c>
      <c r="BF196" s="230">
        <v>13475</v>
      </c>
      <c r="BG196" s="229">
        <v>3.04E-2</v>
      </c>
      <c r="BH196" s="230">
        <v>14893375</v>
      </c>
      <c r="BI196" s="230">
        <v>22418025</v>
      </c>
      <c r="BJ196" s="230">
        <v>-7524650</v>
      </c>
      <c r="BK196" s="229">
        <v>-0.3357</v>
      </c>
      <c r="BL196" s="230">
        <v>9646525</v>
      </c>
      <c r="BM196" s="230">
        <v>12013225</v>
      </c>
      <c r="BN196" s="230">
        <v>-2366700</v>
      </c>
      <c r="BO196" s="229">
        <v>-0.19700000000000001</v>
      </c>
      <c r="BP196" s="230">
        <v>34838300</v>
      </c>
      <c r="BQ196" s="230">
        <v>58803150</v>
      </c>
      <c r="BR196" s="230">
        <v>-23964850</v>
      </c>
      <c r="BS196" s="229">
        <v>-0.40749999999999997</v>
      </c>
      <c r="BT196" s="230">
        <v>3691473</v>
      </c>
      <c r="BU196" s="230">
        <v>3361346</v>
      </c>
      <c r="BV196" s="230">
        <v>330127</v>
      </c>
      <c r="BW196" s="229">
        <v>9.8199999999999996E-2</v>
      </c>
      <c r="BX196" s="230">
        <v>40967925</v>
      </c>
      <c r="BY196" s="230">
        <v>45934650</v>
      </c>
      <c r="BZ196" s="230">
        <v>-4966725</v>
      </c>
      <c r="CA196" s="229">
        <v>-0.1081</v>
      </c>
      <c r="CB196" s="230">
        <v>3077900</v>
      </c>
      <c r="CC196" s="230">
        <v>5402075</v>
      </c>
      <c r="CD196" s="230">
        <v>-2324175</v>
      </c>
      <c r="CE196" s="229">
        <v>-0.43020000000000003</v>
      </c>
      <c r="CF196" s="230">
        <v>39171300</v>
      </c>
      <c r="CG196" s="230">
        <v>39020800</v>
      </c>
      <c r="CH196" s="230">
        <v>150500</v>
      </c>
      <c r="CI196" s="229">
        <v>3.8999999999999998E-3</v>
      </c>
      <c r="CJ196" s="230">
        <v>1796625</v>
      </c>
      <c r="CK196" s="230">
        <v>1511775</v>
      </c>
      <c r="CL196" s="230">
        <v>284850</v>
      </c>
      <c r="CM196" s="229">
        <v>0.18840000000000001</v>
      </c>
      <c r="CN196" s="230">
        <v>7363825</v>
      </c>
      <c r="CO196" s="230">
        <v>18410500</v>
      </c>
      <c r="CP196" s="230">
        <v>-11046675</v>
      </c>
      <c r="CQ196" s="229">
        <v>-0.6</v>
      </c>
      <c r="CR196" s="230">
        <v>7004100</v>
      </c>
      <c r="CS196" s="230">
        <v>12781300</v>
      </c>
      <c r="CT196" s="230">
        <v>-5777200</v>
      </c>
      <c r="CU196" s="229">
        <v>-0.45200000000000001</v>
      </c>
      <c r="CV196" s="230">
        <v>55335850</v>
      </c>
      <c r="CW196" s="230">
        <v>77126450</v>
      </c>
      <c r="CX196" s="230">
        <v>-21790600</v>
      </c>
      <c r="CY196" s="229">
        <v>-0.28249999999999997</v>
      </c>
      <c r="CZ196" s="228">
        <v>25.36</v>
      </c>
      <c r="DA196" s="228">
        <v>26.25</v>
      </c>
      <c r="DB196" s="228">
        <v>-0.89</v>
      </c>
      <c r="DC196" s="228">
        <v>-0.89</v>
      </c>
      <c r="DD196" s="228">
        <v>27.9</v>
      </c>
      <c r="DE196" s="228">
        <v>27.9</v>
      </c>
      <c r="DF196" s="228">
        <v>-2.54</v>
      </c>
      <c r="DG196" s="228">
        <v>0</v>
      </c>
      <c r="DH196" s="228">
        <v>25.27</v>
      </c>
      <c r="DI196" s="228">
        <v>26.5</v>
      </c>
      <c r="DJ196" s="228">
        <v>-1.23</v>
      </c>
      <c r="DK196" s="228">
        <v>-1.23</v>
      </c>
      <c r="DL196" s="228">
        <v>25.52</v>
      </c>
      <c r="DM196" s="228">
        <v>25.83</v>
      </c>
      <c r="DN196" s="228">
        <v>-0.31</v>
      </c>
      <c r="DO196" s="228">
        <v>-0.31</v>
      </c>
      <c r="DP196" s="228">
        <v>0.95</v>
      </c>
      <c r="DQ196" s="228">
        <v>0.69</v>
      </c>
      <c r="DR196" s="228">
        <v>0.26</v>
      </c>
      <c r="DS196" s="229">
        <v>0.37680000000000002</v>
      </c>
      <c r="DT196" s="231">
        <v>2300</v>
      </c>
      <c r="DU196" s="231">
        <v>2300</v>
      </c>
      <c r="DV196" s="228">
        <v>0.65</v>
      </c>
      <c r="DW196" s="228">
        <v>0.54</v>
      </c>
      <c r="DX196" s="228">
        <v>0.11</v>
      </c>
      <c r="DY196" s="229">
        <v>0.20369999999999999</v>
      </c>
      <c r="DZ196" s="229">
        <v>0.93010000000000004</v>
      </c>
      <c r="EA196" s="230">
        <v>40532575</v>
      </c>
      <c r="EB196" s="229">
        <v>5.1999999999999998E-3</v>
      </c>
      <c r="EC196" s="229">
        <v>0.93010000000000004</v>
      </c>
      <c r="ED196" s="228">
        <v>-0.45</v>
      </c>
      <c r="EE196" s="229">
        <v>-2.0000000000000001E-4</v>
      </c>
      <c r="EF196" s="230">
        <v>1867036</v>
      </c>
      <c r="EG196" s="230">
        <v>2125993</v>
      </c>
      <c r="EH196" s="229">
        <v>-0.12180000000000001</v>
      </c>
      <c r="EI196" s="229">
        <v>0.50580000000000003</v>
      </c>
      <c r="EJ196" s="231">
        <v>361954.24</v>
      </c>
      <c r="EK196" s="231">
        <v>233534.97</v>
      </c>
      <c r="EL196" s="231">
        <v>239038.45</v>
      </c>
      <c r="EM196" s="231">
        <v>112886</v>
      </c>
      <c r="EN196" s="231">
        <v>834527.66</v>
      </c>
      <c r="EO196" s="231">
        <v>1392464.49</v>
      </c>
      <c r="EP196" s="231">
        <v>-557936.82999999996</v>
      </c>
      <c r="EQ196" s="229">
        <v>-0.4007</v>
      </c>
      <c r="ER196" s="231">
        <v>176012</v>
      </c>
      <c r="ES196" s="231">
        <v>167319</v>
      </c>
      <c r="ET196" s="231">
        <v>937026</v>
      </c>
      <c r="EU196" s="231">
        <v>153229333</v>
      </c>
      <c r="EV196" s="231">
        <v>1280357</v>
      </c>
      <c r="EW196" s="231">
        <v>1802179</v>
      </c>
      <c r="EX196" s="231">
        <v>-521822</v>
      </c>
      <c r="EY196" s="229">
        <v>-0.28960000000000002</v>
      </c>
      <c r="EZ196" s="229">
        <v>0.36109999999999998</v>
      </c>
      <c r="FA196" s="227" t="s">
        <v>691</v>
      </c>
      <c r="FB196" s="161">
        <f t="shared" si="5"/>
        <v>0</v>
      </c>
    </row>
    <row r="197" spans="1:158" ht="17.25" thickBot="1" x14ac:dyDescent="0.3">
      <c r="A197" s="226">
        <v>46168</v>
      </c>
      <c r="B197" s="227" t="s">
        <v>221</v>
      </c>
      <c r="C197" s="227" t="s">
        <v>296</v>
      </c>
      <c r="D197" s="228">
        <v>600</v>
      </c>
      <c r="E197" s="231">
        <v>1452.3</v>
      </c>
      <c r="F197" s="231">
        <v>1427</v>
      </c>
      <c r="G197" s="228">
        <v>25.3</v>
      </c>
      <c r="H197" s="229">
        <v>1.77E-2</v>
      </c>
      <c r="I197" s="231">
        <v>1458.7</v>
      </c>
      <c r="J197" s="231">
        <v>1435.5</v>
      </c>
      <c r="K197" s="228">
        <v>23.2</v>
      </c>
      <c r="L197" s="229">
        <v>1.6199999999999999E-2</v>
      </c>
      <c r="M197" s="231">
        <v>1459.3</v>
      </c>
      <c r="N197" s="231">
        <v>1432</v>
      </c>
      <c r="O197" s="228">
        <v>27.3</v>
      </c>
      <c r="P197" s="229">
        <v>1.9099999999999999E-2</v>
      </c>
      <c r="Q197" s="231">
        <v>1452.3</v>
      </c>
      <c r="R197" s="231">
        <v>1427</v>
      </c>
      <c r="S197" s="228">
        <v>25.3</v>
      </c>
      <c r="T197" s="229">
        <v>1.77E-2</v>
      </c>
      <c r="U197" s="231">
        <v>1451.8</v>
      </c>
      <c r="V197" s="231">
        <v>1429.6</v>
      </c>
      <c r="W197" s="228">
        <v>22.2</v>
      </c>
      <c r="X197" s="229">
        <v>1.55E-2</v>
      </c>
      <c r="Y197" s="228">
        <v>-6.4</v>
      </c>
      <c r="Z197" s="228">
        <v>-3.5</v>
      </c>
      <c r="AA197" s="228">
        <v>-2.9</v>
      </c>
      <c r="AB197" s="229">
        <v>-4.4000000000000003E-3</v>
      </c>
      <c r="AC197" s="228">
        <v>0.6</v>
      </c>
      <c r="AD197" s="228">
        <v>-3.5</v>
      </c>
      <c r="AE197" s="228">
        <v>4.0999999999999996</v>
      </c>
      <c r="AF197" s="229">
        <v>4.0000000000000002E-4</v>
      </c>
      <c r="AG197" s="228">
        <v>-6.4</v>
      </c>
      <c r="AH197" s="228">
        <v>-8.5</v>
      </c>
      <c r="AI197" s="228">
        <v>2.1</v>
      </c>
      <c r="AJ197" s="229">
        <v>-4.4000000000000003E-3</v>
      </c>
      <c r="AK197" s="228">
        <v>-6.9</v>
      </c>
      <c r="AL197" s="228">
        <v>-5.9</v>
      </c>
      <c r="AM197" s="228">
        <v>-1</v>
      </c>
      <c r="AN197" s="229">
        <v>-4.7000000000000002E-3</v>
      </c>
      <c r="AO197" s="231">
        <v>1446.42</v>
      </c>
      <c r="AP197" s="231">
        <v>1441.64</v>
      </c>
      <c r="AQ197" s="228">
        <v>0</v>
      </c>
      <c r="AR197" s="230">
        <v>7375800</v>
      </c>
      <c r="AS197" s="230">
        <v>11551200</v>
      </c>
      <c r="AT197" s="230">
        <v>-4175400</v>
      </c>
      <c r="AU197" s="229">
        <v>-0.36149999999999999</v>
      </c>
      <c r="AV197" s="230">
        <v>3315000</v>
      </c>
      <c r="AW197" s="230">
        <v>5818800</v>
      </c>
      <c r="AX197" s="230">
        <v>-2503800</v>
      </c>
      <c r="AY197" s="229">
        <v>-0.43030000000000002</v>
      </c>
      <c r="AZ197" s="230">
        <v>3986400</v>
      </c>
      <c r="BA197" s="230">
        <v>5688600</v>
      </c>
      <c r="BB197" s="230">
        <v>-1702200</v>
      </c>
      <c r="BC197" s="229">
        <v>-0.29920000000000002</v>
      </c>
      <c r="BD197" s="230">
        <v>74400</v>
      </c>
      <c r="BE197" s="230">
        <v>43800</v>
      </c>
      <c r="BF197" s="230">
        <v>30600</v>
      </c>
      <c r="BG197" s="229">
        <v>0.6986</v>
      </c>
      <c r="BH197" s="230">
        <v>5721000</v>
      </c>
      <c r="BI197" s="230">
        <v>8628600</v>
      </c>
      <c r="BJ197" s="230">
        <v>-2907600</v>
      </c>
      <c r="BK197" s="229">
        <v>-0.33700000000000002</v>
      </c>
      <c r="BL197" s="230">
        <v>2545800</v>
      </c>
      <c r="BM197" s="230">
        <v>3612000</v>
      </c>
      <c r="BN197" s="230">
        <v>-1066200</v>
      </c>
      <c r="BO197" s="229">
        <v>-0.29520000000000002</v>
      </c>
      <c r="BP197" s="230">
        <v>15642600</v>
      </c>
      <c r="BQ197" s="230">
        <v>23791800</v>
      </c>
      <c r="BR197" s="230">
        <v>-8149200</v>
      </c>
      <c r="BS197" s="229">
        <v>-0.34250000000000003</v>
      </c>
      <c r="BT197" s="230">
        <v>2015415</v>
      </c>
      <c r="BU197" s="230">
        <v>924688</v>
      </c>
      <c r="BV197" s="230">
        <v>1090727</v>
      </c>
      <c r="BW197" s="229">
        <v>1.1796</v>
      </c>
      <c r="BX197" s="230">
        <v>18333600</v>
      </c>
      <c r="BY197" s="230">
        <v>19064400</v>
      </c>
      <c r="BZ197" s="230">
        <v>-730800</v>
      </c>
      <c r="CA197" s="229">
        <v>-3.8300000000000001E-2</v>
      </c>
      <c r="CB197" s="230">
        <v>1281000</v>
      </c>
      <c r="CC197" s="230">
        <v>2856600</v>
      </c>
      <c r="CD197" s="230">
        <v>-1575600</v>
      </c>
      <c r="CE197" s="229">
        <v>-0.55159999999999998</v>
      </c>
      <c r="CF197" s="230">
        <v>18177000</v>
      </c>
      <c r="CG197" s="230">
        <v>16098000</v>
      </c>
      <c r="CH197" s="230">
        <v>2079000</v>
      </c>
      <c r="CI197" s="229">
        <v>0.12909999999999999</v>
      </c>
      <c r="CJ197" s="230">
        <v>156600</v>
      </c>
      <c r="CK197" s="230">
        <v>109800</v>
      </c>
      <c r="CL197" s="230">
        <v>46800</v>
      </c>
      <c r="CM197" s="229">
        <v>0.42620000000000002</v>
      </c>
      <c r="CN197" s="230">
        <v>2473200</v>
      </c>
      <c r="CO197" s="230">
        <v>9961200</v>
      </c>
      <c r="CP197" s="230">
        <v>-7488000</v>
      </c>
      <c r="CQ197" s="229">
        <v>-0.75170000000000003</v>
      </c>
      <c r="CR197" s="230">
        <v>1987800</v>
      </c>
      <c r="CS197" s="230">
        <v>6251400</v>
      </c>
      <c r="CT197" s="230">
        <v>-4263600</v>
      </c>
      <c r="CU197" s="229">
        <v>-0.68200000000000005</v>
      </c>
      <c r="CV197" s="230">
        <v>22794600</v>
      </c>
      <c r="CW197" s="230">
        <v>35277000</v>
      </c>
      <c r="CX197" s="230">
        <v>-12482400</v>
      </c>
      <c r="CY197" s="229">
        <v>-0.3538</v>
      </c>
      <c r="CZ197" s="228">
        <v>26.26</v>
      </c>
      <c r="DA197" s="228">
        <v>27.67</v>
      </c>
      <c r="DB197" s="228">
        <v>-1.41</v>
      </c>
      <c r="DC197" s="228">
        <v>-1.41</v>
      </c>
      <c r="DD197" s="228">
        <v>32.85</v>
      </c>
      <c r="DE197" s="228">
        <v>32.86</v>
      </c>
      <c r="DF197" s="228">
        <v>-6.59</v>
      </c>
      <c r="DG197" s="228">
        <v>-0.01</v>
      </c>
      <c r="DH197" s="228">
        <v>25.92</v>
      </c>
      <c r="DI197" s="228">
        <v>27.41</v>
      </c>
      <c r="DJ197" s="228">
        <v>-1.49</v>
      </c>
      <c r="DK197" s="228">
        <v>-1.49</v>
      </c>
      <c r="DL197" s="228">
        <v>27.18</v>
      </c>
      <c r="DM197" s="228">
        <v>28.18</v>
      </c>
      <c r="DN197" s="228">
        <v>-1</v>
      </c>
      <c r="DO197" s="228">
        <v>-1</v>
      </c>
      <c r="DP197" s="228">
        <v>0.8</v>
      </c>
      <c r="DQ197" s="228">
        <v>0.63</v>
      </c>
      <c r="DR197" s="228">
        <v>0.17</v>
      </c>
      <c r="DS197" s="229">
        <v>0.26979999999999998</v>
      </c>
      <c r="DT197" s="231">
        <v>1460</v>
      </c>
      <c r="DU197" s="231">
        <v>1380</v>
      </c>
      <c r="DV197" s="228">
        <v>0.44</v>
      </c>
      <c r="DW197" s="228">
        <v>0.42</v>
      </c>
      <c r="DX197" s="228">
        <v>0.02</v>
      </c>
      <c r="DY197" s="229">
        <v>4.7600000000000003E-2</v>
      </c>
      <c r="DZ197" s="229">
        <v>0.93469999999999998</v>
      </c>
      <c r="EA197" s="230">
        <v>16207800</v>
      </c>
      <c r="EB197" s="229">
        <v>-4.7999999999999996E-3</v>
      </c>
      <c r="EC197" s="229">
        <v>0.93469999999999998</v>
      </c>
      <c r="ED197" s="228">
        <v>-4.78</v>
      </c>
      <c r="EE197" s="229">
        <v>-3.3E-3</v>
      </c>
      <c r="EF197" s="230">
        <v>1242414</v>
      </c>
      <c r="EG197" s="230">
        <v>293494</v>
      </c>
      <c r="EH197" s="229">
        <v>3.2332000000000001</v>
      </c>
      <c r="EI197" s="229">
        <v>0.61650000000000005</v>
      </c>
      <c r="EJ197" s="231">
        <v>85688.23</v>
      </c>
      <c r="EK197" s="231">
        <v>36451.19</v>
      </c>
      <c r="EL197" s="231">
        <v>106492.36</v>
      </c>
      <c r="EM197" s="231">
        <v>18805</v>
      </c>
      <c r="EN197" s="231">
        <v>228631.78</v>
      </c>
      <c r="EO197" s="231">
        <v>343905.98</v>
      </c>
      <c r="EP197" s="231">
        <v>-115274.2</v>
      </c>
      <c r="EQ197" s="229">
        <v>-0.3352</v>
      </c>
      <c r="ER197" s="231">
        <v>37145</v>
      </c>
      <c r="ES197" s="231">
        <v>27913</v>
      </c>
      <c r="ET197" s="231">
        <v>266258</v>
      </c>
      <c r="EU197" s="231">
        <v>95553300</v>
      </c>
      <c r="EV197" s="231">
        <v>331316</v>
      </c>
      <c r="EW197" s="231">
        <v>507151</v>
      </c>
      <c r="EX197" s="231">
        <v>-175835</v>
      </c>
      <c r="EY197" s="229">
        <v>-0.34670000000000001</v>
      </c>
      <c r="EZ197" s="229">
        <v>0.23860000000000001</v>
      </c>
      <c r="FA197" s="227" t="s">
        <v>691</v>
      </c>
      <c r="FB197" s="161">
        <f t="shared" si="5"/>
        <v>0</v>
      </c>
    </row>
    <row r="198" spans="1:158" ht="17.25" thickBot="1" x14ac:dyDescent="0.3">
      <c r="A198" s="226">
        <v>46168</v>
      </c>
      <c r="B198" s="227" t="s">
        <v>184</v>
      </c>
      <c r="C198" s="227" t="s">
        <v>594</v>
      </c>
      <c r="D198" s="228">
        <v>200</v>
      </c>
      <c r="E198" s="231">
        <v>3053.8</v>
      </c>
      <c r="F198" s="231">
        <v>3068.9</v>
      </c>
      <c r="G198" s="228">
        <v>-15.1</v>
      </c>
      <c r="H198" s="229">
        <v>-4.8999999999999998E-3</v>
      </c>
      <c r="I198" s="231">
        <v>3039.1</v>
      </c>
      <c r="J198" s="231">
        <v>3047.6</v>
      </c>
      <c r="K198" s="228">
        <v>-8.5</v>
      </c>
      <c r="L198" s="229">
        <v>-2.8E-3</v>
      </c>
      <c r="M198" s="231">
        <v>3039.9</v>
      </c>
      <c r="N198" s="231">
        <v>3047</v>
      </c>
      <c r="O198" s="228">
        <v>-7.1</v>
      </c>
      <c r="P198" s="229">
        <v>-2.3E-3</v>
      </c>
      <c r="Q198" s="231">
        <v>3053.8</v>
      </c>
      <c r="R198" s="231">
        <v>3068.9</v>
      </c>
      <c r="S198" s="228">
        <v>-15.1</v>
      </c>
      <c r="T198" s="229">
        <v>-4.8999999999999998E-3</v>
      </c>
      <c r="U198" s="231">
        <v>3043</v>
      </c>
      <c r="V198" s="231">
        <v>3074.9</v>
      </c>
      <c r="W198" s="228">
        <v>-31.9</v>
      </c>
      <c r="X198" s="229">
        <v>-1.04E-2</v>
      </c>
      <c r="Y198" s="228">
        <v>14.7</v>
      </c>
      <c r="Z198" s="228">
        <v>-0.6</v>
      </c>
      <c r="AA198" s="228">
        <v>15.3</v>
      </c>
      <c r="AB198" s="229">
        <v>4.7999999999999996E-3</v>
      </c>
      <c r="AC198" s="228">
        <v>0.8</v>
      </c>
      <c r="AD198" s="228">
        <v>-0.6</v>
      </c>
      <c r="AE198" s="228">
        <v>1.4</v>
      </c>
      <c r="AF198" s="229">
        <v>2.9999999999999997E-4</v>
      </c>
      <c r="AG198" s="228">
        <v>14.7</v>
      </c>
      <c r="AH198" s="228">
        <v>21.3</v>
      </c>
      <c r="AI198" s="228">
        <v>-6.6</v>
      </c>
      <c r="AJ198" s="229">
        <v>4.7999999999999996E-3</v>
      </c>
      <c r="AK198" s="228">
        <v>3.9</v>
      </c>
      <c r="AL198" s="228">
        <v>27.3</v>
      </c>
      <c r="AM198" s="228">
        <v>-23.4</v>
      </c>
      <c r="AN198" s="229">
        <v>1.2999999999999999E-3</v>
      </c>
      <c r="AO198" s="231">
        <v>3041.71</v>
      </c>
      <c r="AP198" s="231">
        <v>3059.78</v>
      </c>
      <c r="AQ198" s="228">
        <v>0</v>
      </c>
      <c r="AR198" s="230">
        <v>569600</v>
      </c>
      <c r="AS198" s="230">
        <v>1560400</v>
      </c>
      <c r="AT198" s="230">
        <v>-990800</v>
      </c>
      <c r="AU198" s="229">
        <v>-0.63500000000000001</v>
      </c>
      <c r="AV198" s="230">
        <v>282800</v>
      </c>
      <c r="AW198" s="230">
        <v>731400</v>
      </c>
      <c r="AX198" s="230">
        <v>-448600</v>
      </c>
      <c r="AY198" s="229">
        <v>-0.61329999999999996</v>
      </c>
      <c r="AZ198" s="230">
        <v>285600</v>
      </c>
      <c r="BA198" s="230">
        <v>825400</v>
      </c>
      <c r="BB198" s="230">
        <v>-539800</v>
      </c>
      <c r="BC198" s="229">
        <v>-0.65400000000000003</v>
      </c>
      <c r="BD198" s="230">
        <v>1200</v>
      </c>
      <c r="BE198" s="230">
        <v>3600</v>
      </c>
      <c r="BF198" s="230">
        <v>-2400</v>
      </c>
      <c r="BG198" s="229">
        <v>-0.66669999999999996</v>
      </c>
      <c r="BH198" s="230">
        <v>755400</v>
      </c>
      <c r="BI198" s="230">
        <v>2226600</v>
      </c>
      <c r="BJ198" s="230">
        <v>-1471200</v>
      </c>
      <c r="BK198" s="229">
        <v>-0.66069999999999995</v>
      </c>
      <c r="BL198" s="230">
        <v>252200</v>
      </c>
      <c r="BM198" s="230">
        <v>720800</v>
      </c>
      <c r="BN198" s="230">
        <v>-468600</v>
      </c>
      <c r="BO198" s="229">
        <v>-0.65010000000000001</v>
      </c>
      <c r="BP198" s="230">
        <v>1577200</v>
      </c>
      <c r="BQ198" s="230">
        <v>4507800</v>
      </c>
      <c r="BR198" s="230">
        <v>-2930600</v>
      </c>
      <c r="BS198" s="229">
        <v>-0.65010000000000001</v>
      </c>
      <c r="BT198" s="230">
        <v>171752</v>
      </c>
      <c r="BU198" s="230">
        <v>182737</v>
      </c>
      <c r="BV198" s="230">
        <v>-10985</v>
      </c>
      <c r="BW198" s="229">
        <v>-6.0100000000000001E-2</v>
      </c>
      <c r="BX198" s="230">
        <v>2237400</v>
      </c>
      <c r="BY198" s="230">
        <v>2292800</v>
      </c>
      <c r="BZ198" s="230">
        <v>-55400</v>
      </c>
      <c r="CA198" s="229">
        <v>-2.4199999999999999E-2</v>
      </c>
      <c r="CB198" s="230">
        <v>44800</v>
      </c>
      <c r="CC198" s="230">
        <v>91000</v>
      </c>
      <c r="CD198" s="230">
        <v>-46200</v>
      </c>
      <c r="CE198" s="229">
        <v>-0.50770000000000004</v>
      </c>
      <c r="CF198" s="230">
        <v>2230200</v>
      </c>
      <c r="CG198" s="230">
        <v>2195800</v>
      </c>
      <c r="CH198" s="230">
        <v>34400</v>
      </c>
      <c r="CI198" s="229">
        <v>1.5699999999999999E-2</v>
      </c>
      <c r="CJ198" s="230">
        <v>7200</v>
      </c>
      <c r="CK198" s="230">
        <v>6000</v>
      </c>
      <c r="CL198" s="230">
        <v>1200</v>
      </c>
      <c r="CM198" s="229">
        <v>0.2</v>
      </c>
      <c r="CN198" s="230">
        <v>130000</v>
      </c>
      <c r="CO198" s="230">
        <v>721000</v>
      </c>
      <c r="CP198" s="230">
        <v>-591000</v>
      </c>
      <c r="CQ198" s="229">
        <v>-0.81969999999999998</v>
      </c>
      <c r="CR198" s="230">
        <v>102600</v>
      </c>
      <c r="CS198" s="230">
        <v>441000</v>
      </c>
      <c r="CT198" s="230">
        <v>-338400</v>
      </c>
      <c r="CU198" s="229">
        <v>-0.76729999999999998</v>
      </c>
      <c r="CV198" s="230">
        <v>2470000</v>
      </c>
      <c r="CW198" s="230">
        <v>3454800</v>
      </c>
      <c r="CX198" s="230">
        <v>-984800</v>
      </c>
      <c r="CY198" s="229">
        <v>-0.28510000000000002</v>
      </c>
      <c r="CZ198" s="228">
        <v>32.53</v>
      </c>
      <c r="DA198" s="228">
        <v>33.29</v>
      </c>
      <c r="DB198" s="228">
        <v>-0.76</v>
      </c>
      <c r="DC198" s="228">
        <v>-0.76</v>
      </c>
      <c r="DD198" s="228">
        <v>43.94</v>
      </c>
      <c r="DE198" s="228">
        <v>44.05</v>
      </c>
      <c r="DF198" s="228">
        <v>-11.41</v>
      </c>
      <c r="DG198" s="228">
        <v>-0.11</v>
      </c>
      <c r="DH198" s="228">
        <v>32.159999999999997</v>
      </c>
      <c r="DI198" s="228">
        <v>33.020000000000003</v>
      </c>
      <c r="DJ198" s="228">
        <v>-0.86</v>
      </c>
      <c r="DK198" s="228">
        <v>-0.86</v>
      </c>
      <c r="DL198" s="228">
        <v>33.04</v>
      </c>
      <c r="DM198" s="228">
        <v>34.32</v>
      </c>
      <c r="DN198" s="228">
        <v>-1.28</v>
      </c>
      <c r="DO198" s="228">
        <v>-1.28</v>
      </c>
      <c r="DP198" s="228">
        <v>0.79</v>
      </c>
      <c r="DQ198" s="228">
        <v>0.61</v>
      </c>
      <c r="DR198" s="228">
        <v>0.18</v>
      </c>
      <c r="DS198" s="229">
        <v>0.29509999999999997</v>
      </c>
      <c r="DT198" s="231">
        <v>3140</v>
      </c>
      <c r="DU198" s="231">
        <v>2900</v>
      </c>
      <c r="DV198" s="228">
        <v>0.33</v>
      </c>
      <c r="DW198" s="228">
        <v>0.32</v>
      </c>
      <c r="DX198" s="228">
        <v>0.01</v>
      </c>
      <c r="DY198" s="229">
        <v>3.1300000000000001E-2</v>
      </c>
      <c r="DZ198" s="229">
        <v>0.98040000000000005</v>
      </c>
      <c r="EA198" s="230">
        <v>2201800</v>
      </c>
      <c r="EB198" s="229">
        <v>4.5999999999999999E-3</v>
      </c>
      <c r="EC198" s="229">
        <v>0.98040000000000005</v>
      </c>
      <c r="ED198" s="228">
        <v>18.07</v>
      </c>
      <c r="EE198" s="229">
        <v>5.8999999999999999E-3</v>
      </c>
      <c r="EF198" s="230">
        <v>48761</v>
      </c>
      <c r="EG198" s="230">
        <v>77226</v>
      </c>
      <c r="EH198" s="229">
        <v>-0.36859999999999998</v>
      </c>
      <c r="EI198" s="229">
        <v>0.28389999999999999</v>
      </c>
      <c r="EJ198" s="231">
        <v>23659.439999999999</v>
      </c>
      <c r="EK198" s="231">
        <v>7596.83</v>
      </c>
      <c r="EL198" s="231">
        <v>17377.55</v>
      </c>
      <c r="EM198" s="231">
        <v>6861</v>
      </c>
      <c r="EN198" s="231">
        <v>48633.82</v>
      </c>
      <c r="EO198" s="231">
        <v>139629.51999999999</v>
      </c>
      <c r="EP198" s="231">
        <v>-90995.7</v>
      </c>
      <c r="EQ198" s="229">
        <v>-0.65169999999999995</v>
      </c>
      <c r="ER198" s="231">
        <v>4101</v>
      </c>
      <c r="ES198" s="231">
        <v>2952</v>
      </c>
      <c r="ET198" s="231">
        <v>68325</v>
      </c>
      <c r="EU198" s="231">
        <v>16239060</v>
      </c>
      <c r="EV198" s="231">
        <v>75378</v>
      </c>
      <c r="EW198" s="231">
        <v>105300</v>
      </c>
      <c r="EX198" s="231">
        <v>-29922</v>
      </c>
      <c r="EY198" s="229">
        <v>-0.28420000000000001</v>
      </c>
      <c r="EZ198" s="229">
        <v>0.15210000000000001</v>
      </c>
      <c r="FA198" s="227" t="s">
        <v>567</v>
      </c>
      <c r="FB198" s="161">
        <f t="shared" si="5"/>
        <v>0</v>
      </c>
    </row>
    <row r="199" spans="1:158" ht="17.25" thickBot="1" x14ac:dyDescent="0.3">
      <c r="A199" s="226">
        <v>46168</v>
      </c>
      <c r="B199" s="227" t="s">
        <v>168</v>
      </c>
      <c r="C199" s="227" t="s">
        <v>297</v>
      </c>
      <c r="D199" s="228">
        <v>175</v>
      </c>
      <c r="E199" s="231">
        <v>4133.3999999999996</v>
      </c>
      <c r="F199" s="231">
        <v>4176</v>
      </c>
      <c r="G199" s="228">
        <v>-42.6</v>
      </c>
      <c r="H199" s="229">
        <v>-1.0200000000000001E-2</v>
      </c>
      <c r="I199" s="231">
        <v>4105.8999999999996</v>
      </c>
      <c r="J199" s="231">
        <v>4159.2</v>
      </c>
      <c r="K199" s="228">
        <v>-53.3</v>
      </c>
      <c r="L199" s="229">
        <v>-1.2800000000000001E-2</v>
      </c>
      <c r="M199" s="231">
        <v>4100.5</v>
      </c>
      <c r="N199" s="231">
        <v>4157.7</v>
      </c>
      <c r="O199" s="228">
        <v>-57.2</v>
      </c>
      <c r="P199" s="229">
        <v>-1.38E-2</v>
      </c>
      <c r="Q199" s="231">
        <v>4133.3999999999996</v>
      </c>
      <c r="R199" s="231">
        <v>4176</v>
      </c>
      <c r="S199" s="228">
        <v>-42.6</v>
      </c>
      <c r="T199" s="229">
        <v>-1.0200000000000001E-2</v>
      </c>
      <c r="U199" s="231">
        <v>4143.8</v>
      </c>
      <c r="V199" s="231">
        <v>4197.8</v>
      </c>
      <c r="W199" s="228">
        <v>-54</v>
      </c>
      <c r="X199" s="229">
        <v>-1.29E-2</v>
      </c>
      <c r="Y199" s="228">
        <v>27.5</v>
      </c>
      <c r="Z199" s="228">
        <v>-1.5</v>
      </c>
      <c r="AA199" s="228">
        <v>29</v>
      </c>
      <c r="AB199" s="229">
        <v>6.7000000000000002E-3</v>
      </c>
      <c r="AC199" s="228">
        <v>-5.4</v>
      </c>
      <c r="AD199" s="228">
        <v>-1.5</v>
      </c>
      <c r="AE199" s="228">
        <v>-3.9</v>
      </c>
      <c r="AF199" s="229">
        <v>-1.2999999999999999E-3</v>
      </c>
      <c r="AG199" s="228">
        <v>27.5</v>
      </c>
      <c r="AH199" s="228">
        <v>16.8</v>
      </c>
      <c r="AI199" s="228">
        <v>10.7</v>
      </c>
      <c r="AJ199" s="229">
        <v>6.7000000000000002E-3</v>
      </c>
      <c r="AK199" s="228">
        <v>37.9</v>
      </c>
      <c r="AL199" s="228">
        <v>38.6</v>
      </c>
      <c r="AM199" s="228">
        <v>-0.7</v>
      </c>
      <c r="AN199" s="229">
        <v>9.1999999999999998E-3</v>
      </c>
      <c r="AO199" s="231">
        <v>4121.49</v>
      </c>
      <c r="AP199" s="231">
        <v>4150.05</v>
      </c>
      <c r="AQ199" s="228">
        <v>0</v>
      </c>
      <c r="AR199" s="230">
        <v>2812250</v>
      </c>
      <c r="AS199" s="230">
        <v>4730775</v>
      </c>
      <c r="AT199" s="230">
        <v>-1918525</v>
      </c>
      <c r="AU199" s="229">
        <v>-0.40550000000000003</v>
      </c>
      <c r="AV199" s="230">
        <v>1260700</v>
      </c>
      <c r="AW199" s="230">
        <v>2388400</v>
      </c>
      <c r="AX199" s="230">
        <v>-1127700</v>
      </c>
      <c r="AY199" s="229">
        <v>-0.47220000000000001</v>
      </c>
      <c r="AZ199" s="230">
        <v>1499225</v>
      </c>
      <c r="BA199" s="230">
        <v>2205175</v>
      </c>
      <c r="BB199" s="230">
        <v>-705950</v>
      </c>
      <c r="BC199" s="229">
        <v>-0.3201</v>
      </c>
      <c r="BD199" s="230">
        <v>52325</v>
      </c>
      <c r="BE199" s="230">
        <v>137200</v>
      </c>
      <c r="BF199" s="230">
        <v>-84875</v>
      </c>
      <c r="BG199" s="229">
        <v>-0.61860000000000004</v>
      </c>
      <c r="BH199" s="230">
        <v>5309675</v>
      </c>
      <c r="BI199" s="230">
        <v>9118025</v>
      </c>
      <c r="BJ199" s="230">
        <v>-3808350</v>
      </c>
      <c r="BK199" s="229">
        <v>-0.41770000000000002</v>
      </c>
      <c r="BL199" s="230">
        <v>2916725</v>
      </c>
      <c r="BM199" s="230">
        <v>4394775</v>
      </c>
      <c r="BN199" s="230">
        <v>-1478050</v>
      </c>
      <c r="BO199" s="229">
        <v>-0.33629999999999999</v>
      </c>
      <c r="BP199" s="230">
        <v>11038650</v>
      </c>
      <c r="BQ199" s="230">
        <v>18243575</v>
      </c>
      <c r="BR199" s="230">
        <v>-7204925</v>
      </c>
      <c r="BS199" s="229">
        <v>-0.39489999999999997</v>
      </c>
      <c r="BT199" s="230">
        <v>785558</v>
      </c>
      <c r="BU199" s="230">
        <v>642069</v>
      </c>
      <c r="BV199" s="230">
        <v>143489</v>
      </c>
      <c r="BW199" s="229">
        <v>0.2235</v>
      </c>
      <c r="BX199" s="230">
        <v>7994875</v>
      </c>
      <c r="BY199" s="230">
        <v>8635375</v>
      </c>
      <c r="BZ199" s="230">
        <v>-640500</v>
      </c>
      <c r="CA199" s="229">
        <v>-7.4200000000000002E-2</v>
      </c>
      <c r="CB199" s="230">
        <v>730800</v>
      </c>
      <c r="CC199" s="230">
        <v>1455125</v>
      </c>
      <c r="CD199" s="230">
        <v>-724325</v>
      </c>
      <c r="CE199" s="229">
        <v>-0.49780000000000002</v>
      </c>
      <c r="CF199" s="230">
        <v>7039200</v>
      </c>
      <c r="CG199" s="230">
        <v>6255025</v>
      </c>
      <c r="CH199" s="230">
        <v>784175</v>
      </c>
      <c r="CI199" s="229">
        <v>0.12540000000000001</v>
      </c>
      <c r="CJ199" s="230">
        <v>955675</v>
      </c>
      <c r="CK199" s="230">
        <v>925225</v>
      </c>
      <c r="CL199" s="230">
        <v>30450</v>
      </c>
      <c r="CM199" s="229">
        <v>3.2899999999999999E-2</v>
      </c>
      <c r="CN199" s="230">
        <v>1330000</v>
      </c>
      <c r="CO199" s="230">
        <v>5244750</v>
      </c>
      <c r="CP199" s="230">
        <v>-3914750</v>
      </c>
      <c r="CQ199" s="229">
        <v>-0.74639999999999995</v>
      </c>
      <c r="CR199" s="230">
        <v>1011150</v>
      </c>
      <c r="CS199" s="230">
        <v>3010700</v>
      </c>
      <c r="CT199" s="230">
        <v>-1999550</v>
      </c>
      <c r="CU199" s="229">
        <v>-0.66410000000000002</v>
      </c>
      <c r="CV199" s="230">
        <v>10336025</v>
      </c>
      <c r="CW199" s="230">
        <v>16890825</v>
      </c>
      <c r="CX199" s="230">
        <v>-6554800</v>
      </c>
      <c r="CY199" s="229">
        <v>-0.3881</v>
      </c>
      <c r="CZ199" s="228">
        <v>20.76</v>
      </c>
      <c r="DA199" s="228">
        <v>21.26</v>
      </c>
      <c r="DB199" s="228">
        <v>-0.5</v>
      </c>
      <c r="DC199" s="228">
        <v>-0.5</v>
      </c>
      <c r="DD199" s="228">
        <v>29.33</v>
      </c>
      <c r="DE199" s="228">
        <v>29.35</v>
      </c>
      <c r="DF199" s="228">
        <v>-8.57</v>
      </c>
      <c r="DG199" s="228">
        <v>-0.02</v>
      </c>
      <c r="DH199" s="228">
        <v>21.14</v>
      </c>
      <c r="DI199" s="228">
        <v>21.12</v>
      </c>
      <c r="DJ199" s="228">
        <v>0.02</v>
      </c>
      <c r="DK199" s="228">
        <v>0.02</v>
      </c>
      <c r="DL199" s="228">
        <v>20.190000000000001</v>
      </c>
      <c r="DM199" s="228">
        <v>21.53</v>
      </c>
      <c r="DN199" s="228">
        <v>-1.34</v>
      </c>
      <c r="DO199" s="228">
        <v>-1.34</v>
      </c>
      <c r="DP199" s="228">
        <v>0.76</v>
      </c>
      <c r="DQ199" s="228">
        <v>0.56999999999999995</v>
      </c>
      <c r="DR199" s="228">
        <v>0.19</v>
      </c>
      <c r="DS199" s="229">
        <v>0.33329999999999999</v>
      </c>
      <c r="DT199" s="231">
        <v>4500</v>
      </c>
      <c r="DU199" s="231">
        <v>3900</v>
      </c>
      <c r="DV199" s="228">
        <v>0.55000000000000004</v>
      </c>
      <c r="DW199" s="228">
        <v>0.48</v>
      </c>
      <c r="DX199" s="228">
        <v>7.0000000000000007E-2</v>
      </c>
      <c r="DY199" s="229">
        <v>0.14580000000000001</v>
      </c>
      <c r="DZ199" s="229">
        <v>0.91620000000000001</v>
      </c>
      <c r="EA199" s="230">
        <v>7180250</v>
      </c>
      <c r="EB199" s="229">
        <v>8.0000000000000002E-3</v>
      </c>
      <c r="EC199" s="229">
        <v>0.91620000000000001</v>
      </c>
      <c r="ED199" s="228">
        <v>28.56</v>
      </c>
      <c r="EE199" s="229">
        <v>6.8999999999999999E-3</v>
      </c>
      <c r="EF199" s="230">
        <v>479336</v>
      </c>
      <c r="EG199" s="230">
        <v>292535</v>
      </c>
      <c r="EH199" s="229">
        <v>0.63859999999999995</v>
      </c>
      <c r="EI199" s="229">
        <v>0.61019999999999996</v>
      </c>
      <c r="EJ199" s="231">
        <v>228278.91</v>
      </c>
      <c r="EK199" s="231">
        <v>120417.25</v>
      </c>
      <c r="EL199" s="231">
        <v>116361.35</v>
      </c>
      <c r="EM199" s="231">
        <v>18850</v>
      </c>
      <c r="EN199" s="231">
        <v>465057.51</v>
      </c>
      <c r="EO199" s="231">
        <v>768320.05</v>
      </c>
      <c r="EP199" s="231">
        <v>-303262.53999999998</v>
      </c>
      <c r="EQ199" s="229">
        <v>-0.3947</v>
      </c>
      <c r="ER199" s="231">
        <v>57760</v>
      </c>
      <c r="ES199" s="231">
        <v>41079</v>
      </c>
      <c r="ET199" s="231">
        <v>330560</v>
      </c>
      <c r="EU199" s="231">
        <v>41744334</v>
      </c>
      <c r="EV199" s="231">
        <v>429399</v>
      </c>
      <c r="EW199" s="231">
        <v>717444</v>
      </c>
      <c r="EX199" s="231">
        <v>-288045</v>
      </c>
      <c r="EY199" s="229">
        <v>-0.40150000000000002</v>
      </c>
      <c r="EZ199" s="229">
        <v>0.24759999999999999</v>
      </c>
      <c r="FA199" s="227" t="s">
        <v>567</v>
      </c>
      <c r="FB199" s="161">
        <f t="shared" si="5"/>
        <v>0</v>
      </c>
    </row>
    <row r="200" spans="1:158" ht="17.25" thickBot="1" x14ac:dyDescent="0.3">
      <c r="A200" s="226">
        <v>46168</v>
      </c>
      <c r="B200" s="227" t="s">
        <v>162</v>
      </c>
      <c r="C200" s="227" t="s">
        <v>685</v>
      </c>
      <c r="D200" s="228">
        <v>800</v>
      </c>
      <c r="E200" s="228">
        <v>385.35</v>
      </c>
      <c r="F200" s="228">
        <v>373.45</v>
      </c>
      <c r="G200" s="228">
        <v>11.9</v>
      </c>
      <c r="H200" s="229">
        <v>3.1899999999999998E-2</v>
      </c>
      <c r="I200" s="228">
        <v>385.6</v>
      </c>
      <c r="J200" s="228">
        <v>373.25</v>
      </c>
      <c r="K200" s="228">
        <v>12.35</v>
      </c>
      <c r="L200" s="229">
        <v>3.3099999999999997E-2</v>
      </c>
      <c r="M200" s="228">
        <v>384.55</v>
      </c>
      <c r="N200" s="228">
        <v>372.8</v>
      </c>
      <c r="O200" s="228">
        <v>11.75</v>
      </c>
      <c r="P200" s="229">
        <v>3.15E-2</v>
      </c>
      <c r="Q200" s="228">
        <v>385.35</v>
      </c>
      <c r="R200" s="228">
        <v>373.45</v>
      </c>
      <c r="S200" s="228">
        <v>11.9</v>
      </c>
      <c r="T200" s="229">
        <v>3.1899999999999998E-2</v>
      </c>
      <c r="U200" s="228">
        <v>386.05</v>
      </c>
      <c r="V200" s="228">
        <v>373.75</v>
      </c>
      <c r="W200" s="228">
        <v>12.3</v>
      </c>
      <c r="X200" s="229">
        <v>3.2899999999999999E-2</v>
      </c>
      <c r="Y200" s="228">
        <v>-0.25</v>
      </c>
      <c r="Z200" s="228">
        <v>-0.45</v>
      </c>
      <c r="AA200" s="228">
        <v>0.2</v>
      </c>
      <c r="AB200" s="229">
        <v>-5.9999999999999995E-4</v>
      </c>
      <c r="AC200" s="228">
        <v>-1.05</v>
      </c>
      <c r="AD200" s="228">
        <v>-0.45</v>
      </c>
      <c r="AE200" s="228">
        <v>-0.6</v>
      </c>
      <c r="AF200" s="229">
        <v>-2.7000000000000001E-3</v>
      </c>
      <c r="AG200" s="228">
        <v>-0.25</v>
      </c>
      <c r="AH200" s="228">
        <v>0.2</v>
      </c>
      <c r="AI200" s="228">
        <v>-0.45</v>
      </c>
      <c r="AJ200" s="229">
        <v>-5.9999999999999995E-4</v>
      </c>
      <c r="AK200" s="228">
        <v>0.45</v>
      </c>
      <c r="AL200" s="228">
        <v>0.5</v>
      </c>
      <c r="AM200" s="228">
        <v>-0.05</v>
      </c>
      <c r="AN200" s="229">
        <v>1.1999999999999999E-3</v>
      </c>
      <c r="AO200" s="228">
        <v>380.79</v>
      </c>
      <c r="AP200" s="228">
        <v>382.13</v>
      </c>
      <c r="AQ200" s="228">
        <v>0</v>
      </c>
      <c r="AR200" s="230">
        <v>33264800</v>
      </c>
      <c r="AS200" s="230">
        <v>44659200</v>
      </c>
      <c r="AT200" s="230">
        <v>-11394400</v>
      </c>
      <c r="AU200" s="229">
        <v>-0.25509999999999999</v>
      </c>
      <c r="AV200" s="230">
        <v>12419200</v>
      </c>
      <c r="AW200" s="230">
        <v>20371200</v>
      </c>
      <c r="AX200" s="230">
        <v>-7952000</v>
      </c>
      <c r="AY200" s="229">
        <v>-0.39040000000000002</v>
      </c>
      <c r="AZ200" s="230">
        <v>19784800</v>
      </c>
      <c r="BA200" s="230">
        <v>22542400</v>
      </c>
      <c r="BB200" s="230">
        <v>-2757600</v>
      </c>
      <c r="BC200" s="229">
        <v>-0.12230000000000001</v>
      </c>
      <c r="BD200" s="230">
        <v>1060800</v>
      </c>
      <c r="BE200" s="230">
        <v>1745600</v>
      </c>
      <c r="BF200" s="230">
        <v>-684800</v>
      </c>
      <c r="BG200" s="229">
        <v>-0.39229999999999998</v>
      </c>
      <c r="BH200" s="230">
        <v>95011200</v>
      </c>
      <c r="BI200" s="230">
        <v>109451200</v>
      </c>
      <c r="BJ200" s="230">
        <v>-14440000</v>
      </c>
      <c r="BK200" s="229">
        <v>-0.13189999999999999</v>
      </c>
      <c r="BL200" s="230">
        <v>30741600</v>
      </c>
      <c r="BM200" s="230">
        <v>44647200</v>
      </c>
      <c r="BN200" s="230">
        <v>-13905600</v>
      </c>
      <c r="BO200" s="229">
        <v>-0.3115</v>
      </c>
      <c r="BP200" s="230">
        <v>159017600</v>
      </c>
      <c r="BQ200" s="230">
        <v>198757600</v>
      </c>
      <c r="BR200" s="230">
        <v>-39740000</v>
      </c>
      <c r="BS200" s="229">
        <v>-0.19989999999999999</v>
      </c>
      <c r="BT200" s="230">
        <v>21346890</v>
      </c>
      <c r="BU200" s="230">
        <v>10356089</v>
      </c>
      <c r="BV200" s="230">
        <v>10990801</v>
      </c>
      <c r="BW200" s="229">
        <v>1.0612999999999999</v>
      </c>
      <c r="BX200" s="230">
        <v>79480000</v>
      </c>
      <c r="BY200" s="230">
        <v>90275200</v>
      </c>
      <c r="BZ200" s="230">
        <v>-10795200</v>
      </c>
      <c r="CA200" s="229">
        <v>-0.1196</v>
      </c>
      <c r="CB200" s="230">
        <v>18059200</v>
      </c>
      <c r="CC200" s="230">
        <v>16929600</v>
      </c>
      <c r="CD200" s="230">
        <v>1129600</v>
      </c>
      <c r="CE200" s="229">
        <v>6.6699999999999995E-2</v>
      </c>
      <c r="CF200" s="230">
        <v>64688000</v>
      </c>
      <c r="CG200" s="230">
        <v>59680000</v>
      </c>
      <c r="CH200" s="230">
        <v>5008000</v>
      </c>
      <c r="CI200" s="229">
        <v>8.3900000000000002E-2</v>
      </c>
      <c r="CJ200" s="230">
        <v>14792000</v>
      </c>
      <c r="CK200" s="230">
        <v>13665600</v>
      </c>
      <c r="CL200" s="230">
        <v>1126400</v>
      </c>
      <c r="CM200" s="229">
        <v>8.2400000000000001E-2</v>
      </c>
      <c r="CN200" s="230">
        <v>14167200</v>
      </c>
      <c r="CO200" s="230">
        <v>46986400</v>
      </c>
      <c r="CP200" s="230">
        <v>-32819200</v>
      </c>
      <c r="CQ200" s="229">
        <v>-0.69850000000000001</v>
      </c>
      <c r="CR200" s="230">
        <v>11083200</v>
      </c>
      <c r="CS200" s="230">
        <v>30548000</v>
      </c>
      <c r="CT200" s="230">
        <v>-19464800</v>
      </c>
      <c r="CU200" s="229">
        <v>-0.63719999999999999</v>
      </c>
      <c r="CV200" s="230">
        <v>104730400</v>
      </c>
      <c r="CW200" s="230">
        <v>167809600</v>
      </c>
      <c r="CX200" s="230">
        <v>-63079200</v>
      </c>
      <c r="CY200" s="229">
        <v>-0.37590000000000001</v>
      </c>
      <c r="CZ200" s="228">
        <v>29.18</v>
      </c>
      <c r="DA200" s="228">
        <v>30.12</v>
      </c>
      <c r="DB200" s="228">
        <v>-0.94</v>
      </c>
      <c r="DC200" s="228">
        <v>-0.94</v>
      </c>
      <c r="DD200" s="228">
        <v>38.729999999999997</v>
      </c>
      <c r="DE200" s="228">
        <v>38.590000000000003</v>
      </c>
      <c r="DF200" s="228">
        <v>-9.5500000000000007</v>
      </c>
      <c r="DG200" s="228">
        <v>0.14000000000000001</v>
      </c>
      <c r="DH200" s="228">
        <v>28.6</v>
      </c>
      <c r="DI200" s="228">
        <v>29.96</v>
      </c>
      <c r="DJ200" s="228">
        <v>-1.36</v>
      </c>
      <c r="DK200" s="228">
        <v>-1.36</v>
      </c>
      <c r="DL200" s="228">
        <v>30.64</v>
      </c>
      <c r="DM200" s="228">
        <v>30.61</v>
      </c>
      <c r="DN200" s="228">
        <v>0.03</v>
      </c>
      <c r="DO200" s="228">
        <v>0.03</v>
      </c>
      <c r="DP200" s="228">
        <v>0.78</v>
      </c>
      <c r="DQ200" s="228">
        <v>0.65</v>
      </c>
      <c r="DR200" s="228">
        <v>0.13</v>
      </c>
      <c r="DS200" s="229">
        <v>0.2</v>
      </c>
      <c r="DT200" s="228">
        <v>370</v>
      </c>
      <c r="DU200" s="228">
        <v>360</v>
      </c>
      <c r="DV200" s="228">
        <v>0.32</v>
      </c>
      <c r="DW200" s="228">
        <v>0.41</v>
      </c>
      <c r="DX200" s="228">
        <v>-0.09</v>
      </c>
      <c r="DY200" s="229">
        <v>-0.2195</v>
      </c>
      <c r="DZ200" s="229">
        <v>0.81489999999999996</v>
      </c>
      <c r="EA200" s="230">
        <v>73345600</v>
      </c>
      <c r="EB200" s="229">
        <v>2.0999999999999999E-3</v>
      </c>
      <c r="EC200" s="229">
        <v>0.81489999999999996</v>
      </c>
      <c r="ED200" s="228">
        <v>1.34</v>
      </c>
      <c r="EE200" s="229">
        <v>3.5000000000000001E-3</v>
      </c>
      <c r="EF200" s="230">
        <v>9230948</v>
      </c>
      <c r="EG200" s="230">
        <v>4596650</v>
      </c>
      <c r="EH200" s="229">
        <v>1.0082</v>
      </c>
      <c r="EI200" s="229">
        <v>0.43240000000000001</v>
      </c>
      <c r="EJ200" s="231">
        <v>374087.87</v>
      </c>
      <c r="EK200" s="231">
        <v>115588.63</v>
      </c>
      <c r="EL200" s="231">
        <v>131013.19</v>
      </c>
      <c r="EM200" s="231">
        <v>47468</v>
      </c>
      <c r="EN200" s="231">
        <v>620689.68999999994</v>
      </c>
      <c r="EO200" s="231">
        <v>752017.9</v>
      </c>
      <c r="EP200" s="231">
        <v>-131328.21</v>
      </c>
      <c r="EQ200" s="229">
        <v>-0.17460000000000001</v>
      </c>
      <c r="ER200" s="231">
        <v>54329</v>
      </c>
      <c r="ES200" s="231">
        <v>40385</v>
      </c>
      <c r="ET200" s="231">
        <v>306380</v>
      </c>
      <c r="EU200" s="231">
        <v>317244234</v>
      </c>
      <c r="EV200" s="231">
        <v>401094</v>
      </c>
      <c r="EW200" s="231">
        <v>618320</v>
      </c>
      <c r="EX200" s="231">
        <v>-217226</v>
      </c>
      <c r="EY200" s="229">
        <v>-0.3513</v>
      </c>
      <c r="EZ200" s="229">
        <v>0.3301</v>
      </c>
      <c r="FA200" s="227" t="s">
        <v>691</v>
      </c>
      <c r="FB200" s="161">
        <f t="shared" si="5"/>
        <v>0</v>
      </c>
    </row>
    <row r="201" spans="1:158" ht="17.25" thickBot="1" x14ac:dyDescent="0.3">
      <c r="A201" s="226">
        <v>46168</v>
      </c>
      <c r="B201" s="227" t="s">
        <v>170</v>
      </c>
      <c r="C201" s="227" t="s">
        <v>298</v>
      </c>
      <c r="D201" s="228">
        <v>125</v>
      </c>
      <c r="E201" s="231">
        <v>4459.7</v>
      </c>
      <c r="F201" s="231">
        <v>4548.3999999999996</v>
      </c>
      <c r="G201" s="228">
        <v>-88.7</v>
      </c>
      <c r="H201" s="229">
        <v>-1.95E-2</v>
      </c>
      <c r="I201" s="231">
        <v>4452.1000000000004</v>
      </c>
      <c r="J201" s="231">
        <v>4572.6000000000004</v>
      </c>
      <c r="K201" s="228">
        <v>-120.5</v>
      </c>
      <c r="L201" s="229">
        <v>-2.64E-2</v>
      </c>
      <c r="M201" s="231">
        <v>4458.6000000000004</v>
      </c>
      <c r="N201" s="231">
        <v>4554.8</v>
      </c>
      <c r="O201" s="228">
        <v>-96.2</v>
      </c>
      <c r="P201" s="229">
        <v>-2.1100000000000001E-2</v>
      </c>
      <c r="Q201" s="231">
        <v>4459.7</v>
      </c>
      <c r="R201" s="231">
        <v>4548.3999999999996</v>
      </c>
      <c r="S201" s="228">
        <v>-88.7</v>
      </c>
      <c r="T201" s="229">
        <v>-1.95E-2</v>
      </c>
      <c r="U201" s="231">
        <v>4466.5</v>
      </c>
      <c r="V201" s="231">
        <v>4555.6000000000004</v>
      </c>
      <c r="W201" s="228">
        <v>-89.1</v>
      </c>
      <c r="X201" s="229">
        <v>-1.9599999999999999E-2</v>
      </c>
      <c r="Y201" s="228">
        <v>7.6</v>
      </c>
      <c r="Z201" s="228">
        <v>-17.8</v>
      </c>
      <c r="AA201" s="228">
        <v>25.4</v>
      </c>
      <c r="AB201" s="229">
        <v>1.6999999999999999E-3</v>
      </c>
      <c r="AC201" s="228">
        <v>6.5</v>
      </c>
      <c r="AD201" s="228">
        <v>-17.8</v>
      </c>
      <c r="AE201" s="228">
        <v>24.3</v>
      </c>
      <c r="AF201" s="229">
        <v>1.5E-3</v>
      </c>
      <c r="AG201" s="228">
        <v>7.6</v>
      </c>
      <c r="AH201" s="228">
        <v>-24.2</v>
      </c>
      <c r="AI201" s="228">
        <v>31.8</v>
      </c>
      <c r="AJ201" s="229">
        <v>1.6999999999999999E-3</v>
      </c>
      <c r="AK201" s="228">
        <v>14.4</v>
      </c>
      <c r="AL201" s="228">
        <v>-17</v>
      </c>
      <c r="AM201" s="228">
        <v>31.4</v>
      </c>
      <c r="AN201" s="229">
        <v>3.2000000000000002E-3</v>
      </c>
      <c r="AO201" s="231">
        <v>4469.8500000000004</v>
      </c>
      <c r="AP201" s="231">
        <v>4461.05</v>
      </c>
      <c r="AQ201" s="228">
        <v>0</v>
      </c>
      <c r="AR201" s="230">
        <v>960000</v>
      </c>
      <c r="AS201" s="230">
        <v>2622625</v>
      </c>
      <c r="AT201" s="230">
        <v>-1662625</v>
      </c>
      <c r="AU201" s="229">
        <v>-0.63400000000000001</v>
      </c>
      <c r="AV201" s="230">
        <v>341000</v>
      </c>
      <c r="AW201" s="230">
        <v>1135750</v>
      </c>
      <c r="AX201" s="230">
        <v>-794750</v>
      </c>
      <c r="AY201" s="229">
        <v>-0.69979999999999998</v>
      </c>
      <c r="AZ201" s="230">
        <v>616500</v>
      </c>
      <c r="BA201" s="230">
        <v>1479125</v>
      </c>
      <c r="BB201" s="230">
        <v>-862625</v>
      </c>
      <c r="BC201" s="229">
        <v>-0.58320000000000005</v>
      </c>
      <c r="BD201" s="230">
        <v>2500</v>
      </c>
      <c r="BE201" s="230">
        <v>7750</v>
      </c>
      <c r="BF201" s="230">
        <v>-5250</v>
      </c>
      <c r="BG201" s="229">
        <v>-0.6774</v>
      </c>
      <c r="BH201" s="230">
        <v>2076375</v>
      </c>
      <c r="BI201" s="230">
        <v>16586000</v>
      </c>
      <c r="BJ201" s="230">
        <v>-14509625</v>
      </c>
      <c r="BK201" s="229">
        <v>-0.87480000000000002</v>
      </c>
      <c r="BL201" s="230">
        <v>1833000</v>
      </c>
      <c r="BM201" s="230">
        <v>7004500</v>
      </c>
      <c r="BN201" s="230">
        <v>-5171500</v>
      </c>
      <c r="BO201" s="229">
        <v>-0.73829999999999996</v>
      </c>
      <c r="BP201" s="230">
        <v>4869375</v>
      </c>
      <c r="BQ201" s="230">
        <v>26213125</v>
      </c>
      <c r="BR201" s="230">
        <v>-21343750</v>
      </c>
      <c r="BS201" s="229">
        <v>-0.81420000000000003</v>
      </c>
      <c r="BT201" s="230">
        <v>523057</v>
      </c>
      <c r="BU201" s="230">
        <v>1052235</v>
      </c>
      <c r="BV201" s="230">
        <v>-529178</v>
      </c>
      <c r="BW201" s="229">
        <v>-0.50290000000000001</v>
      </c>
      <c r="BX201" s="230">
        <v>3233875</v>
      </c>
      <c r="BY201" s="230">
        <v>3320375</v>
      </c>
      <c r="BZ201" s="230">
        <v>-86500</v>
      </c>
      <c r="CA201" s="229">
        <v>-2.6100000000000002E-2</v>
      </c>
      <c r="CB201" s="230">
        <v>59625</v>
      </c>
      <c r="CC201" s="230">
        <v>248375</v>
      </c>
      <c r="CD201" s="230">
        <v>-188750</v>
      </c>
      <c r="CE201" s="229">
        <v>-0.75990000000000002</v>
      </c>
      <c r="CF201" s="230">
        <v>3227000</v>
      </c>
      <c r="CG201" s="230">
        <v>3066375</v>
      </c>
      <c r="CH201" s="230">
        <v>160625</v>
      </c>
      <c r="CI201" s="229">
        <v>5.2400000000000002E-2</v>
      </c>
      <c r="CJ201" s="230">
        <v>6875</v>
      </c>
      <c r="CK201" s="230">
        <v>5625</v>
      </c>
      <c r="CL201" s="230">
        <v>1250</v>
      </c>
      <c r="CM201" s="229">
        <v>0.22220000000000001</v>
      </c>
      <c r="CN201" s="230">
        <v>520375</v>
      </c>
      <c r="CO201" s="230">
        <v>919250</v>
      </c>
      <c r="CP201" s="230">
        <v>-398875</v>
      </c>
      <c r="CQ201" s="229">
        <v>-0.43390000000000001</v>
      </c>
      <c r="CR201" s="230">
        <v>275000</v>
      </c>
      <c r="CS201" s="230">
        <v>702125</v>
      </c>
      <c r="CT201" s="230">
        <v>-427125</v>
      </c>
      <c r="CU201" s="229">
        <v>-0.60829999999999995</v>
      </c>
      <c r="CV201" s="230">
        <v>4029250</v>
      </c>
      <c r="CW201" s="230">
        <v>4941750</v>
      </c>
      <c r="CX201" s="230">
        <v>-912500</v>
      </c>
      <c r="CY201" s="229">
        <v>-0.1847</v>
      </c>
      <c r="CZ201" s="228">
        <v>24.59</v>
      </c>
      <c r="DA201" s="228">
        <v>26.83</v>
      </c>
      <c r="DB201" s="228">
        <v>-2.2400000000000002</v>
      </c>
      <c r="DC201" s="228">
        <v>-2.2400000000000002</v>
      </c>
      <c r="DD201" s="228">
        <v>26.09</v>
      </c>
      <c r="DE201" s="228">
        <v>25.91</v>
      </c>
      <c r="DF201" s="228">
        <v>-1.5</v>
      </c>
      <c r="DG201" s="228">
        <v>0.18</v>
      </c>
      <c r="DH201" s="228">
        <v>25.11</v>
      </c>
      <c r="DI201" s="228">
        <v>27.04</v>
      </c>
      <c r="DJ201" s="228">
        <v>-1.93</v>
      </c>
      <c r="DK201" s="228">
        <v>-1.93</v>
      </c>
      <c r="DL201" s="228">
        <v>23.68</v>
      </c>
      <c r="DM201" s="228">
        <v>26.13</v>
      </c>
      <c r="DN201" s="228">
        <v>-2.4500000000000002</v>
      </c>
      <c r="DO201" s="228">
        <v>-2.4500000000000002</v>
      </c>
      <c r="DP201" s="228">
        <v>0.53</v>
      </c>
      <c r="DQ201" s="228">
        <v>0.76</v>
      </c>
      <c r="DR201" s="228">
        <v>-0.23</v>
      </c>
      <c r="DS201" s="229">
        <v>-0.30259999999999998</v>
      </c>
      <c r="DT201" s="231">
        <v>4700</v>
      </c>
      <c r="DU201" s="231">
        <v>4500</v>
      </c>
      <c r="DV201" s="228">
        <v>0.88</v>
      </c>
      <c r="DW201" s="228">
        <v>0.42</v>
      </c>
      <c r="DX201" s="228">
        <v>0.46</v>
      </c>
      <c r="DY201" s="229">
        <v>1.0952</v>
      </c>
      <c r="DZ201" s="229">
        <v>0.9819</v>
      </c>
      <c r="EA201" s="230">
        <v>3072000</v>
      </c>
      <c r="EB201" s="229">
        <v>2.0000000000000001E-4</v>
      </c>
      <c r="EC201" s="229">
        <v>0.9819</v>
      </c>
      <c r="ED201" s="228">
        <v>-8.8000000000000007</v>
      </c>
      <c r="EE201" s="229">
        <v>-2E-3</v>
      </c>
      <c r="EF201" s="230">
        <v>241008</v>
      </c>
      <c r="EG201" s="230">
        <v>282375</v>
      </c>
      <c r="EH201" s="229">
        <v>-0.14649999999999999</v>
      </c>
      <c r="EI201" s="229">
        <v>0.46079999999999999</v>
      </c>
      <c r="EJ201" s="231">
        <v>97267.35</v>
      </c>
      <c r="EK201" s="231">
        <v>81507.28</v>
      </c>
      <c r="EL201" s="231">
        <v>42856.03</v>
      </c>
      <c r="EM201" s="231">
        <v>15537</v>
      </c>
      <c r="EN201" s="231">
        <v>221630.66</v>
      </c>
      <c r="EO201" s="231">
        <v>1223634.46</v>
      </c>
      <c r="EP201" s="231">
        <v>-1002003.8</v>
      </c>
      <c r="EQ201" s="229">
        <v>-0.81889999999999996</v>
      </c>
      <c r="ER201" s="231">
        <v>24434</v>
      </c>
      <c r="ES201" s="231">
        <v>11987</v>
      </c>
      <c r="ET201" s="231">
        <v>144222</v>
      </c>
      <c r="EU201" s="231">
        <v>10726004</v>
      </c>
      <c r="EV201" s="231">
        <v>180643</v>
      </c>
      <c r="EW201" s="231">
        <v>224637</v>
      </c>
      <c r="EX201" s="231">
        <v>-43994</v>
      </c>
      <c r="EY201" s="229">
        <v>-0.1958</v>
      </c>
      <c r="EZ201" s="229">
        <v>0.37569999999999998</v>
      </c>
      <c r="FA201" s="227" t="s">
        <v>567</v>
      </c>
      <c r="FB201" s="161">
        <f t="shared" si="5"/>
        <v>0</v>
      </c>
    </row>
    <row r="202" spans="1:158" ht="17.25" thickBot="1" x14ac:dyDescent="0.3">
      <c r="A202" s="226">
        <v>46168</v>
      </c>
      <c r="B202" s="227" t="s">
        <v>197</v>
      </c>
      <c r="C202" s="227" t="s">
        <v>482</v>
      </c>
      <c r="D202" s="228">
        <v>100</v>
      </c>
      <c r="E202" s="231">
        <v>4228.3999999999996</v>
      </c>
      <c r="F202" s="231">
        <v>4266.5</v>
      </c>
      <c r="G202" s="228">
        <v>-38.1</v>
      </c>
      <c r="H202" s="229">
        <v>-8.8999999999999999E-3</v>
      </c>
      <c r="I202" s="231">
        <v>4239.6000000000004</v>
      </c>
      <c r="J202" s="231">
        <v>4300</v>
      </c>
      <c r="K202" s="228">
        <v>-60.4</v>
      </c>
      <c r="L202" s="229">
        <v>-1.4E-2</v>
      </c>
      <c r="M202" s="231">
        <v>4237.8999999999996</v>
      </c>
      <c r="N202" s="231">
        <v>4303.8</v>
      </c>
      <c r="O202" s="228">
        <v>-65.900000000000006</v>
      </c>
      <c r="P202" s="229">
        <v>-1.5299999999999999E-2</v>
      </c>
      <c r="Q202" s="231">
        <v>4228.3999999999996</v>
      </c>
      <c r="R202" s="231">
        <v>4266.5</v>
      </c>
      <c r="S202" s="228">
        <v>-38.1</v>
      </c>
      <c r="T202" s="229">
        <v>-8.8999999999999999E-3</v>
      </c>
      <c r="U202" s="231">
        <v>4224.7</v>
      </c>
      <c r="V202" s="231">
        <v>4259.6000000000004</v>
      </c>
      <c r="W202" s="228">
        <v>-34.9</v>
      </c>
      <c r="X202" s="229">
        <v>-8.2000000000000007E-3</v>
      </c>
      <c r="Y202" s="228">
        <v>-11.2</v>
      </c>
      <c r="Z202" s="228">
        <v>3.8</v>
      </c>
      <c r="AA202" s="228">
        <v>-15</v>
      </c>
      <c r="AB202" s="229">
        <v>-2.5999999999999999E-3</v>
      </c>
      <c r="AC202" s="228">
        <v>-1.7</v>
      </c>
      <c r="AD202" s="228">
        <v>3.8</v>
      </c>
      <c r="AE202" s="228">
        <v>-5.5</v>
      </c>
      <c r="AF202" s="229">
        <v>-4.0000000000000002E-4</v>
      </c>
      <c r="AG202" s="228">
        <v>-11.2</v>
      </c>
      <c r="AH202" s="228">
        <v>-33.5</v>
      </c>
      <c r="AI202" s="228">
        <v>22.3</v>
      </c>
      <c r="AJ202" s="229">
        <v>-2.5999999999999999E-3</v>
      </c>
      <c r="AK202" s="228">
        <v>-14.9</v>
      </c>
      <c r="AL202" s="228">
        <v>-40.4</v>
      </c>
      <c r="AM202" s="228">
        <v>25.5</v>
      </c>
      <c r="AN202" s="229">
        <v>-3.5000000000000001E-3</v>
      </c>
      <c r="AO202" s="231">
        <v>4273.6499999999996</v>
      </c>
      <c r="AP202" s="231">
        <v>4239.6400000000003</v>
      </c>
      <c r="AQ202" s="228">
        <v>0</v>
      </c>
      <c r="AR202" s="230">
        <v>1698700</v>
      </c>
      <c r="AS202" s="230">
        <v>3075700</v>
      </c>
      <c r="AT202" s="230">
        <v>-1377000</v>
      </c>
      <c r="AU202" s="229">
        <v>-0.44769999999999999</v>
      </c>
      <c r="AV202" s="230">
        <v>708800</v>
      </c>
      <c r="AW202" s="230">
        <v>1512200</v>
      </c>
      <c r="AX202" s="230">
        <v>-803400</v>
      </c>
      <c r="AY202" s="229">
        <v>-0.53129999999999999</v>
      </c>
      <c r="AZ202" s="230">
        <v>940300</v>
      </c>
      <c r="BA202" s="230">
        <v>1522700</v>
      </c>
      <c r="BB202" s="230">
        <v>-582400</v>
      </c>
      <c r="BC202" s="229">
        <v>-0.38250000000000001</v>
      </c>
      <c r="BD202" s="230">
        <v>49600</v>
      </c>
      <c r="BE202" s="230">
        <v>40800</v>
      </c>
      <c r="BF202" s="230">
        <v>8800</v>
      </c>
      <c r="BG202" s="229">
        <v>0.2157</v>
      </c>
      <c r="BH202" s="230">
        <v>3483700</v>
      </c>
      <c r="BI202" s="230">
        <v>6878900</v>
      </c>
      <c r="BJ202" s="230">
        <v>-3395200</v>
      </c>
      <c r="BK202" s="229">
        <v>-0.49359999999999998</v>
      </c>
      <c r="BL202" s="230">
        <v>1800300</v>
      </c>
      <c r="BM202" s="230">
        <v>2727400</v>
      </c>
      <c r="BN202" s="230">
        <v>-927100</v>
      </c>
      <c r="BO202" s="229">
        <v>-0.33989999999999998</v>
      </c>
      <c r="BP202" s="230">
        <v>6982700</v>
      </c>
      <c r="BQ202" s="230">
        <v>12682000</v>
      </c>
      <c r="BR202" s="230">
        <v>-5699300</v>
      </c>
      <c r="BS202" s="229">
        <v>-0.44940000000000002</v>
      </c>
      <c r="BT202" s="230">
        <v>580074</v>
      </c>
      <c r="BU202" s="230">
        <v>618704</v>
      </c>
      <c r="BV202" s="230">
        <v>-38630</v>
      </c>
      <c r="BW202" s="229">
        <v>-6.2399999999999997E-2</v>
      </c>
      <c r="BX202" s="230">
        <v>6240250</v>
      </c>
      <c r="BY202" s="230">
        <v>7020550</v>
      </c>
      <c r="BZ202" s="230">
        <v>-780300</v>
      </c>
      <c r="CA202" s="229">
        <v>-0.1111</v>
      </c>
      <c r="CB202" s="230">
        <v>453800</v>
      </c>
      <c r="CC202" s="230">
        <v>873300</v>
      </c>
      <c r="CD202" s="230">
        <v>-419500</v>
      </c>
      <c r="CE202" s="229">
        <v>-0.48039999999999999</v>
      </c>
      <c r="CF202" s="230">
        <v>6091600</v>
      </c>
      <c r="CG202" s="230">
        <v>6037900</v>
      </c>
      <c r="CH202" s="230">
        <v>53700</v>
      </c>
      <c r="CI202" s="229">
        <v>8.8999999999999999E-3</v>
      </c>
      <c r="CJ202" s="230">
        <v>148650</v>
      </c>
      <c r="CK202" s="230">
        <v>109350</v>
      </c>
      <c r="CL202" s="230">
        <v>39300</v>
      </c>
      <c r="CM202" s="229">
        <v>0.3594</v>
      </c>
      <c r="CN202" s="230">
        <v>999150</v>
      </c>
      <c r="CO202" s="230">
        <v>2980550</v>
      </c>
      <c r="CP202" s="230">
        <v>-1981400</v>
      </c>
      <c r="CQ202" s="229">
        <v>-0.66479999999999995</v>
      </c>
      <c r="CR202" s="230">
        <v>633900</v>
      </c>
      <c r="CS202" s="230">
        <v>1547800</v>
      </c>
      <c r="CT202" s="230">
        <v>-913900</v>
      </c>
      <c r="CU202" s="229">
        <v>-0.59050000000000002</v>
      </c>
      <c r="CV202" s="230">
        <v>7873300</v>
      </c>
      <c r="CW202" s="230">
        <v>11548900</v>
      </c>
      <c r="CX202" s="230">
        <v>-3675600</v>
      </c>
      <c r="CY202" s="229">
        <v>-0.31830000000000003</v>
      </c>
      <c r="CZ202" s="228">
        <v>29.06</v>
      </c>
      <c r="DA202" s="228">
        <v>29.77</v>
      </c>
      <c r="DB202" s="228">
        <v>-0.71</v>
      </c>
      <c r="DC202" s="228">
        <v>-0.71</v>
      </c>
      <c r="DD202" s="228">
        <v>43.39</v>
      </c>
      <c r="DE202" s="228">
        <v>43.48</v>
      </c>
      <c r="DF202" s="228">
        <v>-14.33</v>
      </c>
      <c r="DG202" s="228">
        <v>-0.09</v>
      </c>
      <c r="DH202" s="228">
        <v>29.24</v>
      </c>
      <c r="DI202" s="228">
        <v>29.73</v>
      </c>
      <c r="DJ202" s="228">
        <v>-0.49</v>
      </c>
      <c r="DK202" s="228">
        <v>-0.49</v>
      </c>
      <c r="DL202" s="228">
        <v>28.71</v>
      </c>
      <c r="DM202" s="228">
        <v>29.92</v>
      </c>
      <c r="DN202" s="228">
        <v>-1.21</v>
      </c>
      <c r="DO202" s="228">
        <v>-1.21</v>
      </c>
      <c r="DP202" s="228">
        <v>0.63</v>
      </c>
      <c r="DQ202" s="228">
        <v>0.52</v>
      </c>
      <c r="DR202" s="228">
        <v>0.11</v>
      </c>
      <c r="DS202" s="229">
        <v>0.21149999999999999</v>
      </c>
      <c r="DT202" s="231">
        <v>4500</v>
      </c>
      <c r="DU202" s="231">
        <v>4200</v>
      </c>
      <c r="DV202" s="228">
        <v>0.52</v>
      </c>
      <c r="DW202" s="228">
        <v>0.4</v>
      </c>
      <c r="DX202" s="228">
        <v>0.12</v>
      </c>
      <c r="DY202" s="229">
        <v>0.3</v>
      </c>
      <c r="DZ202" s="229">
        <v>0.93220000000000003</v>
      </c>
      <c r="EA202" s="230">
        <v>6147250</v>
      </c>
      <c r="EB202" s="229">
        <v>-2.2000000000000001E-3</v>
      </c>
      <c r="EC202" s="229">
        <v>0.93220000000000003</v>
      </c>
      <c r="ED202" s="228">
        <v>-34.01</v>
      </c>
      <c r="EE202" s="229">
        <v>-8.0000000000000002E-3</v>
      </c>
      <c r="EF202" s="230">
        <v>196800</v>
      </c>
      <c r="EG202" s="230">
        <v>248509</v>
      </c>
      <c r="EH202" s="229">
        <v>-0.20810000000000001</v>
      </c>
      <c r="EI202" s="229">
        <v>0.33929999999999999</v>
      </c>
      <c r="EJ202" s="231">
        <v>155312</v>
      </c>
      <c r="EK202" s="231">
        <v>76039.64</v>
      </c>
      <c r="EL202" s="231">
        <v>73308.61</v>
      </c>
      <c r="EM202" s="231">
        <v>33812</v>
      </c>
      <c r="EN202" s="231">
        <v>304660.25</v>
      </c>
      <c r="EO202" s="231">
        <v>556424.51</v>
      </c>
      <c r="EP202" s="231">
        <v>-251764.26</v>
      </c>
      <c r="EQ202" s="229">
        <v>-0.45250000000000001</v>
      </c>
      <c r="ER202" s="231">
        <v>43798</v>
      </c>
      <c r="ES202" s="231">
        <v>26374</v>
      </c>
      <c r="ET202" s="231">
        <v>263857</v>
      </c>
      <c r="EU202" s="231">
        <v>33590487</v>
      </c>
      <c r="EV202" s="231">
        <v>334029</v>
      </c>
      <c r="EW202" s="231">
        <v>494293</v>
      </c>
      <c r="EX202" s="231">
        <v>-160264</v>
      </c>
      <c r="EY202" s="229">
        <v>-0.32419999999999999</v>
      </c>
      <c r="EZ202" s="229">
        <v>0.2344</v>
      </c>
      <c r="FA202" s="227" t="s">
        <v>567</v>
      </c>
      <c r="FB202" s="161">
        <f t="shared" si="5"/>
        <v>0</v>
      </c>
    </row>
    <row r="203" spans="1:158" ht="17.25" thickBot="1" x14ac:dyDescent="0.3">
      <c r="A203" s="226">
        <v>46168</v>
      </c>
      <c r="B203" s="227" t="s">
        <v>162</v>
      </c>
      <c r="C203" s="227" t="s">
        <v>300</v>
      </c>
      <c r="D203" s="228">
        <v>175</v>
      </c>
      <c r="E203" s="231">
        <v>3470.1</v>
      </c>
      <c r="F203" s="231">
        <v>3498</v>
      </c>
      <c r="G203" s="228">
        <v>-27.9</v>
      </c>
      <c r="H203" s="229">
        <v>-8.0000000000000002E-3</v>
      </c>
      <c r="I203" s="231">
        <v>3454.9</v>
      </c>
      <c r="J203" s="231">
        <v>3469.5</v>
      </c>
      <c r="K203" s="228">
        <v>-14.6</v>
      </c>
      <c r="L203" s="229">
        <v>-4.1999999999999997E-3</v>
      </c>
      <c r="M203" s="231">
        <v>3446.8</v>
      </c>
      <c r="N203" s="231">
        <v>3477.5</v>
      </c>
      <c r="O203" s="228">
        <v>-30.7</v>
      </c>
      <c r="P203" s="229">
        <v>-8.8000000000000005E-3</v>
      </c>
      <c r="Q203" s="231">
        <v>3470.1</v>
      </c>
      <c r="R203" s="231">
        <v>3498</v>
      </c>
      <c r="S203" s="228">
        <v>-27.9</v>
      </c>
      <c r="T203" s="229">
        <v>-8.0000000000000002E-3</v>
      </c>
      <c r="U203" s="231">
        <v>3489.2</v>
      </c>
      <c r="V203" s="231">
        <v>3519.4</v>
      </c>
      <c r="W203" s="228">
        <v>-30.2</v>
      </c>
      <c r="X203" s="229">
        <v>-8.6E-3</v>
      </c>
      <c r="Y203" s="228">
        <v>15.2</v>
      </c>
      <c r="Z203" s="228">
        <v>8</v>
      </c>
      <c r="AA203" s="228">
        <v>7.2</v>
      </c>
      <c r="AB203" s="229">
        <v>4.4000000000000003E-3</v>
      </c>
      <c r="AC203" s="228">
        <v>-8.1</v>
      </c>
      <c r="AD203" s="228">
        <v>8</v>
      </c>
      <c r="AE203" s="228">
        <v>-16.100000000000001</v>
      </c>
      <c r="AF203" s="229">
        <v>-2.3E-3</v>
      </c>
      <c r="AG203" s="228">
        <v>15.2</v>
      </c>
      <c r="AH203" s="228">
        <v>28.5</v>
      </c>
      <c r="AI203" s="228">
        <v>-13.3</v>
      </c>
      <c r="AJ203" s="229">
        <v>4.4000000000000003E-3</v>
      </c>
      <c r="AK203" s="228">
        <v>34.299999999999997</v>
      </c>
      <c r="AL203" s="228">
        <v>49.9</v>
      </c>
      <c r="AM203" s="228">
        <v>-15.6</v>
      </c>
      <c r="AN203" s="229">
        <v>9.9000000000000008E-3</v>
      </c>
      <c r="AO203" s="231">
        <v>3450.07</v>
      </c>
      <c r="AP203" s="231">
        <v>3470.83</v>
      </c>
      <c r="AQ203" s="228">
        <v>0</v>
      </c>
      <c r="AR203" s="230">
        <v>2157575</v>
      </c>
      <c r="AS203" s="230">
        <v>7635075</v>
      </c>
      <c r="AT203" s="230">
        <v>-5477500</v>
      </c>
      <c r="AU203" s="229">
        <v>-0.71740000000000004</v>
      </c>
      <c r="AV203" s="230">
        <v>879550</v>
      </c>
      <c r="AW203" s="230">
        <v>3545325</v>
      </c>
      <c r="AX203" s="230">
        <v>-2665775</v>
      </c>
      <c r="AY203" s="229">
        <v>-0.75190000000000001</v>
      </c>
      <c r="AZ203" s="230">
        <v>1253525</v>
      </c>
      <c r="BA203" s="230">
        <v>4069275</v>
      </c>
      <c r="BB203" s="230">
        <v>-2815750</v>
      </c>
      <c r="BC203" s="229">
        <v>-0.69199999999999995</v>
      </c>
      <c r="BD203" s="230">
        <v>24500</v>
      </c>
      <c r="BE203" s="230">
        <v>20475</v>
      </c>
      <c r="BF203" s="230">
        <v>4025</v>
      </c>
      <c r="BG203" s="229">
        <v>0.1966</v>
      </c>
      <c r="BH203" s="230">
        <v>2193275</v>
      </c>
      <c r="BI203" s="230">
        <v>5237925</v>
      </c>
      <c r="BJ203" s="230">
        <v>-3044650</v>
      </c>
      <c r="BK203" s="229">
        <v>-0.58130000000000004</v>
      </c>
      <c r="BL203" s="230">
        <v>2147425</v>
      </c>
      <c r="BM203" s="230">
        <v>2236325</v>
      </c>
      <c r="BN203" s="230">
        <v>-88900</v>
      </c>
      <c r="BO203" s="229">
        <v>-3.9800000000000002E-2</v>
      </c>
      <c r="BP203" s="230">
        <v>6498275</v>
      </c>
      <c r="BQ203" s="230">
        <v>15109325</v>
      </c>
      <c r="BR203" s="230">
        <v>-8611050</v>
      </c>
      <c r="BS203" s="229">
        <v>-0.56989999999999996</v>
      </c>
      <c r="BT203" s="230">
        <v>748897</v>
      </c>
      <c r="BU203" s="230">
        <v>1106127</v>
      </c>
      <c r="BV203" s="230">
        <v>-357230</v>
      </c>
      <c r="BW203" s="229">
        <v>-0.32300000000000001</v>
      </c>
      <c r="BX203" s="230">
        <v>9531900</v>
      </c>
      <c r="BY203" s="230">
        <v>10047450</v>
      </c>
      <c r="BZ203" s="230">
        <v>-515550</v>
      </c>
      <c r="CA203" s="229">
        <v>-5.1299999999999998E-2</v>
      </c>
      <c r="CB203" s="230">
        <v>561575</v>
      </c>
      <c r="CC203" s="230">
        <v>1242675</v>
      </c>
      <c r="CD203" s="230">
        <v>-681100</v>
      </c>
      <c r="CE203" s="229">
        <v>-0.54810000000000003</v>
      </c>
      <c r="CF203" s="230">
        <v>9098950</v>
      </c>
      <c r="CG203" s="230">
        <v>8385125</v>
      </c>
      <c r="CH203" s="230">
        <v>713825</v>
      </c>
      <c r="CI203" s="229">
        <v>8.5099999999999995E-2</v>
      </c>
      <c r="CJ203" s="230">
        <v>432950</v>
      </c>
      <c r="CK203" s="230">
        <v>419650</v>
      </c>
      <c r="CL203" s="230">
        <v>13300</v>
      </c>
      <c r="CM203" s="229">
        <v>3.1699999999999999E-2</v>
      </c>
      <c r="CN203" s="230">
        <v>616700</v>
      </c>
      <c r="CO203" s="230">
        <v>2422350</v>
      </c>
      <c r="CP203" s="230">
        <v>-1805650</v>
      </c>
      <c r="CQ203" s="229">
        <v>-0.74539999999999995</v>
      </c>
      <c r="CR203" s="230">
        <v>642425</v>
      </c>
      <c r="CS203" s="230">
        <v>1754550</v>
      </c>
      <c r="CT203" s="230">
        <v>-1112125</v>
      </c>
      <c r="CU203" s="229">
        <v>-0.63390000000000002</v>
      </c>
      <c r="CV203" s="230">
        <v>10791025</v>
      </c>
      <c r="CW203" s="230">
        <v>14224350</v>
      </c>
      <c r="CX203" s="230">
        <v>-3433325</v>
      </c>
      <c r="CY203" s="229">
        <v>-0.2414</v>
      </c>
      <c r="CZ203" s="228">
        <v>26.45</v>
      </c>
      <c r="DA203" s="228">
        <v>27.36</v>
      </c>
      <c r="DB203" s="228">
        <v>-0.91</v>
      </c>
      <c r="DC203" s="228">
        <v>-0.91</v>
      </c>
      <c r="DD203" s="228">
        <v>34</v>
      </c>
      <c r="DE203" s="228">
        <v>34.08</v>
      </c>
      <c r="DF203" s="228">
        <v>-7.55</v>
      </c>
      <c r="DG203" s="228">
        <v>-0.08</v>
      </c>
      <c r="DH203" s="228">
        <v>26.46</v>
      </c>
      <c r="DI203" s="228">
        <v>27.21</v>
      </c>
      <c r="DJ203" s="228">
        <v>-0.75</v>
      </c>
      <c r="DK203" s="228">
        <v>-0.75</v>
      </c>
      <c r="DL203" s="228">
        <v>26.43</v>
      </c>
      <c r="DM203" s="228">
        <v>27.71</v>
      </c>
      <c r="DN203" s="228">
        <v>-1.28</v>
      </c>
      <c r="DO203" s="228">
        <v>-1.28</v>
      </c>
      <c r="DP203" s="228">
        <v>1.04</v>
      </c>
      <c r="DQ203" s="228">
        <v>0.72</v>
      </c>
      <c r="DR203" s="228">
        <v>0.32</v>
      </c>
      <c r="DS203" s="229">
        <v>0.44440000000000002</v>
      </c>
      <c r="DT203" s="231">
        <v>3600</v>
      </c>
      <c r="DU203" s="231">
        <v>3500</v>
      </c>
      <c r="DV203" s="228">
        <v>0.98</v>
      </c>
      <c r="DW203" s="228">
        <v>0.43</v>
      </c>
      <c r="DX203" s="228">
        <v>0.55000000000000004</v>
      </c>
      <c r="DY203" s="229">
        <v>1.2790999999999999</v>
      </c>
      <c r="DZ203" s="229">
        <v>0.94440000000000002</v>
      </c>
      <c r="EA203" s="230">
        <v>8804775</v>
      </c>
      <c r="EB203" s="229">
        <v>6.7999999999999996E-3</v>
      </c>
      <c r="EC203" s="229">
        <v>0.94440000000000002</v>
      </c>
      <c r="ED203" s="228">
        <v>20.76</v>
      </c>
      <c r="EE203" s="229">
        <v>6.0000000000000001E-3</v>
      </c>
      <c r="EF203" s="230">
        <v>448108</v>
      </c>
      <c r="EG203" s="230">
        <v>658531</v>
      </c>
      <c r="EH203" s="229">
        <v>-0.31950000000000001</v>
      </c>
      <c r="EI203" s="229">
        <v>0.59840000000000004</v>
      </c>
      <c r="EJ203" s="231">
        <v>78900.62</v>
      </c>
      <c r="EK203" s="231">
        <v>73620.56</v>
      </c>
      <c r="EL203" s="231">
        <v>74707.7</v>
      </c>
      <c r="EM203" s="231">
        <v>24971</v>
      </c>
      <c r="EN203" s="231">
        <v>227228.88</v>
      </c>
      <c r="EO203" s="231">
        <v>528458.19999999995</v>
      </c>
      <c r="EP203" s="231">
        <v>-301229.32</v>
      </c>
      <c r="EQ203" s="229">
        <v>-0.56999999999999995</v>
      </c>
      <c r="ER203" s="231">
        <v>21984</v>
      </c>
      <c r="ES203" s="231">
        <v>22042</v>
      </c>
      <c r="ET203" s="231">
        <v>330849</v>
      </c>
      <c r="EU203" s="231">
        <v>32253708</v>
      </c>
      <c r="EV203" s="231">
        <v>374875</v>
      </c>
      <c r="EW203" s="231">
        <v>498423</v>
      </c>
      <c r="EX203" s="231">
        <v>-123548</v>
      </c>
      <c r="EY203" s="229">
        <v>-0.24790000000000001</v>
      </c>
      <c r="EZ203" s="229">
        <v>0.33460000000000001</v>
      </c>
      <c r="FA203" s="227" t="s">
        <v>567</v>
      </c>
      <c r="FB203" s="161">
        <f t="shared" si="5"/>
        <v>0</v>
      </c>
    </row>
    <row r="204" spans="1:158" ht="17.25" thickBot="1" x14ac:dyDescent="0.3">
      <c r="A204" s="226">
        <v>46168</v>
      </c>
      <c r="B204" s="227" t="s">
        <v>157</v>
      </c>
      <c r="C204" s="227" t="s">
        <v>302</v>
      </c>
      <c r="D204" s="228">
        <v>50</v>
      </c>
      <c r="E204" s="231">
        <v>11700</v>
      </c>
      <c r="F204" s="231">
        <v>11815</v>
      </c>
      <c r="G204" s="228">
        <v>-115</v>
      </c>
      <c r="H204" s="229">
        <v>-9.7000000000000003E-3</v>
      </c>
      <c r="I204" s="231">
        <v>11623</v>
      </c>
      <c r="J204" s="231">
        <v>11726</v>
      </c>
      <c r="K204" s="228">
        <v>-103</v>
      </c>
      <c r="L204" s="229">
        <v>-8.8000000000000005E-3</v>
      </c>
      <c r="M204" s="231">
        <v>11624</v>
      </c>
      <c r="N204" s="231">
        <v>11747</v>
      </c>
      <c r="O204" s="228">
        <v>-123</v>
      </c>
      <c r="P204" s="229">
        <v>-1.0500000000000001E-2</v>
      </c>
      <c r="Q204" s="231">
        <v>11700</v>
      </c>
      <c r="R204" s="231">
        <v>11815</v>
      </c>
      <c r="S204" s="228">
        <v>-115</v>
      </c>
      <c r="T204" s="229">
        <v>-9.7000000000000003E-3</v>
      </c>
      <c r="U204" s="231">
        <v>11778</v>
      </c>
      <c r="V204" s="231">
        <v>11855</v>
      </c>
      <c r="W204" s="228">
        <v>-77</v>
      </c>
      <c r="X204" s="229">
        <v>-6.4999999999999997E-3</v>
      </c>
      <c r="Y204" s="228">
        <v>77</v>
      </c>
      <c r="Z204" s="228">
        <v>21</v>
      </c>
      <c r="AA204" s="228">
        <v>56</v>
      </c>
      <c r="AB204" s="229">
        <v>6.6E-3</v>
      </c>
      <c r="AC204" s="228">
        <v>1</v>
      </c>
      <c r="AD204" s="228">
        <v>21</v>
      </c>
      <c r="AE204" s="228">
        <v>-20</v>
      </c>
      <c r="AF204" s="229">
        <v>1E-4</v>
      </c>
      <c r="AG204" s="228">
        <v>77</v>
      </c>
      <c r="AH204" s="228">
        <v>89</v>
      </c>
      <c r="AI204" s="228">
        <v>-12</v>
      </c>
      <c r="AJ204" s="229">
        <v>6.6E-3</v>
      </c>
      <c r="AK204" s="228">
        <v>155</v>
      </c>
      <c r="AL204" s="228">
        <v>129</v>
      </c>
      <c r="AM204" s="228">
        <v>26</v>
      </c>
      <c r="AN204" s="229">
        <v>1.3299999999999999E-2</v>
      </c>
      <c r="AO204" s="231">
        <v>11667.42</v>
      </c>
      <c r="AP204" s="231">
        <v>11740.52</v>
      </c>
      <c r="AQ204" s="228">
        <v>0</v>
      </c>
      <c r="AR204" s="230">
        <v>599750</v>
      </c>
      <c r="AS204" s="230">
        <v>1179250</v>
      </c>
      <c r="AT204" s="230">
        <v>-579500</v>
      </c>
      <c r="AU204" s="229">
        <v>-0.4914</v>
      </c>
      <c r="AV204" s="230">
        <v>223550</v>
      </c>
      <c r="AW204" s="230">
        <v>534100</v>
      </c>
      <c r="AX204" s="230">
        <v>-310550</v>
      </c>
      <c r="AY204" s="229">
        <v>-0.58140000000000003</v>
      </c>
      <c r="AZ204" s="230">
        <v>373200</v>
      </c>
      <c r="BA204" s="230">
        <v>640650</v>
      </c>
      <c r="BB204" s="230">
        <v>-267450</v>
      </c>
      <c r="BC204" s="229">
        <v>-0.41749999999999998</v>
      </c>
      <c r="BD204" s="230">
        <v>3000</v>
      </c>
      <c r="BE204" s="230">
        <v>4500</v>
      </c>
      <c r="BF204" s="230">
        <v>-1500</v>
      </c>
      <c r="BG204" s="229">
        <v>-0.33329999999999999</v>
      </c>
      <c r="BH204" s="230">
        <v>675400</v>
      </c>
      <c r="BI204" s="230">
        <v>1203600</v>
      </c>
      <c r="BJ204" s="230">
        <v>-528200</v>
      </c>
      <c r="BK204" s="229">
        <v>-0.43890000000000001</v>
      </c>
      <c r="BL204" s="230">
        <v>296700</v>
      </c>
      <c r="BM204" s="230">
        <v>484500</v>
      </c>
      <c r="BN204" s="230">
        <v>-187800</v>
      </c>
      <c r="BO204" s="229">
        <v>-0.3876</v>
      </c>
      <c r="BP204" s="230">
        <v>1571850</v>
      </c>
      <c r="BQ204" s="230">
        <v>2867350</v>
      </c>
      <c r="BR204" s="230">
        <v>-1295500</v>
      </c>
      <c r="BS204" s="229">
        <v>-0.45179999999999998</v>
      </c>
      <c r="BT204" s="230">
        <v>224249</v>
      </c>
      <c r="BU204" s="230">
        <v>239876</v>
      </c>
      <c r="BV204" s="230">
        <v>-15627</v>
      </c>
      <c r="BW204" s="229">
        <v>-6.5100000000000005E-2</v>
      </c>
      <c r="BX204" s="230">
        <v>2471850</v>
      </c>
      <c r="BY204" s="230">
        <v>2764950</v>
      </c>
      <c r="BZ204" s="230">
        <v>-293100</v>
      </c>
      <c r="CA204" s="229">
        <v>-0.106</v>
      </c>
      <c r="CB204" s="230">
        <v>288550</v>
      </c>
      <c r="CC204" s="230">
        <v>450250</v>
      </c>
      <c r="CD204" s="230">
        <v>-161700</v>
      </c>
      <c r="CE204" s="229">
        <v>-0.35909999999999997</v>
      </c>
      <c r="CF204" s="230">
        <v>2459900</v>
      </c>
      <c r="CG204" s="230">
        <v>2304450</v>
      </c>
      <c r="CH204" s="230">
        <v>155450</v>
      </c>
      <c r="CI204" s="229">
        <v>6.7500000000000004E-2</v>
      </c>
      <c r="CJ204" s="230">
        <v>11950</v>
      </c>
      <c r="CK204" s="230">
        <v>10250</v>
      </c>
      <c r="CL204" s="230">
        <v>1700</v>
      </c>
      <c r="CM204" s="229">
        <v>0.16589999999999999</v>
      </c>
      <c r="CN204" s="230">
        <v>165600</v>
      </c>
      <c r="CO204" s="230">
        <v>1054600</v>
      </c>
      <c r="CP204" s="230">
        <v>-889000</v>
      </c>
      <c r="CQ204" s="229">
        <v>-0.84299999999999997</v>
      </c>
      <c r="CR204" s="230">
        <v>125950</v>
      </c>
      <c r="CS204" s="230">
        <v>502500</v>
      </c>
      <c r="CT204" s="230">
        <v>-376550</v>
      </c>
      <c r="CU204" s="229">
        <v>-0.74939999999999996</v>
      </c>
      <c r="CV204" s="230">
        <v>2763400</v>
      </c>
      <c r="CW204" s="230">
        <v>4322050</v>
      </c>
      <c r="CX204" s="230">
        <v>-1558650</v>
      </c>
      <c r="CY204" s="229">
        <v>-0.36059999999999998</v>
      </c>
      <c r="CZ204" s="228">
        <v>22.09</v>
      </c>
      <c r="DA204" s="228">
        <v>22.55</v>
      </c>
      <c r="DB204" s="228">
        <v>-0.46</v>
      </c>
      <c r="DC204" s="228">
        <v>-0.46</v>
      </c>
      <c r="DD204" s="228">
        <v>29.48</v>
      </c>
      <c r="DE204" s="228">
        <v>29.53</v>
      </c>
      <c r="DF204" s="228">
        <v>-7.39</v>
      </c>
      <c r="DG204" s="228">
        <v>-0.05</v>
      </c>
      <c r="DH204" s="228">
        <v>22.2</v>
      </c>
      <c r="DI204" s="228">
        <v>22.24</v>
      </c>
      <c r="DJ204" s="228">
        <v>-0.04</v>
      </c>
      <c r="DK204" s="228">
        <v>-0.04</v>
      </c>
      <c r="DL204" s="228">
        <v>21.87</v>
      </c>
      <c r="DM204" s="228">
        <v>23.18</v>
      </c>
      <c r="DN204" s="228">
        <v>-1.31</v>
      </c>
      <c r="DO204" s="228">
        <v>-1.31</v>
      </c>
      <c r="DP204" s="228">
        <v>0.76</v>
      </c>
      <c r="DQ204" s="228">
        <v>0.48</v>
      </c>
      <c r="DR204" s="228">
        <v>0.28000000000000003</v>
      </c>
      <c r="DS204" s="229">
        <v>0.58330000000000004</v>
      </c>
      <c r="DT204" s="231">
        <v>12200</v>
      </c>
      <c r="DU204" s="231">
        <v>10600</v>
      </c>
      <c r="DV204" s="228">
        <v>0.44</v>
      </c>
      <c r="DW204" s="228">
        <v>0.4</v>
      </c>
      <c r="DX204" s="228">
        <v>0.04</v>
      </c>
      <c r="DY204" s="229">
        <v>0.1</v>
      </c>
      <c r="DZ204" s="229">
        <v>0.89549999999999996</v>
      </c>
      <c r="EA204" s="230">
        <v>2314700</v>
      </c>
      <c r="EB204" s="229">
        <v>6.4999999999999997E-3</v>
      </c>
      <c r="EC204" s="229">
        <v>0.89549999999999996</v>
      </c>
      <c r="ED204" s="228">
        <v>73.099999999999994</v>
      </c>
      <c r="EE204" s="229">
        <v>6.3E-3</v>
      </c>
      <c r="EF204" s="230">
        <v>123778</v>
      </c>
      <c r="EG204" s="230">
        <v>128236</v>
      </c>
      <c r="EH204" s="229">
        <v>-3.4799999999999998E-2</v>
      </c>
      <c r="EI204" s="229">
        <v>0.55200000000000005</v>
      </c>
      <c r="EJ204" s="231">
        <v>81546.17</v>
      </c>
      <c r="EK204" s="231">
        <v>34321.14</v>
      </c>
      <c r="EL204" s="231">
        <v>70251.39</v>
      </c>
      <c r="EM204" s="231">
        <v>18452</v>
      </c>
      <c r="EN204" s="231">
        <v>186118.7</v>
      </c>
      <c r="EO204" s="231">
        <v>340111.4</v>
      </c>
      <c r="EP204" s="231">
        <v>-153992.70000000001</v>
      </c>
      <c r="EQ204" s="229">
        <v>-0.45279999999999998</v>
      </c>
      <c r="ER204" s="231">
        <v>20096</v>
      </c>
      <c r="ES204" s="231">
        <v>14482</v>
      </c>
      <c r="ET204" s="231">
        <v>289216</v>
      </c>
      <c r="EU204" s="231">
        <v>12994504</v>
      </c>
      <c r="EV204" s="231">
        <v>323793</v>
      </c>
      <c r="EW204" s="231">
        <v>512881</v>
      </c>
      <c r="EX204" s="231">
        <v>-189088</v>
      </c>
      <c r="EY204" s="229">
        <v>-0.36870000000000003</v>
      </c>
      <c r="EZ204" s="229">
        <v>0.2127</v>
      </c>
      <c r="FA204" s="227" t="s">
        <v>567</v>
      </c>
      <c r="FB204" s="161">
        <f t="shared" si="5"/>
        <v>0</v>
      </c>
    </row>
    <row r="205" spans="1:158" ht="17.25" thickBot="1" x14ac:dyDescent="0.3">
      <c r="A205" s="226">
        <v>46168</v>
      </c>
      <c r="B205" s="227" t="s">
        <v>172</v>
      </c>
      <c r="C205" s="227" t="s">
        <v>592</v>
      </c>
      <c r="D205" s="228">
        <v>4425</v>
      </c>
      <c r="E205" s="228">
        <v>168.99</v>
      </c>
      <c r="F205" s="228">
        <v>169.14</v>
      </c>
      <c r="G205" s="228">
        <v>-0.15</v>
      </c>
      <c r="H205" s="229">
        <v>-8.9999999999999998E-4</v>
      </c>
      <c r="I205" s="228">
        <v>167.56</v>
      </c>
      <c r="J205" s="228">
        <v>168.87</v>
      </c>
      <c r="K205" s="228">
        <v>-1.31</v>
      </c>
      <c r="L205" s="229">
        <v>-7.7999999999999996E-3</v>
      </c>
      <c r="M205" s="228">
        <v>167.95</v>
      </c>
      <c r="N205" s="228">
        <v>168.84</v>
      </c>
      <c r="O205" s="228">
        <v>-0.89</v>
      </c>
      <c r="P205" s="229">
        <v>-5.3E-3</v>
      </c>
      <c r="Q205" s="228">
        <v>168.99</v>
      </c>
      <c r="R205" s="228">
        <v>169.14</v>
      </c>
      <c r="S205" s="228">
        <v>-0.15</v>
      </c>
      <c r="T205" s="229">
        <v>-8.9999999999999998E-4</v>
      </c>
      <c r="U205" s="228">
        <v>169.92</v>
      </c>
      <c r="V205" s="228">
        <v>169.97</v>
      </c>
      <c r="W205" s="228">
        <v>-0.05</v>
      </c>
      <c r="X205" s="229">
        <v>-2.9999999999999997E-4</v>
      </c>
      <c r="Y205" s="228">
        <v>1.43</v>
      </c>
      <c r="Z205" s="228">
        <v>-0.03</v>
      </c>
      <c r="AA205" s="228">
        <v>1.46</v>
      </c>
      <c r="AB205" s="229">
        <v>8.5000000000000006E-3</v>
      </c>
      <c r="AC205" s="228">
        <v>0.39</v>
      </c>
      <c r="AD205" s="228">
        <v>-0.03</v>
      </c>
      <c r="AE205" s="228">
        <v>0.42</v>
      </c>
      <c r="AF205" s="229">
        <v>2.3E-3</v>
      </c>
      <c r="AG205" s="228">
        <v>1.43</v>
      </c>
      <c r="AH205" s="228">
        <v>0.27</v>
      </c>
      <c r="AI205" s="228">
        <v>1.1599999999999999</v>
      </c>
      <c r="AJ205" s="229">
        <v>8.5000000000000006E-3</v>
      </c>
      <c r="AK205" s="228">
        <v>2.36</v>
      </c>
      <c r="AL205" s="228">
        <v>1.1000000000000001</v>
      </c>
      <c r="AM205" s="228">
        <v>1.26</v>
      </c>
      <c r="AN205" s="229">
        <v>1.41E-2</v>
      </c>
      <c r="AO205" s="228">
        <v>168.55</v>
      </c>
      <c r="AP205" s="228">
        <v>169.5</v>
      </c>
      <c r="AQ205" s="228">
        <v>0</v>
      </c>
      <c r="AR205" s="230">
        <v>52188450</v>
      </c>
      <c r="AS205" s="230">
        <v>103332600</v>
      </c>
      <c r="AT205" s="230">
        <v>-51144150</v>
      </c>
      <c r="AU205" s="229">
        <v>-0.49490000000000001</v>
      </c>
      <c r="AV205" s="230">
        <v>18518625</v>
      </c>
      <c r="AW205" s="230">
        <v>47772300</v>
      </c>
      <c r="AX205" s="230">
        <v>-29253675</v>
      </c>
      <c r="AY205" s="229">
        <v>-0.61240000000000006</v>
      </c>
      <c r="AZ205" s="230">
        <v>32983950</v>
      </c>
      <c r="BA205" s="230">
        <v>54821325</v>
      </c>
      <c r="BB205" s="230">
        <v>-21837375</v>
      </c>
      <c r="BC205" s="229">
        <v>-0.39829999999999999</v>
      </c>
      <c r="BD205" s="230">
        <v>685875</v>
      </c>
      <c r="BE205" s="230">
        <v>738975</v>
      </c>
      <c r="BF205" s="230">
        <v>-53100</v>
      </c>
      <c r="BG205" s="229">
        <v>-7.1900000000000006E-2</v>
      </c>
      <c r="BH205" s="230">
        <v>53338950</v>
      </c>
      <c r="BI205" s="230">
        <v>88535400</v>
      </c>
      <c r="BJ205" s="230">
        <v>-35196450</v>
      </c>
      <c r="BK205" s="229">
        <v>-0.39750000000000002</v>
      </c>
      <c r="BL205" s="230">
        <v>18447825</v>
      </c>
      <c r="BM205" s="230">
        <v>29882025</v>
      </c>
      <c r="BN205" s="230">
        <v>-11434200</v>
      </c>
      <c r="BO205" s="229">
        <v>-0.3826</v>
      </c>
      <c r="BP205" s="230">
        <v>123975225</v>
      </c>
      <c r="BQ205" s="230">
        <v>221750025</v>
      </c>
      <c r="BR205" s="230">
        <v>-97774800</v>
      </c>
      <c r="BS205" s="229">
        <v>-0.44090000000000001</v>
      </c>
      <c r="BT205" s="230">
        <v>17244705</v>
      </c>
      <c r="BU205" s="230">
        <v>19991879</v>
      </c>
      <c r="BV205" s="230">
        <v>-2747174</v>
      </c>
      <c r="BW205" s="229">
        <v>-0.13739999999999999</v>
      </c>
      <c r="BX205" s="230">
        <v>123041550</v>
      </c>
      <c r="BY205" s="230">
        <v>128426775</v>
      </c>
      <c r="BZ205" s="230">
        <v>-5385225</v>
      </c>
      <c r="CA205" s="229">
        <v>-4.19E-2</v>
      </c>
      <c r="CB205" s="230">
        <v>8947350</v>
      </c>
      <c r="CC205" s="230">
        <v>22248900</v>
      </c>
      <c r="CD205" s="230">
        <v>-13301550</v>
      </c>
      <c r="CE205" s="229">
        <v>-0.59789999999999999</v>
      </c>
      <c r="CF205" s="230">
        <v>121103400</v>
      </c>
      <c r="CG205" s="230">
        <v>104549475</v>
      </c>
      <c r="CH205" s="230">
        <v>16553925</v>
      </c>
      <c r="CI205" s="229">
        <v>0.1583</v>
      </c>
      <c r="CJ205" s="230">
        <v>1938150</v>
      </c>
      <c r="CK205" s="230">
        <v>1628400</v>
      </c>
      <c r="CL205" s="230">
        <v>309750</v>
      </c>
      <c r="CM205" s="229">
        <v>0.19020000000000001</v>
      </c>
      <c r="CN205" s="230">
        <v>18633675</v>
      </c>
      <c r="CO205" s="230">
        <v>51387525</v>
      </c>
      <c r="CP205" s="230">
        <v>-32753850</v>
      </c>
      <c r="CQ205" s="229">
        <v>-0.63739999999999997</v>
      </c>
      <c r="CR205" s="230">
        <v>14730825</v>
      </c>
      <c r="CS205" s="230">
        <v>30090000</v>
      </c>
      <c r="CT205" s="230">
        <v>-15359175</v>
      </c>
      <c r="CU205" s="229">
        <v>-0.51039999999999996</v>
      </c>
      <c r="CV205" s="230">
        <v>156406050</v>
      </c>
      <c r="CW205" s="230">
        <v>209904300</v>
      </c>
      <c r="CX205" s="230">
        <v>-53498250</v>
      </c>
      <c r="CY205" s="229">
        <v>-0.25490000000000002</v>
      </c>
      <c r="CZ205" s="228">
        <v>31.09</v>
      </c>
      <c r="DA205" s="228">
        <v>32.26</v>
      </c>
      <c r="DB205" s="228">
        <v>-1.17</v>
      </c>
      <c r="DC205" s="228">
        <v>-1.17</v>
      </c>
      <c r="DD205" s="228">
        <v>43.72</v>
      </c>
      <c r="DE205" s="228">
        <v>43.82</v>
      </c>
      <c r="DF205" s="228">
        <v>-12.63</v>
      </c>
      <c r="DG205" s="228">
        <v>-0.1</v>
      </c>
      <c r="DH205" s="228">
        <v>31.18</v>
      </c>
      <c r="DI205" s="228">
        <v>32.31</v>
      </c>
      <c r="DJ205" s="228">
        <v>-1.1299999999999999</v>
      </c>
      <c r="DK205" s="228">
        <v>-1.1299999999999999</v>
      </c>
      <c r="DL205" s="228">
        <v>30.88</v>
      </c>
      <c r="DM205" s="228">
        <v>32.130000000000003</v>
      </c>
      <c r="DN205" s="228">
        <v>-1.25</v>
      </c>
      <c r="DO205" s="228">
        <v>-1.25</v>
      </c>
      <c r="DP205" s="228">
        <v>0.79</v>
      </c>
      <c r="DQ205" s="228">
        <v>0.59</v>
      </c>
      <c r="DR205" s="228">
        <v>0.2</v>
      </c>
      <c r="DS205" s="229">
        <v>0.33900000000000002</v>
      </c>
      <c r="DT205" s="228">
        <v>190</v>
      </c>
      <c r="DU205" s="228">
        <v>160</v>
      </c>
      <c r="DV205" s="228">
        <v>0.35</v>
      </c>
      <c r="DW205" s="228">
        <v>0.34</v>
      </c>
      <c r="DX205" s="228">
        <v>0.01</v>
      </c>
      <c r="DY205" s="229">
        <v>2.9399999999999999E-2</v>
      </c>
      <c r="DZ205" s="229">
        <v>0.93220000000000003</v>
      </c>
      <c r="EA205" s="230">
        <v>106177875</v>
      </c>
      <c r="EB205" s="229">
        <v>6.1999999999999998E-3</v>
      </c>
      <c r="EC205" s="229">
        <v>0.93220000000000003</v>
      </c>
      <c r="ED205" s="228">
        <v>0.95</v>
      </c>
      <c r="EE205" s="229">
        <v>5.5999999999999999E-3</v>
      </c>
      <c r="EF205" s="230">
        <v>6299138</v>
      </c>
      <c r="EG205" s="230">
        <v>10139670</v>
      </c>
      <c r="EH205" s="229">
        <v>-0.37880000000000003</v>
      </c>
      <c r="EI205" s="229">
        <v>0.36530000000000001</v>
      </c>
      <c r="EJ205" s="231">
        <v>94554.76</v>
      </c>
      <c r="EK205" s="231">
        <v>31535.57</v>
      </c>
      <c r="EL205" s="231">
        <v>88287.63</v>
      </c>
      <c r="EM205" s="231">
        <v>14137</v>
      </c>
      <c r="EN205" s="231">
        <v>214377.96</v>
      </c>
      <c r="EO205" s="231">
        <v>376068.25</v>
      </c>
      <c r="EP205" s="231">
        <v>-161690.29</v>
      </c>
      <c r="EQ205" s="229">
        <v>-0.4299</v>
      </c>
      <c r="ER205" s="231">
        <v>31944</v>
      </c>
      <c r="ES205" s="231">
        <v>24256</v>
      </c>
      <c r="ET205" s="231">
        <v>207946</v>
      </c>
      <c r="EU205" s="231">
        <v>289041713</v>
      </c>
      <c r="EV205" s="231">
        <v>264146</v>
      </c>
      <c r="EW205" s="231">
        <v>359800</v>
      </c>
      <c r="EX205" s="231">
        <v>-95654</v>
      </c>
      <c r="EY205" s="229">
        <v>-0.26590000000000003</v>
      </c>
      <c r="EZ205" s="229">
        <v>0.54110000000000003</v>
      </c>
      <c r="FA205" s="227" t="s">
        <v>567</v>
      </c>
      <c r="FB205" s="161">
        <f t="shared" si="5"/>
        <v>0</v>
      </c>
    </row>
    <row r="206" spans="1:158" ht="17.25" thickBot="1" x14ac:dyDescent="0.3">
      <c r="A206" s="226">
        <v>46168</v>
      </c>
      <c r="B206" s="227" t="s">
        <v>168</v>
      </c>
      <c r="C206" s="227" t="s">
        <v>568</v>
      </c>
      <c r="D206" s="228">
        <v>400</v>
      </c>
      <c r="E206" s="231">
        <v>1301.5</v>
      </c>
      <c r="F206" s="231">
        <v>1295.0999999999999</v>
      </c>
      <c r="G206" s="228">
        <v>6.4</v>
      </c>
      <c r="H206" s="229">
        <v>4.8999999999999998E-3</v>
      </c>
      <c r="I206" s="231">
        <v>1293.4000000000001</v>
      </c>
      <c r="J206" s="231">
        <v>1284.0999999999999</v>
      </c>
      <c r="K206" s="228">
        <v>9.3000000000000007</v>
      </c>
      <c r="L206" s="229">
        <v>7.1999999999999998E-3</v>
      </c>
      <c r="M206" s="231">
        <v>1293</v>
      </c>
      <c r="N206" s="231">
        <v>1287.7</v>
      </c>
      <c r="O206" s="228">
        <v>5.3</v>
      </c>
      <c r="P206" s="229">
        <v>4.1000000000000003E-3</v>
      </c>
      <c r="Q206" s="231">
        <v>1301.5</v>
      </c>
      <c r="R206" s="231">
        <v>1295.0999999999999</v>
      </c>
      <c r="S206" s="228">
        <v>6.4</v>
      </c>
      <c r="T206" s="229">
        <v>4.8999999999999998E-3</v>
      </c>
      <c r="U206" s="231">
        <v>1297.8</v>
      </c>
      <c r="V206" s="231">
        <v>1291.5999999999999</v>
      </c>
      <c r="W206" s="228">
        <v>6.2</v>
      </c>
      <c r="X206" s="229">
        <v>4.7999999999999996E-3</v>
      </c>
      <c r="Y206" s="228">
        <v>8.1</v>
      </c>
      <c r="Z206" s="228">
        <v>3.6</v>
      </c>
      <c r="AA206" s="228">
        <v>4.5</v>
      </c>
      <c r="AB206" s="229">
        <v>6.3E-3</v>
      </c>
      <c r="AC206" s="228">
        <v>-0.4</v>
      </c>
      <c r="AD206" s="228">
        <v>3.6</v>
      </c>
      <c r="AE206" s="228">
        <v>-4</v>
      </c>
      <c r="AF206" s="229">
        <v>-2.9999999999999997E-4</v>
      </c>
      <c r="AG206" s="228">
        <v>8.1</v>
      </c>
      <c r="AH206" s="228">
        <v>11</v>
      </c>
      <c r="AI206" s="228">
        <v>-2.9</v>
      </c>
      <c r="AJ206" s="229">
        <v>6.3E-3</v>
      </c>
      <c r="AK206" s="228">
        <v>4.4000000000000004</v>
      </c>
      <c r="AL206" s="228">
        <v>7.5</v>
      </c>
      <c r="AM206" s="228">
        <v>-3.1</v>
      </c>
      <c r="AN206" s="229">
        <v>3.3999999999999998E-3</v>
      </c>
      <c r="AO206" s="231">
        <v>1290.74</v>
      </c>
      <c r="AP206" s="231">
        <v>1297.93</v>
      </c>
      <c r="AQ206" s="228">
        <v>0</v>
      </c>
      <c r="AR206" s="230">
        <v>3879600</v>
      </c>
      <c r="AS206" s="230">
        <v>6219600</v>
      </c>
      <c r="AT206" s="230">
        <v>-2340000</v>
      </c>
      <c r="AU206" s="229">
        <v>-0.37619999999999998</v>
      </c>
      <c r="AV206" s="230">
        <v>1754000</v>
      </c>
      <c r="AW206" s="230">
        <v>2921200</v>
      </c>
      <c r="AX206" s="230">
        <v>-1167200</v>
      </c>
      <c r="AY206" s="229">
        <v>-0.39960000000000001</v>
      </c>
      <c r="AZ206" s="230">
        <v>2006000</v>
      </c>
      <c r="BA206" s="230">
        <v>3248400</v>
      </c>
      <c r="BB206" s="230">
        <v>-1242400</v>
      </c>
      <c r="BC206" s="229">
        <v>-0.38250000000000001</v>
      </c>
      <c r="BD206" s="230">
        <v>119600</v>
      </c>
      <c r="BE206" s="230">
        <v>50000</v>
      </c>
      <c r="BF206" s="230">
        <v>69600</v>
      </c>
      <c r="BG206" s="229">
        <v>1.3919999999999999</v>
      </c>
      <c r="BH206" s="230">
        <v>2552000</v>
      </c>
      <c r="BI206" s="230">
        <v>2886800</v>
      </c>
      <c r="BJ206" s="230">
        <v>-334800</v>
      </c>
      <c r="BK206" s="229">
        <v>-0.11600000000000001</v>
      </c>
      <c r="BL206" s="230">
        <v>2161200</v>
      </c>
      <c r="BM206" s="230">
        <v>2203200</v>
      </c>
      <c r="BN206" s="230">
        <v>-42000</v>
      </c>
      <c r="BO206" s="229">
        <v>-1.9099999999999999E-2</v>
      </c>
      <c r="BP206" s="230">
        <v>8592800</v>
      </c>
      <c r="BQ206" s="230">
        <v>11309600</v>
      </c>
      <c r="BR206" s="230">
        <v>-2716800</v>
      </c>
      <c r="BS206" s="229">
        <v>-0.2402</v>
      </c>
      <c r="BT206" s="230">
        <v>1474459</v>
      </c>
      <c r="BU206" s="230">
        <v>862424</v>
      </c>
      <c r="BV206" s="230">
        <v>612035</v>
      </c>
      <c r="BW206" s="229">
        <v>0.7097</v>
      </c>
      <c r="BX206" s="230">
        <v>10488800</v>
      </c>
      <c r="BY206" s="230">
        <v>13165200</v>
      </c>
      <c r="BZ206" s="230">
        <v>-2676400</v>
      </c>
      <c r="CA206" s="229">
        <v>-0.20330000000000001</v>
      </c>
      <c r="CB206" s="230">
        <v>2655200</v>
      </c>
      <c r="CC206" s="230">
        <v>3862800</v>
      </c>
      <c r="CD206" s="230">
        <v>-1207600</v>
      </c>
      <c r="CE206" s="229">
        <v>-0.31259999999999999</v>
      </c>
      <c r="CF206" s="230">
        <v>9702800</v>
      </c>
      <c r="CG206" s="230">
        <v>8602800</v>
      </c>
      <c r="CH206" s="230">
        <v>1100000</v>
      </c>
      <c r="CI206" s="229">
        <v>0.12790000000000001</v>
      </c>
      <c r="CJ206" s="230">
        <v>786000</v>
      </c>
      <c r="CK206" s="230">
        <v>699600</v>
      </c>
      <c r="CL206" s="230">
        <v>86400</v>
      </c>
      <c r="CM206" s="229">
        <v>0.1235</v>
      </c>
      <c r="CN206" s="230">
        <v>1571600</v>
      </c>
      <c r="CO206" s="230">
        <v>3905200</v>
      </c>
      <c r="CP206" s="230">
        <v>-2333600</v>
      </c>
      <c r="CQ206" s="229">
        <v>-0.59760000000000002</v>
      </c>
      <c r="CR206" s="230">
        <v>1399600</v>
      </c>
      <c r="CS206" s="230">
        <v>3163600</v>
      </c>
      <c r="CT206" s="230">
        <v>-1764000</v>
      </c>
      <c r="CU206" s="229">
        <v>-0.55759999999999998</v>
      </c>
      <c r="CV206" s="230">
        <v>13460000</v>
      </c>
      <c r="CW206" s="230">
        <v>20234000</v>
      </c>
      <c r="CX206" s="230">
        <v>-6774000</v>
      </c>
      <c r="CY206" s="229">
        <v>-0.33479999999999999</v>
      </c>
      <c r="CZ206" s="228">
        <v>21.29</v>
      </c>
      <c r="DA206" s="228">
        <v>23.05</v>
      </c>
      <c r="DB206" s="228">
        <v>-1.76</v>
      </c>
      <c r="DC206" s="228">
        <v>-1.76</v>
      </c>
      <c r="DD206" s="228">
        <v>30</v>
      </c>
      <c r="DE206" s="228">
        <v>30.06</v>
      </c>
      <c r="DF206" s="228">
        <v>-8.7100000000000009</v>
      </c>
      <c r="DG206" s="228">
        <v>-0.06</v>
      </c>
      <c r="DH206" s="228">
        <v>21.81</v>
      </c>
      <c r="DI206" s="228">
        <v>22.91</v>
      </c>
      <c r="DJ206" s="228">
        <v>-1.1000000000000001</v>
      </c>
      <c r="DK206" s="228">
        <v>-1.1000000000000001</v>
      </c>
      <c r="DL206" s="228">
        <v>20.6</v>
      </c>
      <c r="DM206" s="228">
        <v>23.32</v>
      </c>
      <c r="DN206" s="228">
        <v>-2.72</v>
      </c>
      <c r="DO206" s="228">
        <v>-2.72</v>
      </c>
      <c r="DP206" s="228">
        <v>0.89</v>
      </c>
      <c r="DQ206" s="228">
        <v>0.81</v>
      </c>
      <c r="DR206" s="228">
        <v>0.08</v>
      </c>
      <c r="DS206" s="229">
        <v>9.8799999999999999E-2</v>
      </c>
      <c r="DT206" s="231">
        <v>1300</v>
      </c>
      <c r="DU206" s="231">
        <v>1400</v>
      </c>
      <c r="DV206" s="228">
        <v>0.85</v>
      </c>
      <c r="DW206" s="228">
        <v>0.76</v>
      </c>
      <c r="DX206" s="228">
        <v>0.09</v>
      </c>
      <c r="DY206" s="229">
        <v>0.11840000000000001</v>
      </c>
      <c r="DZ206" s="229">
        <v>0.79800000000000004</v>
      </c>
      <c r="EA206" s="230">
        <v>9302400</v>
      </c>
      <c r="EB206" s="229">
        <v>6.6E-3</v>
      </c>
      <c r="EC206" s="229">
        <v>0.79800000000000004</v>
      </c>
      <c r="ED206" s="228">
        <v>7.19</v>
      </c>
      <c r="EE206" s="229">
        <v>5.5999999999999999E-3</v>
      </c>
      <c r="EF206" s="230">
        <v>1048829</v>
      </c>
      <c r="EG206" s="230">
        <v>585848</v>
      </c>
      <c r="EH206" s="229">
        <v>0.7903</v>
      </c>
      <c r="EI206" s="229">
        <v>0.71130000000000004</v>
      </c>
      <c r="EJ206" s="231">
        <v>34377.120000000003</v>
      </c>
      <c r="EK206" s="231">
        <v>28849.599999999999</v>
      </c>
      <c r="EL206" s="231">
        <v>50227.11</v>
      </c>
      <c r="EM206" s="231">
        <v>11012</v>
      </c>
      <c r="EN206" s="231">
        <v>113453.83</v>
      </c>
      <c r="EO206" s="231">
        <v>147790.95000000001</v>
      </c>
      <c r="EP206" s="231">
        <v>-34337.120000000003</v>
      </c>
      <c r="EQ206" s="229">
        <v>-0.23230000000000001</v>
      </c>
      <c r="ER206" s="231">
        <v>21322</v>
      </c>
      <c r="ES206" s="231">
        <v>18842</v>
      </c>
      <c r="ET206" s="231">
        <v>136483</v>
      </c>
      <c r="EU206" s="231">
        <v>38847259</v>
      </c>
      <c r="EV206" s="231">
        <v>176647</v>
      </c>
      <c r="EW206" s="231">
        <v>265778</v>
      </c>
      <c r="EX206" s="231">
        <v>-89131</v>
      </c>
      <c r="EY206" s="229">
        <v>-0.33539999999999998</v>
      </c>
      <c r="EZ206" s="229">
        <v>0.34649999999999997</v>
      </c>
      <c r="FA206" s="227" t="s">
        <v>691</v>
      </c>
      <c r="FB206" s="161">
        <f t="shared" si="5"/>
        <v>0</v>
      </c>
    </row>
    <row r="207" spans="1:158" ht="17.25" thickBot="1" x14ac:dyDescent="0.3">
      <c r="A207" s="226">
        <v>46168</v>
      </c>
      <c r="B207" s="227" t="s">
        <v>162</v>
      </c>
      <c r="C207" s="227" t="s">
        <v>671</v>
      </c>
      <c r="D207" s="228">
        <v>550</v>
      </c>
      <c r="E207" s="231">
        <v>1121</v>
      </c>
      <c r="F207" s="231">
        <v>1122</v>
      </c>
      <c r="G207" s="228">
        <v>-1</v>
      </c>
      <c r="H207" s="229">
        <v>-8.9999999999999998E-4</v>
      </c>
      <c r="I207" s="231">
        <v>1114.9000000000001</v>
      </c>
      <c r="J207" s="231">
        <v>1118.5</v>
      </c>
      <c r="K207" s="228">
        <v>-3.6</v>
      </c>
      <c r="L207" s="229">
        <v>-3.2000000000000002E-3</v>
      </c>
      <c r="M207" s="231">
        <v>1118.2</v>
      </c>
      <c r="N207" s="231">
        <v>1117.0999999999999</v>
      </c>
      <c r="O207" s="228">
        <v>1.1000000000000001</v>
      </c>
      <c r="P207" s="229">
        <v>1E-3</v>
      </c>
      <c r="Q207" s="231">
        <v>1121</v>
      </c>
      <c r="R207" s="231">
        <v>1122</v>
      </c>
      <c r="S207" s="228">
        <v>-1</v>
      </c>
      <c r="T207" s="229">
        <v>-8.9999999999999998E-4</v>
      </c>
      <c r="U207" s="231">
        <v>1121</v>
      </c>
      <c r="V207" s="231">
        <v>1125.2</v>
      </c>
      <c r="W207" s="228">
        <v>-4.2</v>
      </c>
      <c r="X207" s="229">
        <v>-3.7000000000000002E-3</v>
      </c>
      <c r="Y207" s="228">
        <v>6.1</v>
      </c>
      <c r="Z207" s="228">
        <v>-1.4</v>
      </c>
      <c r="AA207" s="228">
        <v>7.5</v>
      </c>
      <c r="AB207" s="229">
        <v>5.4999999999999997E-3</v>
      </c>
      <c r="AC207" s="228">
        <v>3.3</v>
      </c>
      <c r="AD207" s="228">
        <v>-1.4</v>
      </c>
      <c r="AE207" s="228">
        <v>4.7</v>
      </c>
      <c r="AF207" s="229">
        <v>3.0000000000000001E-3</v>
      </c>
      <c r="AG207" s="228">
        <v>6.1</v>
      </c>
      <c r="AH207" s="228">
        <v>3.5</v>
      </c>
      <c r="AI207" s="228">
        <v>2.6</v>
      </c>
      <c r="AJ207" s="229">
        <v>5.4999999999999997E-3</v>
      </c>
      <c r="AK207" s="228">
        <v>6.1</v>
      </c>
      <c r="AL207" s="228">
        <v>6.7</v>
      </c>
      <c r="AM207" s="228">
        <v>-0.6</v>
      </c>
      <c r="AN207" s="229">
        <v>5.4999999999999997E-3</v>
      </c>
      <c r="AO207" s="231">
        <v>1116.1500000000001</v>
      </c>
      <c r="AP207" s="231">
        <v>1122.0899999999999</v>
      </c>
      <c r="AQ207" s="228">
        <v>0</v>
      </c>
      <c r="AR207" s="230">
        <v>1765500</v>
      </c>
      <c r="AS207" s="230">
        <v>2813800</v>
      </c>
      <c r="AT207" s="230">
        <v>-1048300</v>
      </c>
      <c r="AU207" s="229">
        <v>-0.37259999999999999</v>
      </c>
      <c r="AV207" s="230">
        <v>737000</v>
      </c>
      <c r="AW207" s="230">
        <v>1248500</v>
      </c>
      <c r="AX207" s="230">
        <v>-511500</v>
      </c>
      <c r="AY207" s="229">
        <v>-0.40970000000000001</v>
      </c>
      <c r="AZ207" s="230">
        <v>1026850</v>
      </c>
      <c r="BA207" s="230">
        <v>1559250</v>
      </c>
      <c r="BB207" s="230">
        <v>-532400</v>
      </c>
      <c r="BC207" s="229">
        <v>-0.34139999999999998</v>
      </c>
      <c r="BD207" s="230">
        <v>1650</v>
      </c>
      <c r="BE207" s="230">
        <v>6050</v>
      </c>
      <c r="BF207" s="230">
        <v>-4400</v>
      </c>
      <c r="BG207" s="229">
        <v>-0.72729999999999995</v>
      </c>
      <c r="BH207" s="230">
        <v>2037750</v>
      </c>
      <c r="BI207" s="230">
        <v>3582150</v>
      </c>
      <c r="BJ207" s="230">
        <v>-1544400</v>
      </c>
      <c r="BK207" s="229">
        <v>-0.43109999999999998</v>
      </c>
      <c r="BL207" s="230">
        <v>466400</v>
      </c>
      <c r="BM207" s="230">
        <v>1145100</v>
      </c>
      <c r="BN207" s="230">
        <v>-678700</v>
      </c>
      <c r="BO207" s="229">
        <v>-0.5927</v>
      </c>
      <c r="BP207" s="230">
        <v>4269650</v>
      </c>
      <c r="BQ207" s="230">
        <v>7541050</v>
      </c>
      <c r="BR207" s="230">
        <v>-3271400</v>
      </c>
      <c r="BS207" s="229">
        <v>-0.43380000000000002</v>
      </c>
      <c r="BT207" s="230">
        <v>436418</v>
      </c>
      <c r="BU207" s="230">
        <v>1353389</v>
      </c>
      <c r="BV207" s="230">
        <v>-916971</v>
      </c>
      <c r="BW207" s="229">
        <v>-0.67749999999999999</v>
      </c>
      <c r="BX207" s="230">
        <v>4383500</v>
      </c>
      <c r="BY207" s="230">
        <v>4469300</v>
      </c>
      <c r="BZ207" s="230">
        <v>-85800</v>
      </c>
      <c r="CA207" s="229">
        <v>-1.9199999999999998E-2</v>
      </c>
      <c r="CB207" s="230">
        <v>189200</v>
      </c>
      <c r="CC207" s="230">
        <v>413600</v>
      </c>
      <c r="CD207" s="230">
        <v>-224400</v>
      </c>
      <c r="CE207" s="229">
        <v>-0.54259999999999997</v>
      </c>
      <c r="CF207" s="230">
        <v>4368100</v>
      </c>
      <c r="CG207" s="230">
        <v>4041950</v>
      </c>
      <c r="CH207" s="230">
        <v>326150</v>
      </c>
      <c r="CI207" s="229">
        <v>8.0699999999999994E-2</v>
      </c>
      <c r="CJ207" s="230">
        <v>15400</v>
      </c>
      <c r="CK207" s="230">
        <v>13750</v>
      </c>
      <c r="CL207" s="230">
        <v>1650</v>
      </c>
      <c r="CM207" s="229">
        <v>0.12</v>
      </c>
      <c r="CN207" s="230">
        <v>280500</v>
      </c>
      <c r="CO207" s="230">
        <v>2374350</v>
      </c>
      <c r="CP207" s="230">
        <v>-2093850</v>
      </c>
      <c r="CQ207" s="229">
        <v>-0.88190000000000002</v>
      </c>
      <c r="CR207" s="230">
        <v>239250</v>
      </c>
      <c r="CS207" s="230">
        <v>1557600</v>
      </c>
      <c r="CT207" s="230">
        <v>-1318350</v>
      </c>
      <c r="CU207" s="229">
        <v>-0.84640000000000004</v>
      </c>
      <c r="CV207" s="230">
        <v>4903250</v>
      </c>
      <c r="CW207" s="230">
        <v>8401250</v>
      </c>
      <c r="CX207" s="230">
        <v>-3498000</v>
      </c>
      <c r="CY207" s="229">
        <v>-0.41639999999999999</v>
      </c>
      <c r="CZ207" s="228">
        <v>32.020000000000003</v>
      </c>
      <c r="DA207" s="228">
        <v>33.24</v>
      </c>
      <c r="DB207" s="228">
        <v>-1.22</v>
      </c>
      <c r="DC207" s="228">
        <v>-1.22</v>
      </c>
      <c r="DD207" s="228">
        <v>42.32</v>
      </c>
      <c r="DE207" s="228">
        <v>42.43</v>
      </c>
      <c r="DF207" s="228">
        <v>-10.3</v>
      </c>
      <c r="DG207" s="228">
        <v>-0.11</v>
      </c>
      <c r="DH207" s="228">
        <v>32.21</v>
      </c>
      <c r="DI207" s="228">
        <v>33.28</v>
      </c>
      <c r="DJ207" s="228">
        <v>-1.07</v>
      </c>
      <c r="DK207" s="228">
        <v>-1.07</v>
      </c>
      <c r="DL207" s="228">
        <v>31.69</v>
      </c>
      <c r="DM207" s="228">
        <v>33.119999999999997</v>
      </c>
      <c r="DN207" s="228">
        <v>-1.43</v>
      </c>
      <c r="DO207" s="228">
        <v>-1.43</v>
      </c>
      <c r="DP207" s="228">
        <v>0.85</v>
      </c>
      <c r="DQ207" s="228">
        <v>0.66</v>
      </c>
      <c r="DR207" s="228">
        <v>0.19</v>
      </c>
      <c r="DS207" s="229">
        <v>0.28789999999999999</v>
      </c>
      <c r="DT207" s="231">
        <v>1200</v>
      </c>
      <c r="DU207" s="231">
        <v>1040</v>
      </c>
      <c r="DV207" s="228">
        <v>0.23</v>
      </c>
      <c r="DW207" s="228">
        <v>0.32</v>
      </c>
      <c r="DX207" s="228">
        <v>-0.09</v>
      </c>
      <c r="DY207" s="229">
        <v>-0.28129999999999999</v>
      </c>
      <c r="DZ207" s="229">
        <v>0.95860000000000001</v>
      </c>
      <c r="EA207" s="230">
        <v>4055700</v>
      </c>
      <c r="EB207" s="229">
        <v>2.5000000000000001E-3</v>
      </c>
      <c r="EC207" s="229">
        <v>0.95860000000000001</v>
      </c>
      <c r="ED207" s="228">
        <v>5.94</v>
      </c>
      <c r="EE207" s="229">
        <v>5.3E-3</v>
      </c>
      <c r="EF207" s="230">
        <v>164611</v>
      </c>
      <c r="EG207" s="230">
        <v>916067</v>
      </c>
      <c r="EH207" s="229">
        <v>-0.82030000000000003</v>
      </c>
      <c r="EI207" s="229">
        <v>0.37719999999999998</v>
      </c>
      <c r="EJ207" s="231">
        <v>23900.49</v>
      </c>
      <c r="EK207" s="231">
        <v>5250.26</v>
      </c>
      <c r="EL207" s="231">
        <v>19766.73</v>
      </c>
      <c r="EM207" s="231">
        <v>5907</v>
      </c>
      <c r="EN207" s="231">
        <v>48917.48</v>
      </c>
      <c r="EO207" s="231">
        <v>85360.36</v>
      </c>
      <c r="EP207" s="231">
        <v>-36442.879999999997</v>
      </c>
      <c r="EQ207" s="229">
        <v>-0.4269</v>
      </c>
      <c r="ER207" s="231">
        <v>3219</v>
      </c>
      <c r="ES207" s="231">
        <v>2543</v>
      </c>
      <c r="ET207" s="231">
        <v>49139</v>
      </c>
      <c r="EU207" s="231">
        <v>27343613</v>
      </c>
      <c r="EV207" s="231">
        <v>54901</v>
      </c>
      <c r="EW207" s="231">
        <v>94426</v>
      </c>
      <c r="EX207" s="231">
        <v>-39525</v>
      </c>
      <c r="EY207" s="229">
        <v>-0.41860000000000003</v>
      </c>
      <c r="EZ207" s="229">
        <v>0.17929999999999999</v>
      </c>
      <c r="FA207" s="227" t="s">
        <v>567</v>
      </c>
      <c r="FB207" s="161">
        <f t="shared" si="5"/>
        <v>0</v>
      </c>
    </row>
    <row r="208" spans="1:158" ht="17.25" thickBot="1" x14ac:dyDescent="0.3">
      <c r="A208" s="226">
        <v>46168</v>
      </c>
      <c r="B208" s="227" t="s">
        <v>498</v>
      </c>
      <c r="C208" s="227" t="s">
        <v>303</v>
      </c>
      <c r="D208" s="228">
        <v>1355</v>
      </c>
      <c r="E208" s="228">
        <v>659.45</v>
      </c>
      <c r="F208" s="228">
        <v>655.25</v>
      </c>
      <c r="G208" s="228">
        <v>4.2</v>
      </c>
      <c r="H208" s="229">
        <v>6.4000000000000003E-3</v>
      </c>
      <c r="I208" s="228">
        <v>655</v>
      </c>
      <c r="J208" s="228">
        <v>652.29999999999995</v>
      </c>
      <c r="K208" s="228">
        <v>2.7</v>
      </c>
      <c r="L208" s="229">
        <v>4.1000000000000003E-3</v>
      </c>
      <c r="M208" s="228">
        <v>655.45</v>
      </c>
      <c r="N208" s="228">
        <v>652.6</v>
      </c>
      <c r="O208" s="228">
        <v>2.85</v>
      </c>
      <c r="P208" s="229">
        <v>4.4000000000000003E-3</v>
      </c>
      <c r="Q208" s="228">
        <v>659.45</v>
      </c>
      <c r="R208" s="228">
        <v>655.25</v>
      </c>
      <c r="S208" s="228">
        <v>4.2</v>
      </c>
      <c r="T208" s="229">
        <v>6.4000000000000003E-3</v>
      </c>
      <c r="U208" s="228">
        <v>661.8</v>
      </c>
      <c r="V208" s="228">
        <v>659.5</v>
      </c>
      <c r="W208" s="228">
        <v>2.2999999999999998</v>
      </c>
      <c r="X208" s="229">
        <v>3.5000000000000001E-3</v>
      </c>
      <c r="Y208" s="228">
        <v>4.45</v>
      </c>
      <c r="Z208" s="228">
        <v>0.3</v>
      </c>
      <c r="AA208" s="228">
        <v>4.1500000000000004</v>
      </c>
      <c r="AB208" s="229">
        <v>6.7999999999999996E-3</v>
      </c>
      <c r="AC208" s="228">
        <v>0.45</v>
      </c>
      <c r="AD208" s="228">
        <v>0.3</v>
      </c>
      <c r="AE208" s="228">
        <v>0.15</v>
      </c>
      <c r="AF208" s="229">
        <v>6.9999999999999999E-4</v>
      </c>
      <c r="AG208" s="228">
        <v>4.45</v>
      </c>
      <c r="AH208" s="228">
        <v>2.95</v>
      </c>
      <c r="AI208" s="228">
        <v>1.5</v>
      </c>
      <c r="AJ208" s="229">
        <v>6.7999999999999996E-3</v>
      </c>
      <c r="AK208" s="228">
        <v>6.8</v>
      </c>
      <c r="AL208" s="228">
        <v>7.2</v>
      </c>
      <c r="AM208" s="228">
        <v>-0.4</v>
      </c>
      <c r="AN208" s="229">
        <v>1.04E-2</v>
      </c>
      <c r="AO208" s="228">
        <v>656.24</v>
      </c>
      <c r="AP208" s="228">
        <v>660.27</v>
      </c>
      <c r="AQ208" s="228">
        <v>0</v>
      </c>
      <c r="AR208" s="230">
        <v>14891450</v>
      </c>
      <c r="AS208" s="230">
        <v>16178700</v>
      </c>
      <c r="AT208" s="230">
        <v>-1287250</v>
      </c>
      <c r="AU208" s="229">
        <v>-7.9600000000000004E-2</v>
      </c>
      <c r="AV208" s="230">
        <v>7269575</v>
      </c>
      <c r="AW208" s="230">
        <v>8487720</v>
      </c>
      <c r="AX208" s="230">
        <v>-1218145</v>
      </c>
      <c r="AY208" s="229">
        <v>-0.14349999999999999</v>
      </c>
      <c r="AZ208" s="230">
        <v>7536510</v>
      </c>
      <c r="BA208" s="230">
        <v>7611035</v>
      </c>
      <c r="BB208" s="230">
        <v>-74525</v>
      </c>
      <c r="BC208" s="229">
        <v>-9.7999999999999997E-3</v>
      </c>
      <c r="BD208" s="230">
        <v>85365</v>
      </c>
      <c r="BE208" s="230">
        <v>79945</v>
      </c>
      <c r="BF208" s="230">
        <v>5420</v>
      </c>
      <c r="BG208" s="229">
        <v>6.7799999999999999E-2</v>
      </c>
      <c r="BH208" s="230">
        <v>10131335</v>
      </c>
      <c r="BI208" s="230">
        <v>12582530</v>
      </c>
      <c r="BJ208" s="230">
        <v>-2451195</v>
      </c>
      <c r="BK208" s="229">
        <v>-0.1948</v>
      </c>
      <c r="BL208" s="230">
        <v>5070410</v>
      </c>
      <c r="BM208" s="230">
        <v>5775010</v>
      </c>
      <c r="BN208" s="230">
        <v>-704600</v>
      </c>
      <c r="BO208" s="229">
        <v>-0.122</v>
      </c>
      <c r="BP208" s="230">
        <v>30093195</v>
      </c>
      <c r="BQ208" s="230">
        <v>34536240</v>
      </c>
      <c r="BR208" s="230">
        <v>-4443045</v>
      </c>
      <c r="BS208" s="229">
        <v>-0.12859999999999999</v>
      </c>
      <c r="BT208" s="230">
        <v>1796690</v>
      </c>
      <c r="BU208" s="230">
        <v>1541956</v>
      </c>
      <c r="BV208" s="230">
        <v>254734</v>
      </c>
      <c r="BW208" s="229">
        <v>0.16520000000000001</v>
      </c>
      <c r="BX208" s="230">
        <v>25921150</v>
      </c>
      <c r="BY208" s="230">
        <v>30387230</v>
      </c>
      <c r="BZ208" s="230">
        <v>-4466080</v>
      </c>
      <c r="CA208" s="229">
        <v>-0.14699999999999999</v>
      </c>
      <c r="CB208" s="230">
        <v>3825165</v>
      </c>
      <c r="CC208" s="230">
        <v>9467385</v>
      </c>
      <c r="CD208" s="230">
        <v>-5642220</v>
      </c>
      <c r="CE208" s="229">
        <v>-0.59599999999999997</v>
      </c>
      <c r="CF208" s="230">
        <v>25659635</v>
      </c>
      <c r="CG208" s="230">
        <v>20708465</v>
      </c>
      <c r="CH208" s="230">
        <v>4951170</v>
      </c>
      <c r="CI208" s="229">
        <v>0.23910000000000001</v>
      </c>
      <c r="CJ208" s="230">
        <v>261515</v>
      </c>
      <c r="CK208" s="230">
        <v>211380</v>
      </c>
      <c r="CL208" s="230">
        <v>50135</v>
      </c>
      <c r="CM208" s="229">
        <v>0.23719999999999999</v>
      </c>
      <c r="CN208" s="230">
        <v>3249290</v>
      </c>
      <c r="CO208" s="230">
        <v>9422670</v>
      </c>
      <c r="CP208" s="230">
        <v>-6173380</v>
      </c>
      <c r="CQ208" s="229">
        <v>-0.6552</v>
      </c>
      <c r="CR208" s="230">
        <v>2852275</v>
      </c>
      <c r="CS208" s="230">
        <v>6365790</v>
      </c>
      <c r="CT208" s="230">
        <v>-3513515</v>
      </c>
      <c r="CU208" s="229">
        <v>-0.55189999999999995</v>
      </c>
      <c r="CV208" s="230">
        <v>32022715</v>
      </c>
      <c r="CW208" s="230">
        <v>46175690</v>
      </c>
      <c r="CX208" s="230">
        <v>-14152975</v>
      </c>
      <c r="CY208" s="229">
        <v>-0.30649999999999999</v>
      </c>
      <c r="CZ208" s="228">
        <v>24.76</v>
      </c>
      <c r="DA208" s="228">
        <v>27.16</v>
      </c>
      <c r="DB208" s="228">
        <v>-2.4</v>
      </c>
      <c r="DC208" s="228">
        <v>-2.4</v>
      </c>
      <c r="DD208" s="228">
        <v>41.35</v>
      </c>
      <c r="DE208" s="228">
        <v>41.45</v>
      </c>
      <c r="DF208" s="228">
        <v>-16.59</v>
      </c>
      <c r="DG208" s="228">
        <v>-0.1</v>
      </c>
      <c r="DH208" s="228">
        <v>24.29</v>
      </c>
      <c r="DI208" s="228">
        <v>27.6</v>
      </c>
      <c r="DJ208" s="228">
        <v>-3.31</v>
      </c>
      <c r="DK208" s="228">
        <v>-3.31</v>
      </c>
      <c r="DL208" s="228">
        <v>25.6</v>
      </c>
      <c r="DM208" s="228">
        <v>26.18</v>
      </c>
      <c r="DN208" s="228">
        <v>-0.57999999999999996</v>
      </c>
      <c r="DO208" s="228">
        <v>-0.57999999999999996</v>
      </c>
      <c r="DP208" s="228">
        <v>0.88</v>
      </c>
      <c r="DQ208" s="228">
        <v>0.68</v>
      </c>
      <c r="DR208" s="228">
        <v>0.2</v>
      </c>
      <c r="DS208" s="229">
        <v>0.29409999999999997</v>
      </c>
      <c r="DT208" s="228">
        <v>650</v>
      </c>
      <c r="DU208" s="228">
        <v>650</v>
      </c>
      <c r="DV208" s="228">
        <v>0.5</v>
      </c>
      <c r="DW208" s="228">
        <v>0.46</v>
      </c>
      <c r="DX208" s="228">
        <v>0.04</v>
      </c>
      <c r="DY208" s="229">
        <v>8.6999999999999994E-2</v>
      </c>
      <c r="DZ208" s="229">
        <v>0.87139999999999995</v>
      </c>
      <c r="EA208" s="230">
        <v>20919845</v>
      </c>
      <c r="EB208" s="229">
        <v>6.1000000000000004E-3</v>
      </c>
      <c r="EC208" s="229">
        <v>0.87139999999999995</v>
      </c>
      <c r="ED208" s="228">
        <v>4.03</v>
      </c>
      <c r="EE208" s="229">
        <v>6.1000000000000004E-3</v>
      </c>
      <c r="EF208" s="230">
        <v>1069133</v>
      </c>
      <c r="EG208" s="230">
        <v>918774</v>
      </c>
      <c r="EH208" s="229">
        <v>0.16370000000000001</v>
      </c>
      <c r="EI208" s="229">
        <v>0.59509999999999996</v>
      </c>
      <c r="EJ208" s="231">
        <v>68458.679999999993</v>
      </c>
      <c r="EK208" s="231">
        <v>33564.14</v>
      </c>
      <c r="EL208" s="231">
        <v>98033.67</v>
      </c>
      <c r="EM208" s="231">
        <v>8611</v>
      </c>
      <c r="EN208" s="231">
        <v>200056.49</v>
      </c>
      <c r="EO208" s="231">
        <v>226868.56</v>
      </c>
      <c r="EP208" s="231">
        <v>-26812.07</v>
      </c>
      <c r="EQ208" s="229">
        <v>-0.1182</v>
      </c>
      <c r="ER208" s="231">
        <v>21671</v>
      </c>
      <c r="ES208" s="231">
        <v>18523</v>
      </c>
      <c r="ET208" s="231">
        <v>170943</v>
      </c>
      <c r="EU208" s="231">
        <v>84189026</v>
      </c>
      <c r="EV208" s="231">
        <v>211137</v>
      </c>
      <c r="EW208" s="231">
        <v>303314</v>
      </c>
      <c r="EX208" s="231">
        <v>-92177</v>
      </c>
      <c r="EY208" s="229">
        <v>-0.3039</v>
      </c>
      <c r="EZ208" s="229">
        <v>0.38040000000000002</v>
      </c>
      <c r="FA208" s="227" t="s">
        <v>691</v>
      </c>
      <c r="FB208" s="161">
        <f t="shared" si="5"/>
        <v>0</v>
      </c>
    </row>
    <row r="209" spans="1:158" ht="17.25" thickBot="1" x14ac:dyDescent="0.3">
      <c r="A209" s="226">
        <v>46168</v>
      </c>
      <c r="B209" s="227" t="s">
        <v>168</v>
      </c>
      <c r="C209" s="227" t="s">
        <v>585</v>
      </c>
      <c r="D209" s="228">
        <v>1125</v>
      </c>
      <c r="E209" s="228">
        <v>535.35</v>
      </c>
      <c r="F209" s="228">
        <v>533.65</v>
      </c>
      <c r="G209" s="228">
        <v>1.7</v>
      </c>
      <c r="H209" s="229">
        <v>3.2000000000000002E-3</v>
      </c>
      <c r="I209" s="228">
        <v>531.29999999999995</v>
      </c>
      <c r="J209" s="228">
        <v>530.70000000000005</v>
      </c>
      <c r="K209" s="228">
        <v>0.6</v>
      </c>
      <c r="L209" s="229">
        <v>1.1000000000000001E-3</v>
      </c>
      <c r="M209" s="228">
        <v>532.04999999999995</v>
      </c>
      <c r="N209" s="228">
        <v>530.54999999999995</v>
      </c>
      <c r="O209" s="228">
        <v>1.5</v>
      </c>
      <c r="P209" s="229">
        <v>2.8E-3</v>
      </c>
      <c r="Q209" s="228">
        <v>535.35</v>
      </c>
      <c r="R209" s="228">
        <v>533.65</v>
      </c>
      <c r="S209" s="228">
        <v>1.7</v>
      </c>
      <c r="T209" s="229">
        <v>3.2000000000000002E-3</v>
      </c>
      <c r="U209" s="228">
        <v>538.70000000000005</v>
      </c>
      <c r="V209" s="228">
        <v>537</v>
      </c>
      <c r="W209" s="228">
        <v>1.7</v>
      </c>
      <c r="X209" s="229">
        <v>3.2000000000000002E-3</v>
      </c>
      <c r="Y209" s="228">
        <v>4.05</v>
      </c>
      <c r="Z209" s="228">
        <v>-0.15</v>
      </c>
      <c r="AA209" s="228">
        <v>4.2</v>
      </c>
      <c r="AB209" s="229">
        <v>7.6E-3</v>
      </c>
      <c r="AC209" s="228">
        <v>0.75</v>
      </c>
      <c r="AD209" s="228">
        <v>-0.15</v>
      </c>
      <c r="AE209" s="228">
        <v>0.9</v>
      </c>
      <c r="AF209" s="229">
        <v>1.4E-3</v>
      </c>
      <c r="AG209" s="228">
        <v>4.05</v>
      </c>
      <c r="AH209" s="228">
        <v>2.95</v>
      </c>
      <c r="AI209" s="228">
        <v>1.1000000000000001</v>
      </c>
      <c r="AJ209" s="229">
        <v>7.6E-3</v>
      </c>
      <c r="AK209" s="228">
        <v>7.4</v>
      </c>
      <c r="AL209" s="228">
        <v>6.3</v>
      </c>
      <c r="AM209" s="228">
        <v>1.1000000000000001</v>
      </c>
      <c r="AN209" s="229">
        <v>1.3899999999999999E-2</v>
      </c>
      <c r="AO209" s="228">
        <v>530.1</v>
      </c>
      <c r="AP209" s="228">
        <v>533.66</v>
      </c>
      <c r="AQ209" s="228">
        <v>0</v>
      </c>
      <c r="AR209" s="230">
        <v>15728625</v>
      </c>
      <c r="AS209" s="230">
        <v>22489875</v>
      </c>
      <c r="AT209" s="230">
        <v>-6761250</v>
      </c>
      <c r="AU209" s="229">
        <v>-0.30059999999999998</v>
      </c>
      <c r="AV209" s="230">
        <v>6355125</v>
      </c>
      <c r="AW209" s="230">
        <v>10539000</v>
      </c>
      <c r="AX209" s="230">
        <v>-4183875</v>
      </c>
      <c r="AY209" s="229">
        <v>-0.39700000000000002</v>
      </c>
      <c r="AZ209" s="230">
        <v>9244125</v>
      </c>
      <c r="BA209" s="230">
        <v>11754000</v>
      </c>
      <c r="BB209" s="230">
        <v>-2509875</v>
      </c>
      <c r="BC209" s="229">
        <v>-0.2135</v>
      </c>
      <c r="BD209" s="230">
        <v>129375</v>
      </c>
      <c r="BE209" s="230">
        <v>196875</v>
      </c>
      <c r="BF209" s="230">
        <v>-67500</v>
      </c>
      <c r="BG209" s="229">
        <v>-0.34289999999999998</v>
      </c>
      <c r="BH209" s="230">
        <v>10100250</v>
      </c>
      <c r="BI209" s="230">
        <v>29206125</v>
      </c>
      <c r="BJ209" s="230">
        <v>-19105875</v>
      </c>
      <c r="BK209" s="229">
        <v>-0.6542</v>
      </c>
      <c r="BL209" s="230">
        <v>6151500</v>
      </c>
      <c r="BM209" s="230">
        <v>18240750</v>
      </c>
      <c r="BN209" s="230">
        <v>-12089250</v>
      </c>
      <c r="BO209" s="229">
        <v>-0.66279999999999994</v>
      </c>
      <c r="BP209" s="230">
        <v>31980375</v>
      </c>
      <c r="BQ209" s="230">
        <v>69936750</v>
      </c>
      <c r="BR209" s="230">
        <v>-37956375</v>
      </c>
      <c r="BS209" s="229">
        <v>-0.54269999999999996</v>
      </c>
      <c r="BT209" s="230">
        <v>5093173</v>
      </c>
      <c r="BU209" s="230">
        <v>9495505</v>
      </c>
      <c r="BV209" s="230">
        <v>-4402332</v>
      </c>
      <c r="BW209" s="229">
        <v>-0.46360000000000001</v>
      </c>
      <c r="BX209" s="230">
        <v>48761325</v>
      </c>
      <c r="BY209" s="230">
        <v>53058300</v>
      </c>
      <c r="BZ209" s="230">
        <v>-4296975</v>
      </c>
      <c r="CA209" s="229">
        <v>-8.1000000000000003E-2</v>
      </c>
      <c r="CB209" s="230">
        <v>3461625</v>
      </c>
      <c r="CC209" s="230">
        <v>8741250</v>
      </c>
      <c r="CD209" s="230">
        <v>-5279625</v>
      </c>
      <c r="CE209" s="229">
        <v>-0.60399999999999998</v>
      </c>
      <c r="CF209" s="230">
        <v>46233000</v>
      </c>
      <c r="CG209" s="230">
        <v>41841000</v>
      </c>
      <c r="CH209" s="230">
        <v>4392000</v>
      </c>
      <c r="CI209" s="229">
        <v>0.105</v>
      </c>
      <c r="CJ209" s="230">
        <v>2528325</v>
      </c>
      <c r="CK209" s="230">
        <v>2476050</v>
      </c>
      <c r="CL209" s="230">
        <v>52275</v>
      </c>
      <c r="CM209" s="229">
        <v>2.1100000000000001E-2</v>
      </c>
      <c r="CN209" s="230">
        <v>5940000</v>
      </c>
      <c r="CO209" s="230">
        <v>13783500</v>
      </c>
      <c r="CP209" s="230">
        <v>-7843500</v>
      </c>
      <c r="CQ209" s="229">
        <v>-0.56899999999999995</v>
      </c>
      <c r="CR209" s="230">
        <v>2884650</v>
      </c>
      <c r="CS209" s="230">
        <v>8073150</v>
      </c>
      <c r="CT209" s="230">
        <v>-5188500</v>
      </c>
      <c r="CU209" s="229">
        <v>-0.64270000000000005</v>
      </c>
      <c r="CV209" s="230">
        <v>57585975</v>
      </c>
      <c r="CW209" s="230">
        <v>74914950</v>
      </c>
      <c r="CX209" s="230">
        <v>-17328975</v>
      </c>
      <c r="CY209" s="229">
        <v>-0.23130000000000001</v>
      </c>
      <c r="CZ209" s="228">
        <v>26.77</v>
      </c>
      <c r="DA209" s="228">
        <v>27.71</v>
      </c>
      <c r="DB209" s="228">
        <v>-0.94</v>
      </c>
      <c r="DC209" s="228">
        <v>-0.94</v>
      </c>
      <c r="DD209" s="228">
        <v>38.340000000000003</v>
      </c>
      <c r="DE209" s="228">
        <v>38.43</v>
      </c>
      <c r="DF209" s="228">
        <v>-11.57</v>
      </c>
      <c r="DG209" s="228">
        <v>-0.09</v>
      </c>
      <c r="DH209" s="228">
        <v>26.28</v>
      </c>
      <c r="DI209" s="228">
        <v>27.53</v>
      </c>
      <c r="DJ209" s="228">
        <v>-1.25</v>
      </c>
      <c r="DK209" s="228">
        <v>-1.25</v>
      </c>
      <c r="DL209" s="228">
        <v>27.89</v>
      </c>
      <c r="DM209" s="228">
        <v>28.17</v>
      </c>
      <c r="DN209" s="228">
        <v>-0.28000000000000003</v>
      </c>
      <c r="DO209" s="228">
        <v>-0.28000000000000003</v>
      </c>
      <c r="DP209" s="228">
        <v>0.49</v>
      </c>
      <c r="DQ209" s="228">
        <v>0.59</v>
      </c>
      <c r="DR209" s="228">
        <v>-0.1</v>
      </c>
      <c r="DS209" s="229">
        <v>-0.16950000000000001</v>
      </c>
      <c r="DT209" s="228">
        <v>585</v>
      </c>
      <c r="DU209" s="228">
        <v>500</v>
      </c>
      <c r="DV209" s="228">
        <v>0.61</v>
      </c>
      <c r="DW209" s="228">
        <v>0.62</v>
      </c>
      <c r="DX209" s="228">
        <v>-0.01</v>
      </c>
      <c r="DY209" s="229">
        <v>-1.61E-2</v>
      </c>
      <c r="DZ209" s="229">
        <v>0.93369999999999997</v>
      </c>
      <c r="EA209" s="230">
        <v>44317050</v>
      </c>
      <c r="EB209" s="229">
        <v>6.1999999999999998E-3</v>
      </c>
      <c r="EC209" s="229">
        <v>0.93369999999999997</v>
      </c>
      <c r="ED209" s="228">
        <v>3.56</v>
      </c>
      <c r="EE209" s="229">
        <v>6.7000000000000002E-3</v>
      </c>
      <c r="EF209" s="230">
        <v>2303376</v>
      </c>
      <c r="EG209" s="230">
        <v>5885132</v>
      </c>
      <c r="EH209" s="229">
        <v>-0.60860000000000003</v>
      </c>
      <c r="EI209" s="229">
        <v>0.45219999999999999</v>
      </c>
      <c r="EJ209" s="231">
        <v>55617.7</v>
      </c>
      <c r="EK209" s="231">
        <v>32106.65</v>
      </c>
      <c r="EL209" s="231">
        <v>83807.67</v>
      </c>
      <c r="EM209" s="231">
        <v>22306</v>
      </c>
      <c r="EN209" s="231">
        <v>171532.02</v>
      </c>
      <c r="EO209" s="231">
        <v>376923.82</v>
      </c>
      <c r="EP209" s="231">
        <v>-205391.8</v>
      </c>
      <c r="EQ209" s="229">
        <v>-0.54490000000000005</v>
      </c>
      <c r="ER209" s="231">
        <v>32218</v>
      </c>
      <c r="ES209" s="231">
        <v>14812</v>
      </c>
      <c r="ET209" s="231">
        <v>261128</v>
      </c>
      <c r="EU209" s="231">
        <v>205765243</v>
      </c>
      <c r="EV209" s="231">
        <v>308158</v>
      </c>
      <c r="EW209" s="231">
        <v>398272</v>
      </c>
      <c r="EX209" s="231">
        <v>-90114</v>
      </c>
      <c r="EY209" s="229">
        <v>-0.2263</v>
      </c>
      <c r="EZ209" s="229">
        <v>0.27989999999999998</v>
      </c>
      <c r="FA209" s="227" t="s">
        <v>691</v>
      </c>
      <c r="FB209" s="161">
        <f t="shared" si="5"/>
        <v>0</v>
      </c>
    </row>
    <row r="210" spans="1:158" ht="17.25" thickBot="1" x14ac:dyDescent="0.3">
      <c r="A210" s="226">
        <v>46168</v>
      </c>
      <c r="B210" s="227" t="s">
        <v>227</v>
      </c>
      <c r="C210" s="227" t="s">
        <v>304</v>
      </c>
      <c r="D210" s="228">
        <v>1150</v>
      </c>
      <c r="E210" s="228">
        <v>347.1</v>
      </c>
      <c r="F210" s="228">
        <v>332.55</v>
      </c>
      <c r="G210" s="228">
        <v>14.55</v>
      </c>
      <c r="H210" s="229">
        <v>4.3799999999999999E-2</v>
      </c>
      <c r="I210" s="228">
        <v>344.9</v>
      </c>
      <c r="J210" s="228">
        <v>332.5</v>
      </c>
      <c r="K210" s="228">
        <v>12.4</v>
      </c>
      <c r="L210" s="229">
        <v>3.73E-2</v>
      </c>
      <c r="M210" s="228">
        <v>345.6</v>
      </c>
      <c r="N210" s="228">
        <v>332.5</v>
      </c>
      <c r="O210" s="228">
        <v>13.1</v>
      </c>
      <c r="P210" s="229">
        <v>3.9399999999999998E-2</v>
      </c>
      <c r="Q210" s="228">
        <v>347.1</v>
      </c>
      <c r="R210" s="228">
        <v>332.55</v>
      </c>
      <c r="S210" s="228">
        <v>14.55</v>
      </c>
      <c r="T210" s="229">
        <v>4.3799999999999999E-2</v>
      </c>
      <c r="U210" s="228">
        <v>347.05</v>
      </c>
      <c r="V210" s="228">
        <v>332.95</v>
      </c>
      <c r="W210" s="228">
        <v>14.1</v>
      </c>
      <c r="X210" s="229">
        <v>4.2299999999999997E-2</v>
      </c>
      <c r="Y210" s="228">
        <v>2.2000000000000002</v>
      </c>
      <c r="Z210" s="228">
        <v>0</v>
      </c>
      <c r="AA210" s="228">
        <v>2.2000000000000002</v>
      </c>
      <c r="AB210" s="229">
        <v>6.4000000000000003E-3</v>
      </c>
      <c r="AC210" s="228">
        <v>0.7</v>
      </c>
      <c r="AD210" s="228">
        <v>0</v>
      </c>
      <c r="AE210" s="228">
        <v>0.7</v>
      </c>
      <c r="AF210" s="229">
        <v>2E-3</v>
      </c>
      <c r="AG210" s="228">
        <v>2.2000000000000002</v>
      </c>
      <c r="AH210" s="228">
        <v>0.05</v>
      </c>
      <c r="AI210" s="228">
        <v>2.15</v>
      </c>
      <c r="AJ210" s="229">
        <v>6.4000000000000003E-3</v>
      </c>
      <c r="AK210" s="228">
        <v>2.15</v>
      </c>
      <c r="AL210" s="228">
        <v>0.45</v>
      </c>
      <c r="AM210" s="228">
        <v>1.7</v>
      </c>
      <c r="AN210" s="229">
        <v>6.1999999999999998E-3</v>
      </c>
      <c r="AO210" s="228">
        <v>344.88</v>
      </c>
      <c r="AP210" s="228">
        <v>346.56</v>
      </c>
      <c r="AQ210" s="228">
        <v>0</v>
      </c>
      <c r="AR210" s="230">
        <v>37616500</v>
      </c>
      <c r="AS210" s="230">
        <v>33678900</v>
      </c>
      <c r="AT210" s="230">
        <v>3937600</v>
      </c>
      <c r="AU210" s="229">
        <v>0.1169</v>
      </c>
      <c r="AV210" s="230">
        <v>11180300</v>
      </c>
      <c r="AW210" s="230">
        <v>16583000</v>
      </c>
      <c r="AX210" s="230">
        <v>-5402700</v>
      </c>
      <c r="AY210" s="229">
        <v>-0.32579999999999998</v>
      </c>
      <c r="AZ210" s="230">
        <v>25758850</v>
      </c>
      <c r="BA210" s="230">
        <v>16873950</v>
      </c>
      <c r="BB210" s="230">
        <v>8884900</v>
      </c>
      <c r="BC210" s="229">
        <v>0.52649999999999997</v>
      </c>
      <c r="BD210" s="230">
        <v>677350</v>
      </c>
      <c r="BE210" s="230">
        <v>221950</v>
      </c>
      <c r="BF210" s="230">
        <v>455400</v>
      </c>
      <c r="BG210" s="229">
        <v>2.0518000000000001</v>
      </c>
      <c r="BH210" s="230">
        <v>111844400</v>
      </c>
      <c r="BI210" s="230">
        <v>47963050</v>
      </c>
      <c r="BJ210" s="230">
        <v>63881350</v>
      </c>
      <c r="BK210" s="229">
        <v>1.3319000000000001</v>
      </c>
      <c r="BL210" s="230">
        <v>43528650</v>
      </c>
      <c r="BM210" s="230">
        <v>26939900</v>
      </c>
      <c r="BN210" s="230">
        <v>16588750</v>
      </c>
      <c r="BO210" s="229">
        <v>0.61580000000000001</v>
      </c>
      <c r="BP210" s="230">
        <v>192989550</v>
      </c>
      <c r="BQ210" s="230">
        <v>108581850</v>
      </c>
      <c r="BR210" s="230">
        <v>84407700</v>
      </c>
      <c r="BS210" s="229">
        <v>0.77739999999999998</v>
      </c>
      <c r="BT210" s="230">
        <v>43035735</v>
      </c>
      <c r="BU210" s="230">
        <v>12226659</v>
      </c>
      <c r="BV210" s="230">
        <v>30809076</v>
      </c>
      <c r="BW210" s="229">
        <v>2.5198</v>
      </c>
      <c r="BX210" s="230">
        <v>39591050</v>
      </c>
      <c r="BY210" s="230">
        <v>44893700</v>
      </c>
      <c r="BZ210" s="230">
        <v>-5302650</v>
      </c>
      <c r="CA210" s="229">
        <v>-0.1181</v>
      </c>
      <c r="CB210" s="230">
        <v>6647000</v>
      </c>
      <c r="CC210" s="230">
        <v>9959000</v>
      </c>
      <c r="CD210" s="230">
        <v>-3312000</v>
      </c>
      <c r="CE210" s="229">
        <v>-0.33260000000000001</v>
      </c>
      <c r="CF210" s="230">
        <v>39026400</v>
      </c>
      <c r="CG210" s="230">
        <v>34351650</v>
      </c>
      <c r="CH210" s="230">
        <v>4674750</v>
      </c>
      <c r="CI210" s="229">
        <v>0.1361</v>
      </c>
      <c r="CJ210" s="230">
        <v>564650</v>
      </c>
      <c r="CK210" s="230">
        <v>583050</v>
      </c>
      <c r="CL210" s="230">
        <v>-18400</v>
      </c>
      <c r="CM210" s="229">
        <v>-3.1600000000000003E-2</v>
      </c>
      <c r="CN210" s="230">
        <v>16992400</v>
      </c>
      <c r="CO210" s="230">
        <v>35790300</v>
      </c>
      <c r="CP210" s="230">
        <v>-18797900</v>
      </c>
      <c r="CQ210" s="229">
        <v>-0.5252</v>
      </c>
      <c r="CR210" s="230">
        <v>10813450</v>
      </c>
      <c r="CS210" s="230">
        <v>27734550</v>
      </c>
      <c r="CT210" s="230">
        <v>-16921100</v>
      </c>
      <c r="CU210" s="229">
        <v>-0.61009999999999998</v>
      </c>
      <c r="CV210" s="230">
        <v>67396900</v>
      </c>
      <c r="CW210" s="230">
        <v>108418550</v>
      </c>
      <c r="CX210" s="230">
        <v>-41021650</v>
      </c>
      <c r="CY210" s="229">
        <v>-0.37840000000000001</v>
      </c>
      <c r="CZ210" s="228">
        <v>39.94</v>
      </c>
      <c r="DA210" s="228">
        <v>39.659999999999997</v>
      </c>
      <c r="DB210" s="228">
        <v>0.28000000000000003</v>
      </c>
      <c r="DC210" s="228">
        <v>0.28000000000000003</v>
      </c>
      <c r="DD210" s="228">
        <v>44.37</v>
      </c>
      <c r="DE210" s="228">
        <v>44.1</v>
      </c>
      <c r="DF210" s="228">
        <v>-4.43</v>
      </c>
      <c r="DG210" s="228">
        <v>0.27</v>
      </c>
      <c r="DH210" s="228">
        <v>40.090000000000003</v>
      </c>
      <c r="DI210" s="228">
        <v>39.79</v>
      </c>
      <c r="DJ210" s="228">
        <v>0.3</v>
      </c>
      <c r="DK210" s="228">
        <v>0.3</v>
      </c>
      <c r="DL210" s="228">
        <v>39.57</v>
      </c>
      <c r="DM210" s="228">
        <v>39.39</v>
      </c>
      <c r="DN210" s="228">
        <v>0.18</v>
      </c>
      <c r="DO210" s="228">
        <v>0.18</v>
      </c>
      <c r="DP210" s="228">
        <v>0.64</v>
      </c>
      <c r="DQ210" s="228">
        <v>0.77</v>
      </c>
      <c r="DR210" s="228">
        <v>-0.13</v>
      </c>
      <c r="DS210" s="229">
        <v>-0.16880000000000001</v>
      </c>
      <c r="DT210" s="228">
        <v>350</v>
      </c>
      <c r="DU210" s="228">
        <v>300</v>
      </c>
      <c r="DV210" s="228">
        <v>0.39</v>
      </c>
      <c r="DW210" s="228">
        <v>0.56000000000000005</v>
      </c>
      <c r="DX210" s="228">
        <v>-0.17</v>
      </c>
      <c r="DY210" s="229">
        <v>-0.30359999999999998</v>
      </c>
      <c r="DZ210" s="229">
        <v>0.85619999999999996</v>
      </c>
      <c r="EA210" s="230">
        <v>34934700</v>
      </c>
      <c r="EB210" s="229">
        <v>4.3E-3</v>
      </c>
      <c r="EC210" s="229">
        <v>0.85619999999999996</v>
      </c>
      <c r="ED210" s="228">
        <v>1.68</v>
      </c>
      <c r="EE210" s="229">
        <v>4.8999999999999998E-3</v>
      </c>
      <c r="EF210" s="230">
        <v>15221211</v>
      </c>
      <c r="EG210" s="230">
        <v>3712708</v>
      </c>
      <c r="EH210" s="229">
        <v>3.0998000000000001</v>
      </c>
      <c r="EI210" s="229">
        <v>0.35370000000000001</v>
      </c>
      <c r="EJ210" s="231">
        <v>404753.15</v>
      </c>
      <c r="EK210" s="231">
        <v>144833.95000000001</v>
      </c>
      <c r="EL210" s="231">
        <v>130169.41</v>
      </c>
      <c r="EM210" s="231">
        <v>21502</v>
      </c>
      <c r="EN210" s="231">
        <v>679756.51</v>
      </c>
      <c r="EO210" s="231">
        <v>364966.47</v>
      </c>
      <c r="EP210" s="231">
        <v>314790.03999999998</v>
      </c>
      <c r="EQ210" s="229">
        <v>0.86250000000000004</v>
      </c>
      <c r="ER210" s="231">
        <v>61144</v>
      </c>
      <c r="ES210" s="231">
        <v>33761</v>
      </c>
      <c r="ET210" s="231">
        <v>137420</v>
      </c>
      <c r="EU210" s="231">
        <v>255495438</v>
      </c>
      <c r="EV210" s="231">
        <v>232325</v>
      </c>
      <c r="EW210" s="231">
        <v>354220</v>
      </c>
      <c r="EX210" s="231">
        <v>-121895</v>
      </c>
      <c r="EY210" s="229">
        <v>-0.34410000000000002</v>
      </c>
      <c r="EZ210" s="229">
        <v>0.26379999999999998</v>
      </c>
      <c r="FA210" s="227" t="s">
        <v>691</v>
      </c>
      <c r="FB210" s="161">
        <f t="shared" si="5"/>
        <v>0</v>
      </c>
    </row>
    <row r="211" spans="1:158" ht="17.25" thickBot="1" x14ac:dyDescent="0.3">
      <c r="A211" s="226">
        <v>46168</v>
      </c>
      <c r="B211" s="227" t="s">
        <v>614</v>
      </c>
      <c r="C211" s="227" t="s">
        <v>695</v>
      </c>
      <c r="D211" s="228">
        <v>4850</v>
      </c>
      <c r="E211" s="228">
        <v>121.82</v>
      </c>
      <c r="F211" s="228">
        <v>122.07</v>
      </c>
      <c r="G211" s="228">
        <v>-0.25</v>
      </c>
      <c r="H211" s="229">
        <v>-2E-3</v>
      </c>
      <c r="I211" s="228">
        <v>121.08</v>
      </c>
      <c r="J211" s="228">
        <v>121.05</v>
      </c>
      <c r="K211" s="228">
        <v>0.03</v>
      </c>
      <c r="L211" s="229">
        <v>2.0000000000000001E-4</v>
      </c>
      <c r="M211" s="228">
        <v>120.9</v>
      </c>
      <c r="N211" s="228">
        <v>121.25</v>
      </c>
      <c r="O211" s="228">
        <v>-0.35</v>
      </c>
      <c r="P211" s="229">
        <v>-2.8999999999999998E-3</v>
      </c>
      <c r="Q211" s="228">
        <v>121.82</v>
      </c>
      <c r="R211" s="228">
        <v>122.07</v>
      </c>
      <c r="S211" s="228">
        <v>-0.25</v>
      </c>
      <c r="T211" s="229">
        <v>-2E-3</v>
      </c>
      <c r="U211" s="228">
        <v>122.74</v>
      </c>
      <c r="V211" s="228">
        <v>122.69</v>
      </c>
      <c r="W211" s="228">
        <v>0.05</v>
      </c>
      <c r="X211" s="229">
        <v>4.0000000000000002E-4</v>
      </c>
      <c r="Y211" s="228">
        <v>0.74</v>
      </c>
      <c r="Z211" s="228">
        <v>0.2</v>
      </c>
      <c r="AA211" s="228">
        <v>0.54</v>
      </c>
      <c r="AB211" s="229">
        <v>6.1000000000000004E-3</v>
      </c>
      <c r="AC211" s="228">
        <v>-0.18</v>
      </c>
      <c r="AD211" s="228">
        <v>0.2</v>
      </c>
      <c r="AE211" s="228">
        <v>-0.38</v>
      </c>
      <c r="AF211" s="229">
        <v>-1.5E-3</v>
      </c>
      <c r="AG211" s="228">
        <v>0.74</v>
      </c>
      <c r="AH211" s="228">
        <v>1.02</v>
      </c>
      <c r="AI211" s="228">
        <v>-0.28000000000000003</v>
      </c>
      <c r="AJ211" s="229">
        <v>6.1000000000000004E-3</v>
      </c>
      <c r="AK211" s="228">
        <v>1.66</v>
      </c>
      <c r="AL211" s="228">
        <v>1.64</v>
      </c>
      <c r="AM211" s="228">
        <v>0.02</v>
      </c>
      <c r="AN211" s="229">
        <v>1.37E-2</v>
      </c>
      <c r="AO211" s="228">
        <v>121.07</v>
      </c>
      <c r="AP211" s="228">
        <v>121.92</v>
      </c>
      <c r="AQ211" s="228">
        <v>0</v>
      </c>
      <c r="AR211" s="230">
        <v>10626350</v>
      </c>
      <c r="AS211" s="230">
        <v>20724050</v>
      </c>
      <c r="AT211" s="230">
        <v>-10097700</v>
      </c>
      <c r="AU211" s="229">
        <v>-0.48720000000000002</v>
      </c>
      <c r="AV211" s="230">
        <v>4767550</v>
      </c>
      <c r="AW211" s="230">
        <v>10587550</v>
      </c>
      <c r="AX211" s="230">
        <v>-5820000</v>
      </c>
      <c r="AY211" s="229">
        <v>-0.54969999999999997</v>
      </c>
      <c r="AZ211" s="230">
        <v>5824850</v>
      </c>
      <c r="BA211" s="230">
        <v>10068600</v>
      </c>
      <c r="BB211" s="230">
        <v>-4243750</v>
      </c>
      <c r="BC211" s="229">
        <v>-0.42149999999999999</v>
      </c>
      <c r="BD211" s="230">
        <v>33950</v>
      </c>
      <c r="BE211" s="230">
        <v>67900</v>
      </c>
      <c r="BF211" s="230">
        <v>-33950</v>
      </c>
      <c r="BG211" s="229">
        <v>-0.5</v>
      </c>
      <c r="BH211" s="230">
        <v>7342900</v>
      </c>
      <c r="BI211" s="230">
        <v>7430200</v>
      </c>
      <c r="BJ211" s="230">
        <v>-87300</v>
      </c>
      <c r="BK211" s="229">
        <v>-1.17E-2</v>
      </c>
      <c r="BL211" s="230">
        <v>2720850</v>
      </c>
      <c r="BM211" s="230">
        <v>2134000</v>
      </c>
      <c r="BN211" s="230">
        <v>586850</v>
      </c>
      <c r="BO211" s="229">
        <v>0.27500000000000002</v>
      </c>
      <c r="BP211" s="230">
        <v>20690100</v>
      </c>
      <c r="BQ211" s="230">
        <v>30288250</v>
      </c>
      <c r="BR211" s="230">
        <v>-9598150</v>
      </c>
      <c r="BS211" s="229">
        <v>-0.31690000000000002</v>
      </c>
      <c r="BT211" s="230">
        <v>4961304</v>
      </c>
      <c r="BU211" s="230">
        <v>7503994</v>
      </c>
      <c r="BV211" s="230">
        <v>-2542690</v>
      </c>
      <c r="BW211" s="229">
        <v>-0.33879999999999999</v>
      </c>
      <c r="BX211" s="230">
        <v>31224300</v>
      </c>
      <c r="BY211" s="230">
        <v>31651100</v>
      </c>
      <c r="BZ211" s="230">
        <v>-426800</v>
      </c>
      <c r="CA211" s="229">
        <v>-1.35E-2</v>
      </c>
      <c r="CB211" s="230">
        <v>1338600</v>
      </c>
      <c r="CC211" s="230">
        <v>3501700</v>
      </c>
      <c r="CD211" s="230">
        <v>-2163100</v>
      </c>
      <c r="CE211" s="229">
        <v>-0.61770000000000003</v>
      </c>
      <c r="CF211" s="230">
        <v>31020600</v>
      </c>
      <c r="CG211" s="230">
        <v>27969950</v>
      </c>
      <c r="CH211" s="230">
        <v>3050650</v>
      </c>
      <c r="CI211" s="229">
        <v>0.1091</v>
      </c>
      <c r="CJ211" s="230">
        <v>203700</v>
      </c>
      <c r="CK211" s="230">
        <v>179450</v>
      </c>
      <c r="CL211" s="230">
        <v>24250</v>
      </c>
      <c r="CM211" s="229">
        <v>0.1351</v>
      </c>
      <c r="CN211" s="230">
        <v>1115500</v>
      </c>
      <c r="CO211" s="230">
        <v>8322600</v>
      </c>
      <c r="CP211" s="230">
        <v>-7207100</v>
      </c>
      <c r="CQ211" s="229">
        <v>-0.86599999999999999</v>
      </c>
      <c r="CR211" s="230">
        <v>1910900</v>
      </c>
      <c r="CS211" s="230">
        <v>5703600</v>
      </c>
      <c r="CT211" s="230">
        <v>-3792700</v>
      </c>
      <c r="CU211" s="229">
        <v>-0.66500000000000004</v>
      </c>
      <c r="CV211" s="230">
        <v>34250700</v>
      </c>
      <c r="CW211" s="230">
        <v>45677300</v>
      </c>
      <c r="CX211" s="230">
        <v>-11426600</v>
      </c>
      <c r="CY211" s="229">
        <v>-0.25019999999999998</v>
      </c>
      <c r="CZ211" s="228">
        <v>33.24</v>
      </c>
      <c r="DA211" s="228">
        <v>32.6</v>
      </c>
      <c r="DB211" s="228">
        <v>0.64</v>
      </c>
      <c r="DC211" s="228">
        <v>0.64</v>
      </c>
      <c r="DD211" s="228">
        <v>37.17</v>
      </c>
      <c r="DE211" s="228">
        <v>37.26</v>
      </c>
      <c r="DF211" s="228">
        <v>-3.93</v>
      </c>
      <c r="DG211" s="228">
        <v>-0.09</v>
      </c>
      <c r="DH211" s="228">
        <v>33.520000000000003</v>
      </c>
      <c r="DI211" s="228">
        <v>32.67</v>
      </c>
      <c r="DJ211" s="228">
        <v>0.85</v>
      </c>
      <c r="DK211" s="228">
        <v>0.85</v>
      </c>
      <c r="DL211" s="228">
        <v>32.840000000000003</v>
      </c>
      <c r="DM211" s="228">
        <v>32.5</v>
      </c>
      <c r="DN211" s="228">
        <v>0.34</v>
      </c>
      <c r="DO211" s="228">
        <v>0.34</v>
      </c>
      <c r="DP211" s="228">
        <v>1.71</v>
      </c>
      <c r="DQ211" s="228">
        <v>0.69</v>
      </c>
      <c r="DR211" s="228">
        <v>1.02</v>
      </c>
      <c r="DS211" s="229">
        <v>1.4782999999999999</v>
      </c>
      <c r="DT211" s="228">
        <v>122</v>
      </c>
      <c r="DU211" s="228">
        <v>125</v>
      </c>
      <c r="DV211" s="228">
        <v>0.37</v>
      </c>
      <c r="DW211" s="228">
        <v>0.28999999999999998</v>
      </c>
      <c r="DX211" s="228">
        <v>0.08</v>
      </c>
      <c r="DY211" s="229">
        <v>0.27589999999999998</v>
      </c>
      <c r="DZ211" s="229">
        <v>0.95889999999999997</v>
      </c>
      <c r="EA211" s="230">
        <v>28149400</v>
      </c>
      <c r="EB211" s="229">
        <v>7.6E-3</v>
      </c>
      <c r="EC211" s="229">
        <v>0.95889999999999997</v>
      </c>
      <c r="ED211" s="228">
        <v>0.85</v>
      </c>
      <c r="EE211" s="229">
        <v>7.0000000000000001E-3</v>
      </c>
      <c r="EF211" s="230">
        <v>2085611</v>
      </c>
      <c r="EG211" s="230">
        <v>3409799</v>
      </c>
      <c r="EH211" s="229">
        <v>-0.38829999999999998</v>
      </c>
      <c r="EI211" s="229">
        <v>0.4204</v>
      </c>
      <c r="EJ211" s="231">
        <v>9148.94</v>
      </c>
      <c r="EK211" s="231">
        <v>3275.95</v>
      </c>
      <c r="EL211" s="231">
        <v>12915.78</v>
      </c>
      <c r="EM211" s="231">
        <v>3310</v>
      </c>
      <c r="EN211" s="231">
        <v>25340.67</v>
      </c>
      <c r="EO211" s="231">
        <v>36957.46</v>
      </c>
      <c r="EP211" s="231">
        <v>-11616.79</v>
      </c>
      <c r="EQ211" s="229">
        <v>-0.31430000000000002</v>
      </c>
      <c r="ER211" s="231">
        <v>1377</v>
      </c>
      <c r="ES211" s="231">
        <v>2336</v>
      </c>
      <c r="ET211" s="231">
        <v>38039</v>
      </c>
      <c r="EU211" s="231">
        <v>321828727</v>
      </c>
      <c r="EV211" s="231">
        <v>41753</v>
      </c>
      <c r="EW211" s="231">
        <v>55892</v>
      </c>
      <c r="EX211" s="231">
        <v>-14139</v>
      </c>
      <c r="EY211" s="229">
        <v>-0.253</v>
      </c>
      <c r="EZ211" s="229">
        <v>0.10639999999999999</v>
      </c>
      <c r="FA211" s="227" t="s">
        <v>567</v>
      </c>
      <c r="FB211" s="161">
        <f t="shared" si="5"/>
        <v>0</v>
      </c>
    </row>
    <row r="212" spans="1:158" ht="17.25" thickBot="1" x14ac:dyDescent="0.3">
      <c r="A212" s="226">
        <v>46168</v>
      </c>
      <c r="B212" s="227" t="s">
        <v>184</v>
      </c>
      <c r="C212" s="227" t="s">
        <v>305</v>
      </c>
      <c r="D212" s="228">
        <v>375</v>
      </c>
      <c r="E212" s="231">
        <v>1261.8</v>
      </c>
      <c r="F212" s="231">
        <v>1267.4000000000001</v>
      </c>
      <c r="G212" s="228">
        <v>-5.6</v>
      </c>
      <c r="H212" s="229">
        <v>-4.4000000000000003E-3</v>
      </c>
      <c r="I212" s="231">
        <v>1271.4000000000001</v>
      </c>
      <c r="J212" s="231">
        <v>1284</v>
      </c>
      <c r="K212" s="228">
        <v>-12.6</v>
      </c>
      <c r="L212" s="229">
        <v>-9.7999999999999997E-3</v>
      </c>
      <c r="M212" s="231">
        <v>1270.7</v>
      </c>
      <c r="N212" s="231">
        <v>1289.5999999999999</v>
      </c>
      <c r="O212" s="228">
        <v>-18.899999999999999</v>
      </c>
      <c r="P212" s="229">
        <v>-1.47E-2</v>
      </c>
      <c r="Q212" s="231">
        <v>1261.8</v>
      </c>
      <c r="R212" s="231">
        <v>1267.4000000000001</v>
      </c>
      <c r="S212" s="228">
        <v>-5.6</v>
      </c>
      <c r="T212" s="229">
        <v>-4.4000000000000003E-3</v>
      </c>
      <c r="U212" s="231">
        <v>1251.4000000000001</v>
      </c>
      <c r="V212" s="231">
        <v>1257.0999999999999</v>
      </c>
      <c r="W212" s="228">
        <v>-5.7</v>
      </c>
      <c r="X212" s="229">
        <v>-4.4999999999999997E-3</v>
      </c>
      <c r="Y212" s="228">
        <v>-9.6</v>
      </c>
      <c r="Z212" s="228">
        <v>5.6</v>
      </c>
      <c r="AA212" s="228">
        <v>-15.2</v>
      </c>
      <c r="AB212" s="229">
        <v>-7.6E-3</v>
      </c>
      <c r="AC212" s="228">
        <v>-0.7</v>
      </c>
      <c r="AD212" s="228">
        <v>5.6</v>
      </c>
      <c r="AE212" s="228">
        <v>-6.3</v>
      </c>
      <c r="AF212" s="229">
        <v>-5.9999999999999995E-4</v>
      </c>
      <c r="AG212" s="228">
        <v>-9.6</v>
      </c>
      <c r="AH212" s="228">
        <v>-16.600000000000001</v>
      </c>
      <c r="AI212" s="228">
        <v>7</v>
      </c>
      <c r="AJ212" s="229">
        <v>-7.6E-3</v>
      </c>
      <c r="AK212" s="228">
        <v>-20</v>
      </c>
      <c r="AL212" s="228">
        <v>-26.9</v>
      </c>
      <c r="AM212" s="228">
        <v>6.9</v>
      </c>
      <c r="AN212" s="229">
        <v>-1.5699999999999999E-2</v>
      </c>
      <c r="AO212" s="231">
        <v>1277.8599999999999</v>
      </c>
      <c r="AP212" s="231">
        <v>1258.44</v>
      </c>
      <c r="AQ212" s="228">
        <v>0</v>
      </c>
      <c r="AR212" s="230">
        <v>4489125</v>
      </c>
      <c r="AS212" s="230">
        <v>7002375</v>
      </c>
      <c r="AT212" s="230">
        <v>-2513250</v>
      </c>
      <c r="AU212" s="229">
        <v>-0.3589</v>
      </c>
      <c r="AV212" s="230">
        <v>2055750</v>
      </c>
      <c r="AW212" s="230">
        <v>3608250</v>
      </c>
      <c r="AX212" s="230">
        <v>-1552500</v>
      </c>
      <c r="AY212" s="229">
        <v>-0.43030000000000002</v>
      </c>
      <c r="AZ212" s="230">
        <v>2344125</v>
      </c>
      <c r="BA212" s="230">
        <v>3226875</v>
      </c>
      <c r="BB212" s="230">
        <v>-882750</v>
      </c>
      <c r="BC212" s="229">
        <v>-0.27360000000000001</v>
      </c>
      <c r="BD212" s="230">
        <v>89250</v>
      </c>
      <c r="BE212" s="230">
        <v>167250</v>
      </c>
      <c r="BF212" s="230">
        <v>-78000</v>
      </c>
      <c r="BG212" s="229">
        <v>-0.46639999999999998</v>
      </c>
      <c r="BH212" s="230">
        <v>3530250</v>
      </c>
      <c r="BI212" s="230">
        <v>9910125</v>
      </c>
      <c r="BJ212" s="230">
        <v>-6379875</v>
      </c>
      <c r="BK212" s="229">
        <v>-0.64380000000000004</v>
      </c>
      <c r="BL212" s="230">
        <v>1912875</v>
      </c>
      <c r="BM212" s="230">
        <v>4272000</v>
      </c>
      <c r="BN212" s="230">
        <v>-2359125</v>
      </c>
      <c r="BO212" s="229">
        <v>-0.55220000000000002</v>
      </c>
      <c r="BP212" s="230">
        <v>9932250</v>
      </c>
      <c r="BQ212" s="230">
        <v>21184500</v>
      </c>
      <c r="BR212" s="230">
        <v>-11252250</v>
      </c>
      <c r="BS212" s="229">
        <v>-0.53120000000000001</v>
      </c>
      <c r="BT212" s="230">
        <v>617667</v>
      </c>
      <c r="BU212" s="230">
        <v>1162275</v>
      </c>
      <c r="BV212" s="230">
        <v>-544608</v>
      </c>
      <c r="BW212" s="229">
        <v>-0.46860000000000002</v>
      </c>
      <c r="BX212" s="230">
        <v>10027125</v>
      </c>
      <c r="BY212" s="230">
        <v>11030625</v>
      </c>
      <c r="BZ212" s="230">
        <v>-1003500</v>
      </c>
      <c r="CA212" s="229">
        <v>-9.0999999999999998E-2</v>
      </c>
      <c r="CB212" s="230">
        <v>1053000</v>
      </c>
      <c r="CC212" s="230">
        <v>2106750</v>
      </c>
      <c r="CD212" s="230">
        <v>-1053750</v>
      </c>
      <c r="CE212" s="229">
        <v>-0.50019999999999998</v>
      </c>
      <c r="CF212" s="230">
        <v>9745875</v>
      </c>
      <c r="CG212" s="230">
        <v>8681625</v>
      </c>
      <c r="CH212" s="230">
        <v>1064250</v>
      </c>
      <c r="CI212" s="229">
        <v>0.1226</v>
      </c>
      <c r="CJ212" s="230">
        <v>281250</v>
      </c>
      <c r="CK212" s="230">
        <v>242250</v>
      </c>
      <c r="CL212" s="230">
        <v>39000</v>
      </c>
      <c r="CM212" s="229">
        <v>0.161</v>
      </c>
      <c r="CN212" s="230">
        <v>2271750</v>
      </c>
      <c r="CO212" s="230">
        <v>6440250</v>
      </c>
      <c r="CP212" s="230">
        <v>-4168500</v>
      </c>
      <c r="CQ212" s="229">
        <v>-0.64729999999999999</v>
      </c>
      <c r="CR212" s="230">
        <v>1764750</v>
      </c>
      <c r="CS212" s="230">
        <v>4212000</v>
      </c>
      <c r="CT212" s="230">
        <v>-2447250</v>
      </c>
      <c r="CU212" s="229">
        <v>-0.58099999999999996</v>
      </c>
      <c r="CV212" s="230">
        <v>14063625</v>
      </c>
      <c r="CW212" s="230">
        <v>21682875</v>
      </c>
      <c r="CX212" s="230">
        <v>-7619250</v>
      </c>
      <c r="CY212" s="229">
        <v>-0.35139999999999999</v>
      </c>
      <c r="CZ212" s="228">
        <v>33.31</v>
      </c>
      <c r="DA212" s="228">
        <v>34.979999999999997</v>
      </c>
      <c r="DB212" s="228">
        <v>-1.67</v>
      </c>
      <c r="DC212" s="228">
        <v>-1.67</v>
      </c>
      <c r="DD212" s="228">
        <v>40.64</v>
      </c>
      <c r="DE212" s="228">
        <v>40.729999999999997</v>
      </c>
      <c r="DF212" s="228">
        <v>-7.33</v>
      </c>
      <c r="DG212" s="228">
        <v>-0.09</v>
      </c>
      <c r="DH212" s="228">
        <v>33.78</v>
      </c>
      <c r="DI212" s="228">
        <v>35.159999999999997</v>
      </c>
      <c r="DJ212" s="228">
        <v>-1.38</v>
      </c>
      <c r="DK212" s="228">
        <v>-1.38</v>
      </c>
      <c r="DL212" s="228">
        <v>32.450000000000003</v>
      </c>
      <c r="DM212" s="228">
        <v>34.65</v>
      </c>
      <c r="DN212" s="228">
        <v>-2.2000000000000002</v>
      </c>
      <c r="DO212" s="228">
        <v>-2.2000000000000002</v>
      </c>
      <c r="DP212" s="228">
        <v>0.78</v>
      </c>
      <c r="DQ212" s="228">
        <v>0.65</v>
      </c>
      <c r="DR212" s="228">
        <v>0.13</v>
      </c>
      <c r="DS212" s="229">
        <v>0.2</v>
      </c>
      <c r="DT212" s="231">
        <v>1300</v>
      </c>
      <c r="DU212" s="231">
        <v>1200</v>
      </c>
      <c r="DV212" s="228">
        <v>0.54</v>
      </c>
      <c r="DW212" s="228">
        <v>0.43</v>
      </c>
      <c r="DX212" s="228">
        <v>0.11</v>
      </c>
      <c r="DY212" s="229">
        <v>0.25580000000000003</v>
      </c>
      <c r="DZ212" s="229">
        <v>0.90500000000000003</v>
      </c>
      <c r="EA212" s="230">
        <v>8923875</v>
      </c>
      <c r="EB212" s="229">
        <v>-7.0000000000000001E-3</v>
      </c>
      <c r="EC212" s="229">
        <v>0.90500000000000003</v>
      </c>
      <c r="ED212" s="228">
        <v>-19.420000000000002</v>
      </c>
      <c r="EE212" s="229">
        <v>-1.52E-2</v>
      </c>
      <c r="EF212" s="230">
        <v>299543</v>
      </c>
      <c r="EG212" s="230">
        <v>652686</v>
      </c>
      <c r="EH212" s="229">
        <v>-0.54110000000000003</v>
      </c>
      <c r="EI212" s="229">
        <v>0.48499999999999999</v>
      </c>
      <c r="EJ212" s="231">
        <v>48543.64</v>
      </c>
      <c r="EK212" s="231">
        <v>24943.439999999999</v>
      </c>
      <c r="EL212" s="231">
        <v>56885.279999999999</v>
      </c>
      <c r="EM212" s="231">
        <v>14515</v>
      </c>
      <c r="EN212" s="231">
        <v>130372.36</v>
      </c>
      <c r="EO212" s="231">
        <v>277718.52</v>
      </c>
      <c r="EP212" s="231">
        <v>-147346.16</v>
      </c>
      <c r="EQ212" s="229">
        <v>-0.53059999999999996</v>
      </c>
      <c r="ER212" s="231">
        <v>31007</v>
      </c>
      <c r="ES212" s="231">
        <v>21990</v>
      </c>
      <c r="ET212" s="231">
        <v>126493</v>
      </c>
      <c r="EU212" s="231">
        <v>25134629</v>
      </c>
      <c r="EV212" s="231">
        <v>179490</v>
      </c>
      <c r="EW212" s="231">
        <v>285271</v>
      </c>
      <c r="EX212" s="231">
        <v>-105781</v>
      </c>
      <c r="EY212" s="229">
        <v>-0.37080000000000002</v>
      </c>
      <c r="EZ212" s="229">
        <v>0.5595</v>
      </c>
      <c r="FA212" s="227" t="s">
        <v>567</v>
      </c>
      <c r="FB212" s="161">
        <f t="shared" si="5"/>
        <v>0</v>
      </c>
    </row>
    <row r="213" spans="1:158" ht="17.25" thickBot="1" x14ac:dyDescent="0.3">
      <c r="A213" s="226">
        <v>46168</v>
      </c>
      <c r="B213" s="227" t="s">
        <v>184</v>
      </c>
      <c r="C213" s="227" t="s">
        <v>688</v>
      </c>
      <c r="D213" s="228">
        <v>175</v>
      </c>
      <c r="E213" s="231">
        <v>3107.6</v>
      </c>
      <c r="F213" s="231">
        <v>3004.9</v>
      </c>
      <c r="G213" s="228">
        <v>102.7</v>
      </c>
      <c r="H213" s="229">
        <v>3.4200000000000001E-2</v>
      </c>
      <c r="I213" s="231">
        <v>3088.1</v>
      </c>
      <c r="J213" s="231">
        <v>2984.2</v>
      </c>
      <c r="K213" s="228">
        <v>103.9</v>
      </c>
      <c r="L213" s="229">
        <v>3.4799999999999998E-2</v>
      </c>
      <c r="M213" s="231">
        <v>3083</v>
      </c>
      <c r="N213" s="231">
        <v>2987.8</v>
      </c>
      <c r="O213" s="228">
        <v>95.2</v>
      </c>
      <c r="P213" s="229">
        <v>3.1899999999999998E-2</v>
      </c>
      <c r="Q213" s="231">
        <v>3107.6</v>
      </c>
      <c r="R213" s="231">
        <v>3004.9</v>
      </c>
      <c r="S213" s="228">
        <v>102.7</v>
      </c>
      <c r="T213" s="229">
        <v>3.4200000000000001E-2</v>
      </c>
      <c r="U213" s="231">
        <v>3127.6</v>
      </c>
      <c r="V213" s="231">
        <v>3021.6</v>
      </c>
      <c r="W213" s="228">
        <v>106</v>
      </c>
      <c r="X213" s="229">
        <v>3.5099999999999999E-2</v>
      </c>
      <c r="Y213" s="228">
        <v>19.5</v>
      </c>
      <c r="Z213" s="228">
        <v>3.6</v>
      </c>
      <c r="AA213" s="228">
        <v>15.9</v>
      </c>
      <c r="AB213" s="229">
        <v>6.3E-3</v>
      </c>
      <c r="AC213" s="228">
        <v>-5.0999999999999996</v>
      </c>
      <c r="AD213" s="228">
        <v>3.6</v>
      </c>
      <c r="AE213" s="228">
        <v>-8.6999999999999993</v>
      </c>
      <c r="AF213" s="229">
        <v>-1.6999999999999999E-3</v>
      </c>
      <c r="AG213" s="228">
        <v>19.5</v>
      </c>
      <c r="AH213" s="228">
        <v>20.7</v>
      </c>
      <c r="AI213" s="228">
        <v>-1.2</v>
      </c>
      <c r="AJ213" s="229">
        <v>6.3E-3</v>
      </c>
      <c r="AK213" s="228">
        <v>39.5</v>
      </c>
      <c r="AL213" s="228">
        <v>37.4</v>
      </c>
      <c r="AM213" s="228">
        <v>2.1</v>
      </c>
      <c r="AN213" s="229">
        <v>1.2800000000000001E-2</v>
      </c>
      <c r="AO213" s="231">
        <v>3081.5</v>
      </c>
      <c r="AP213" s="231">
        <v>3101.9</v>
      </c>
      <c r="AQ213" s="228">
        <v>0</v>
      </c>
      <c r="AR213" s="230">
        <v>3932600</v>
      </c>
      <c r="AS213" s="230">
        <v>3656100</v>
      </c>
      <c r="AT213" s="230">
        <v>276500</v>
      </c>
      <c r="AU213" s="229">
        <v>7.5600000000000001E-2</v>
      </c>
      <c r="AV213" s="230">
        <v>1522150</v>
      </c>
      <c r="AW213" s="230">
        <v>1720600</v>
      </c>
      <c r="AX213" s="230">
        <v>-198450</v>
      </c>
      <c r="AY213" s="229">
        <v>-0.1153</v>
      </c>
      <c r="AZ213" s="230">
        <v>2376675</v>
      </c>
      <c r="BA213" s="230">
        <v>1906450</v>
      </c>
      <c r="BB213" s="230">
        <v>470225</v>
      </c>
      <c r="BC213" s="229">
        <v>0.24660000000000001</v>
      </c>
      <c r="BD213" s="230">
        <v>33775</v>
      </c>
      <c r="BE213" s="230">
        <v>29050</v>
      </c>
      <c r="BF213" s="230">
        <v>4725</v>
      </c>
      <c r="BG213" s="229">
        <v>0.16270000000000001</v>
      </c>
      <c r="BH213" s="230">
        <v>13625500</v>
      </c>
      <c r="BI213" s="230">
        <v>7265300</v>
      </c>
      <c r="BJ213" s="230">
        <v>6360200</v>
      </c>
      <c r="BK213" s="229">
        <v>0.87539999999999996</v>
      </c>
      <c r="BL213" s="230">
        <v>4553850</v>
      </c>
      <c r="BM213" s="230">
        <v>1844325</v>
      </c>
      <c r="BN213" s="230">
        <v>2709525</v>
      </c>
      <c r="BO213" s="229">
        <v>1.4691000000000001</v>
      </c>
      <c r="BP213" s="230">
        <v>22111950</v>
      </c>
      <c r="BQ213" s="230">
        <v>12765725</v>
      </c>
      <c r="BR213" s="230">
        <v>9346225</v>
      </c>
      <c r="BS213" s="229">
        <v>0.73209999999999997</v>
      </c>
      <c r="BT213" s="230">
        <v>1540466</v>
      </c>
      <c r="BU213" s="230">
        <v>1277965</v>
      </c>
      <c r="BV213" s="230">
        <v>262501</v>
      </c>
      <c r="BW213" s="229">
        <v>0.2054</v>
      </c>
      <c r="BX213" s="230">
        <v>5532450</v>
      </c>
      <c r="BY213" s="230">
        <v>6258700</v>
      </c>
      <c r="BZ213" s="230">
        <v>-726250</v>
      </c>
      <c r="CA213" s="229">
        <v>-0.11600000000000001</v>
      </c>
      <c r="CB213" s="230">
        <v>460075</v>
      </c>
      <c r="CC213" s="230">
        <v>1416450</v>
      </c>
      <c r="CD213" s="230">
        <v>-956375</v>
      </c>
      <c r="CE213" s="229">
        <v>-0.67520000000000002</v>
      </c>
      <c r="CF213" s="230">
        <v>5422900</v>
      </c>
      <c r="CG213" s="230">
        <v>4739525</v>
      </c>
      <c r="CH213" s="230">
        <v>683375</v>
      </c>
      <c r="CI213" s="229">
        <v>0.14419999999999999</v>
      </c>
      <c r="CJ213" s="230">
        <v>109550</v>
      </c>
      <c r="CK213" s="230">
        <v>102725</v>
      </c>
      <c r="CL213" s="230">
        <v>6825</v>
      </c>
      <c r="CM213" s="229">
        <v>6.6400000000000001E-2</v>
      </c>
      <c r="CN213" s="230">
        <v>1081850</v>
      </c>
      <c r="CO213" s="230">
        <v>4336850</v>
      </c>
      <c r="CP213" s="230">
        <v>-3255000</v>
      </c>
      <c r="CQ213" s="229">
        <v>-0.75049999999999994</v>
      </c>
      <c r="CR213" s="230">
        <v>755125</v>
      </c>
      <c r="CS213" s="230">
        <v>1909075</v>
      </c>
      <c r="CT213" s="230">
        <v>-1153950</v>
      </c>
      <c r="CU213" s="229">
        <v>-0.60450000000000004</v>
      </c>
      <c r="CV213" s="230">
        <v>7369425</v>
      </c>
      <c r="CW213" s="230">
        <v>12504625</v>
      </c>
      <c r="CX213" s="230">
        <v>-5135200</v>
      </c>
      <c r="CY213" s="229">
        <v>-0.41070000000000001</v>
      </c>
      <c r="CZ213" s="228">
        <v>33.51</v>
      </c>
      <c r="DA213" s="228">
        <v>35.049999999999997</v>
      </c>
      <c r="DB213" s="228">
        <v>-1.54</v>
      </c>
      <c r="DC213" s="228">
        <v>-1.54</v>
      </c>
      <c r="DD213" s="228">
        <v>52.74</v>
      </c>
      <c r="DE213" s="228">
        <v>52.67</v>
      </c>
      <c r="DF213" s="228">
        <v>-19.23</v>
      </c>
      <c r="DG213" s="228">
        <v>7.0000000000000007E-2</v>
      </c>
      <c r="DH213" s="228">
        <v>33.86</v>
      </c>
      <c r="DI213" s="228">
        <v>35.200000000000003</v>
      </c>
      <c r="DJ213" s="228">
        <v>-1.34</v>
      </c>
      <c r="DK213" s="228">
        <v>-1.34</v>
      </c>
      <c r="DL213" s="228">
        <v>32.630000000000003</v>
      </c>
      <c r="DM213" s="228">
        <v>34.590000000000003</v>
      </c>
      <c r="DN213" s="228">
        <v>-1.96</v>
      </c>
      <c r="DO213" s="228">
        <v>-1.96</v>
      </c>
      <c r="DP213" s="228">
        <v>0.7</v>
      </c>
      <c r="DQ213" s="228">
        <v>0.44</v>
      </c>
      <c r="DR213" s="228">
        <v>0.26</v>
      </c>
      <c r="DS213" s="229">
        <v>0.59089999999999998</v>
      </c>
      <c r="DT213" s="231">
        <v>3500</v>
      </c>
      <c r="DU213" s="231">
        <v>3000</v>
      </c>
      <c r="DV213" s="228">
        <v>0.33</v>
      </c>
      <c r="DW213" s="228">
        <v>0.25</v>
      </c>
      <c r="DX213" s="228">
        <v>0.08</v>
      </c>
      <c r="DY213" s="229">
        <v>0.32</v>
      </c>
      <c r="DZ213" s="229">
        <v>0.92320000000000002</v>
      </c>
      <c r="EA213" s="230">
        <v>4842250</v>
      </c>
      <c r="EB213" s="229">
        <v>8.0000000000000002E-3</v>
      </c>
      <c r="EC213" s="229">
        <v>0.92320000000000002</v>
      </c>
      <c r="ED213" s="228">
        <v>20.399999999999999</v>
      </c>
      <c r="EE213" s="229">
        <v>6.6E-3</v>
      </c>
      <c r="EF213" s="230">
        <v>526876</v>
      </c>
      <c r="EG213" s="230">
        <v>541186</v>
      </c>
      <c r="EH213" s="229">
        <v>-2.64E-2</v>
      </c>
      <c r="EI213" s="229">
        <v>0.34200000000000003</v>
      </c>
      <c r="EJ213" s="231">
        <v>436041.51</v>
      </c>
      <c r="EK213" s="231">
        <v>139731.95000000001</v>
      </c>
      <c r="EL213" s="231">
        <v>121681.35</v>
      </c>
      <c r="EM213" s="231">
        <v>13585</v>
      </c>
      <c r="EN213" s="231">
        <v>697454.81</v>
      </c>
      <c r="EO213" s="231">
        <v>396704.62</v>
      </c>
      <c r="EP213" s="231">
        <v>300750.19</v>
      </c>
      <c r="EQ213" s="229">
        <v>0.7581</v>
      </c>
      <c r="ER213" s="231">
        <v>34885</v>
      </c>
      <c r="ES213" s="231">
        <v>22565</v>
      </c>
      <c r="ET213" s="231">
        <v>171948</v>
      </c>
      <c r="EU213" s="231">
        <v>15436318</v>
      </c>
      <c r="EV213" s="231">
        <v>229398</v>
      </c>
      <c r="EW213" s="231">
        <v>391449</v>
      </c>
      <c r="EX213" s="231">
        <v>-162051</v>
      </c>
      <c r="EY213" s="229">
        <v>-0.41399999999999998</v>
      </c>
      <c r="EZ213" s="229">
        <v>0.47739999999999999</v>
      </c>
      <c r="FA213" s="227" t="s">
        <v>691</v>
      </c>
      <c r="FB213" s="161">
        <f t="shared" si="5"/>
        <v>0</v>
      </c>
    </row>
    <row r="214" spans="1:158" ht="17.25" thickBot="1" x14ac:dyDescent="0.3">
      <c r="A214" s="226">
        <v>46168</v>
      </c>
      <c r="B214" s="227" t="s">
        <v>221</v>
      </c>
      <c r="C214" s="227" t="s">
        <v>306</v>
      </c>
      <c r="D214" s="228">
        <v>3000</v>
      </c>
      <c r="E214" s="228">
        <v>181.41</v>
      </c>
      <c r="F214" s="228">
        <v>180.6</v>
      </c>
      <c r="G214" s="228">
        <v>0.81</v>
      </c>
      <c r="H214" s="229">
        <v>4.4999999999999997E-3</v>
      </c>
      <c r="I214" s="228">
        <v>203.73</v>
      </c>
      <c r="J214" s="228">
        <v>206.84</v>
      </c>
      <c r="K214" s="228">
        <v>-3.11</v>
      </c>
      <c r="L214" s="229">
        <v>-1.4999999999999999E-2</v>
      </c>
      <c r="M214" s="228">
        <v>203.94</v>
      </c>
      <c r="N214" s="228">
        <v>207.04</v>
      </c>
      <c r="O214" s="228">
        <v>-3.1</v>
      </c>
      <c r="P214" s="229">
        <v>-1.4999999999999999E-2</v>
      </c>
      <c r="Q214" s="228">
        <v>181.41</v>
      </c>
      <c r="R214" s="228">
        <v>180.6</v>
      </c>
      <c r="S214" s="228">
        <v>0.81</v>
      </c>
      <c r="T214" s="229">
        <v>4.4999999999999997E-3</v>
      </c>
      <c r="U214" s="228">
        <v>177.19</v>
      </c>
      <c r="V214" s="228">
        <v>177.27</v>
      </c>
      <c r="W214" s="228">
        <v>-0.08</v>
      </c>
      <c r="X214" s="229">
        <v>-5.0000000000000001E-4</v>
      </c>
      <c r="Y214" s="228">
        <v>-22.32</v>
      </c>
      <c r="Z214" s="228">
        <v>0.2</v>
      </c>
      <c r="AA214" s="228">
        <v>-22.52</v>
      </c>
      <c r="AB214" s="229">
        <v>-0.1096</v>
      </c>
      <c r="AC214" s="228">
        <v>0.21</v>
      </c>
      <c r="AD214" s="228">
        <v>0.2</v>
      </c>
      <c r="AE214" s="228">
        <v>0.01</v>
      </c>
      <c r="AF214" s="229">
        <v>1E-3</v>
      </c>
      <c r="AG214" s="228">
        <v>-22.32</v>
      </c>
      <c r="AH214" s="228">
        <v>-26.24</v>
      </c>
      <c r="AI214" s="228">
        <v>3.92</v>
      </c>
      <c r="AJ214" s="229">
        <v>-0.1096</v>
      </c>
      <c r="AK214" s="228">
        <v>-26.54</v>
      </c>
      <c r="AL214" s="228">
        <v>-29.57</v>
      </c>
      <c r="AM214" s="228">
        <v>3.03</v>
      </c>
      <c r="AN214" s="229">
        <v>-0.1303</v>
      </c>
      <c r="AO214" s="228">
        <v>206.79</v>
      </c>
      <c r="AP214" s="228">
        <v>179.75</v>
      </c>
      <c r="AQ214" s="228">
        <v>0</v>
      </c>
      <c r="AR214" s="230">
        <v>181542000</v>
      </c>
      <c r="AS214" s="230">
        <v>241779000</v>
      </c>
      <c r="AT214" s="230">
        <v>-60237000</v>
      </c>
      <c r="AU214" s="229">
        <v>-0.24909999999999999</v>
      </c>
      <c r="AV214" s="230">
        <v>90411000</v>
      </c>
      <c r="AW214" s="230">
        <v>127446000</v>
      </c>
      <c r="AX214" s="230">
        <v>-37035000</v>
      </c>
      <c r="AY214" s="229">
        <v>-0.29060000000000002</v>
      </c>
      <c r="AZ214" s="230">
        <v>80760000</v>
      </c>
      <c r="BA214" s="230">
        <v>100833000</v>
      </c>
      <c r="BB214" s="230">
        <v>-20073000</v>
      </c>
      <c r="BC214" s="229">
        <v>-0.1991</v>
      </c>
      <c r="BD214" s="230">
        <v>10371000</v>
      </c>
      <c r="BE214" s="230">
        <v>13500000</v>
      </c>
      <c r="BF214" s="230">
        <v>-3129000</v>
      </c>
      <c r="BG214" s="229">
        <v>-0.23180000000000001</v>
      </c>
      <c r="BH214" s="230">
        <v>185523000</v>
      </c>
      <c r="BI214" s="230">
        <v>340401000</v>
      </c>
      <c r="BJ214" s="230">
        <v>-154878000</v>
      </c>
      <c r="BK214" s="229">
        <v>-0.45500000000000002</v>
      </c>
      <c r="BL214" s="230">
        <v>106824000</v>
      </c>
      <c r="BM214" s="230">
        <v>151515000</v>
      </c>
      <c r="BN214" s="230">
        <v>-44691000</v>
      </c>
      <c r="BO214" s="229">
        <v>-0.29499999999999998</v>
      </c>
      <c r="BP214" s="230">
        <v>473889000</v>
      </c>
      <c r="BQ214" s="230">
        <v>733695000</v>
      </c>
      <c r="BR214" s="230">
        <v>-259806000</v>
      </c>
      <c r="BS214" s="229">
        <v>-0.35410000000000003</v>
      </c>
      <c r="BT214" s="230">
        <v>47435946</v>
      </c>
      <c r="BU214" s="230">
        <v>74569638</v>
      </c>
      <c r="BV214" s="230">
        <v>-27133692</v>
      </c>
      <c r="BW214" s="229">
        <v>-0.3639</v>
      </c>
      <c r="BX214" s="230">
        <v>270330000</v>
      </c>
      <c r="BY214" s="230">
        <v>336003000</v>
      </c>
      <c r="BZ214" s="230">
        <v>-65673000</v>
      </c>
      <c r="CA214" s="229">
        <v>-0.19550000000000001</v>
      </c>
      <c r="CB214" s="230">
        <v>48522000</v>
      </c>
      <c r="CC214" s="230">
        <v>85164000</v>
      </c>
      <c r="CD214" s="230">
        <v>-36642000</v>
      </c>
      <c r="CE214" s="229">
        <v>-0.43030000000000002</v>
      </c>
      <c r="CF214" s="230">
        <v>244632000</v>
      </c>
      <c r="CG214" s="230">
        <v>229455000</v>
      </c>
      <c r="CH214" s="230">
        <v>15177000</v>
      </c>
      <c r="CI214" s="229">
        <v>6.6100000000000006E-2</v>
      </c>
      <c r="CJ214" s="230">
        <v>25698000</v>
      </c>
      <c r="CK214" s="230">
        <v>21384000</v>
      </c>
      <c r="CL214" s="230">
        <v>4314000</v>
      </c>
      <c r="CM214" s="229">
        <v>0.20169999999999999</v>
      </c>
      <c r="CN214" s="230">
        <v>126810000</v>
      </c>
      <c r="CO214" s="230">
        <v>174732000</v>
      </c>
      <c r="CP214" s="230">
        <v>-47922000</v>
      </c>
      <c r="CQ214" s="229">
        <v>-0.27429999999999999</v>
      </c>
      <c r="CR214" s="230">
        <v>83256000</v>
      </c>
      <c r="CS214" s="230">
        <v>105474000</v>
      </c>
      <c r="CT214" s="230">
        <v>-22218000</v>
      </c>
      <c r="CU214" s="229">
        <v>-0.21060000000000001</v>
      </c>
      <c r="CV214" s="230">
        <v>480396000</v>
      </c>
      <c r="CW214" s="230">
        <v>616209000</v>
      </c>
      <c r="CX214" s="230">
        <v>-135813000</v>
      </c>
      <c r="CY214" s="229">
        <v>-0.22040000000000001</v>
      </c>
      <c r="CZ214" s="228">
        <v>33.54</v>
      </c>
      <c r="DA214" s="228">
        <v>34.42</v>
      </c>
      <c r="DB214" s="228">
        <v>-0.88</v>
      </c>
      <c r="DC214" s="228">
        <v>-0.88</v>
      </c>
      <c r="DD214" s="228">
        <v>31.06</v>
      </c>
      <c r="DE214" s="228">
        <v>31.13</v>
      </c>
      <c r="DF214" s="228">
        <v>2.48</v>
      </c>
      <c r="DG214" s="228">
        <v>-7.0000000000000007E-2</v>
      </c>
      <c r="DH214" s="228">
        <v>34.94</v>
      </c>
      <c r="DI214" s="228">
        <v>36.01</v>
      </c>
      <c r="DJ214" s="228">
        <v>-1.07</v>
      </c>
      <c r="DK214" s="228">
        <v>-1.07</v>
      </c>
      <c r="DL214" s="228">
        <v>30.77</v>
      </c>
      <c r="DM214" s="228">
        <v>29.59</v>
      </c>
      <c r="DN214" s="228">
        <v>1.18</v>
      </c>
      <c r="DO214" s="228">
        <v>1.18</v>
      </c>
      <c r="DP214" s="228">
        <v>0.66</v>
      </c>
      <c r="DQ214" s="228">
        <v>0.6</v>
      </c>
      <c r="DR214" s="228">
        <v>0.06</v>
      </c>
      <c r="DS214" s="229">
        <v>0.1</v>
      </c>
      <c r="DT214" s="228">
        <v>200</v>
      </c>
      <c r="DU214" s="228">
        <v>180</v>
      </c>
      <c r="DV214" s="228">
        <v>0.57999999999999996</v>
      </c>
      <c r="DW214" s="228">
        <v>0.45</v>
      </c>
      <c r="DX214" s="228">
        <v>0.13</v>
      </c>
      <c r="DY214" s="229">
        <v>0.28889999999999999</v>
      </c>
      <c r="DZ214" s="229">
        <v>0.8478</v>
      </c>
      <c r="EA214" s="230">
        <v>250839000</v>
      </c>
      <c r="EB214" s="229">
        <v>-0.1105</v>
      </c>
      <c r="EC214" s="229">
        <v>0.8478</v>
      </c>
      <c r="ED214" s="228">
        <v>-27.04</v>
      </c>
      <c r="EE214" s="229">
        <v>-0.1308</v>
      </c>
      <c r="EF214" s="230">
        <v>27653330</v>
      </c>
      <c r="EG214" s="230">
        <v>42041781</v>
      </c>
      <c r="EH214" s="229">
        <v>-0.3422</v>
      </c>
      <c r="EI214" s="229">
        <v>0.58299999999999996</v>
      </c>
      <c r="EJ214" s="231">
        <v>379939.9</v>
      </c>
      <c r="EK214" s="231">
        <v>198073.86</v>
      </c>
      <c r="EL214" s="231">
        <v>350404.7</v>
      </c>
      <c r="EM214" s="231">
        <v>55830</v>
      </c>
      <c r="EN214" s="231">
        <v>928418.46</v>
      </c>
      <c r="EO214" s="231">
        <v>1481764.44</v>
      </c>
      <c r="EP214" s="231">
        <v>-553345.98</v>
      </c>
      <c r="EQ214" s="229">
        <v>-0.37340000000000001</v>
      </c>
      <c r="ER214" s="231">
        <v>254139</v>
      </c>
      <c r="ES214" s="231">
        <v>150590</v>
      </c>
      <c r="ET214" s="231">
        <v>489321</v>
      </c>
      <c r="EU214" s="231">
        <v>428710078</v>
      </c>
      <c r="EV214" s="231">
        <v>894050</v>
      </c>
      <c r="EW214" s="231">
        <v>1182756</v>
      </c>
      <c r="EX214" s="231">
        <v>-288706</v>
      </c>
      <c r="EY214" s="229">
        <v>-0.24410000000000001</v>
      </c>
      <c r="EZ214" s="229">
        <v>1.1206</v>
      </c>
      <c r="FA214" s="227" t="s">
        <v>691</v>
      </c>
      <c r="FB214" s="161">
        <f t="shared" si="5"/>
        <v>0</v>
      </c>
    </row>
    <row r="215" spans="1:158" ht="17.25" thickBot="1" x14ac:dyDescent="0.3">
      <c r="A215" s="226">
        <v>46168</v>
      </c>
      <c r="B215" s="227" t="s">
        <v>172</v>
      </c>
      <c r="C215" s="227" t="s">
        <v>589</v>
      </c>
      <c r="D215" s="228">
        <v>31100</v>
      </c>
      <c r="E215" s="228">
        <v>23.01</v>
      </c>
      <c r="F215" s="228">
        <v>22.46</v>
      </c>
      <c r="G215" s="228">
        <v>0.55000000000000004</v>
      </c>
      <c r="H215" s="229">
        <v>2.4500000000000001E-2</v>
      </c>
      <c r="I215" s="228">
        <v>22.83</v>
      </c>
      <c r="J215" s="228">
        <v>22.29</v>
      </c>
      <c r="K215" s="228">
        <v>0.54</v>
      </c>
      <c r="L215" s="229">
        <v>2.4199999999999999E-2</v>
      </c>
      <c r="M215" s="228">
        <v>22.84</v>
      </c>
      <c r="N215" s="228">
        <v>22.32</v>
      </c>
      <c r="O215" s="228">
        <v>0.52</v>
      </c>
      <c r="P215" s="229">
        <v>2.3300000000000001E-2</v>
      </c>
      <c r="Q215" s="228">
        <v>23.01</v>
      </c>
      <c r="R215" s="228">
        <v>22.46</v>
      </c>
      <c r="S215" s="228">
        <v>0.55000000000000004</v>
      </c>
      <c r="T215" s="229">
        <v>2.4500000000000001E-2</v>
      </c>
      <c r="U215" s="228">
        <v>23.15</v>
      </c>
      <c r="V215" s="228">
        <v>22.62</v>
      </c>
      <c r="W215" s="228">
        <v>0.53</v>
      </c>
      <c r="X215" s="229">
        <v>2.3400000000000001E-2</v>
      </c>
      <c r="Y215" s="228">
        <v>0.18</v>
      </c>
      <c r="Z215" s="228">
        <v>0.03</v>
      </c>
      <c r="AA215" s="228">
        <v>0.15</v>
      </c>
      <c r="AB215" s="229">
        <v>7.9000000000000008E-3</v>
      </c>
      <c r="AC215" s="228">
        <v>0.01</v>
      </c>
      <c r="AD215" s="228">
        <v>0.03</v>
      </c>
      <c r="AE215" s="228">
        <v>-0.02</v>
      </c>
      <c r="AF215" s="229">
        <v>4.0000000000000002E-4</v>
      </c>
      <c r="AG215" s="228">
        <v>0.18</v>
      </c>
      <c r="AH215" s="228">
        <v>0.17</v>
      </c>
      <c r="AI215" s="228">
        <v>0.01</v>
      </c>
      <c r="AJ215" s="229">
        <v>7.9000000000000008E-3</v>
      </c>
      <c r="AK215" s="228">
        <v>0.32</v>
      </c>
      <c r="AL215" s="228">
        <v>0.33</v>
      </c>
      <c r="AM215" s="228">
        <v>-0.01</v>
      </c>
      <c r="AN215" s="229">
        <v>1.4E-2</v>
      </c>
      <c r="AO215" s="228">
        <v>22.57</v>
      </c>
      <c r="AP215" s="228">
        <v>22.73</v>
      </c>
      <c r="AQ215" s="228">
        <v>0</v>
      </c>
      <c r="AR215" s="230">
        <v>654903800</v>
      </c>
      <c r="AS215" s="230">
        <v>578366700</v>
      </c>
      <c r="AT215" s="230">
        <v>76537100</v>
      </c>
      <c r="AU215" s="229">
        <v>0.1323</v>
      </c>
      <c r="AV215" s="230">
        <v>253154000</v>
      </c>
      <c r="AW215" s="230">
        <v>264007900</v>
      </c>
      <c r="AX215" s="230">
        <v>-10853900</v>
      </c>
      <c r="AY215" s="229">
        <v>-4.1099999999999998E-2</v>
      </c>
      <c r="AZ215" s="230">
        <v>387972500</v>
      </c>
      <c r="BA215" s="230">
        <v>297689200</v>
      </c>
      <c r="BB215" s="230">
        <v>90283300</v>
      </c>
      <c r="BC215" s="229">
        <v>0.30330000000000001</v>
      </c>
      <c r="BD215" s="230">
        <v>13777300</v>
      </c>
      <c r="BE215" s="230">
        <v>16669600</v>
      </c>
      <c r="BF215" s="230">
        <v>-2892300</v>
      </c>
      <c r="BG215" s="229">
        <v>-0.17349999999999999</v>
      </c>
      <c r="BH215" s="230">
        <v>394316900</v>
      </c>
      <c r="BI215" s="230">
        <v>302540800</v>
      </c>
      <c r="BJ215" s="230">
        <v>91776100</v>
      </c>
      <c r="BK215" s="229">
        <v>0.3034</v>
      </c>
      <c r="BL215" s="230">
        <v>169743800</v>
      </c>
      <c r="BM215" s="230">
        <v>211324500</v>
      </c>
      <c r="BN215" s="230">
        <v>-41580700</v>
      </c>
      <c r="BO215" s="229">
        <v>-0.1968</v>
      </c>
      <c r="BP215" s="230">
        <v>1218964500</v>
      </c>
      <c r="BQ215" s="230">
        <v>1092232000</v>
      </c>
      <c r="BR215" s="230">
        <v>126732500</v>
      </c>
      <c r="BS215" s="229">
        <v>0.11600000000000001</v>
      </c>
      <c r="BT215" s="230">
        <v>135932089</v>
      </c>
      <c r="BU215" s="230">
        <v>78532270</v>
      </c>
      <c r="BV215" s="230">
        <v>57399819</v>
      </c>
      <c r="BW215" s="229">
        <v>0.73089999999999999</v>
      </c>
      <c r="BX215" s="230">
        <v>1217720500</v>
      </c>
      <c r="BY215" s="230">
        <v>1233923600</v>
      </c>
      <c r="BZ215" s="230">
        <v>-16203100</v>
      </c>
      <c r="CA215" s="229">
        <v>-1.3100000000000001E-2</v>
      </c>
      <c r="CB215" s="230">
        <v>34987500</v>
      </c>
      <c r="CC215" s="230">
        <v>227092200</v>
      </c>
      <c r="CD215" s="230">
        <v>-192104700</v>
      </c>
      <c r="CE215" s="229">
        <v>-0.84589999999999999</v>
      </c>
      <c r="CF215" s="230">
        <v>1119226800</v>
      </c>
      <c r="CG215" s="230">
        <v>913251500</v>
      </c>
      <c r="CH215" s="230">
        <v>205975300</v>
      </c>
      <c r="CI215" s="229">
        <v>0.22550000000000001</v>
      </c>
      <c r="CJ215" s="230">
        <v>98493700</v>
      </c>
      <c r="CK215" s="230">
        <v>93579900</v>
      </c>
      <c r="CL215" s="230">
        <v>4913800</v>
      </c>
      <c r="CM215" s="229">
        <v>5.2499999999999998E-2</v>
      </c>
      <c r="CN215" s="230">
        <v>175932700</v>
      </c>
      <c r="CO215" s="230">
        <v>409462600</v>
      </c>
      <c r="CP215" s="230">
        <v>-233529900</v>
      </c>
      <c r="CQ215" s="229">
        <v>-0.57030000000000003</v>
      </c>
      <c r="CR215" s="230">
        <v>113950400</v>
      </c>
      <c r="CS215" s="230">
        <v>262452900</v>
      </c>
      <c r="CT215" s="230">
        <v>-148502500</v>
      </c>
      <c r="CU215" s="229">
        <v>-0.56579999999999997</v>
      </c>
      <c r="CV215" s="230">
        <v>1507603600</v>
      </c>
      <c r="CW215" s="230">
        <v>1905839100</v>
      </c>
      <c r="CX215" s="230">
        <v>-398235500</v>
      </c>
      <c r="CY215" s="229">
        <v>-0.20899999999999999</v>
      </c>
      <c r="CZ215" s="228">
        <v>30.82</v>
      </c>
      <c r="DA215" s="228">
        <v>31.69</v>
      </c>
      <c r="DB215" s="228">
        <v>-0.87</v>
      </c>
      <c r="DC215" s="228">
        <v>-0.87</v>
      </c>
      <c r="DD215" s="228">
        <v>38.72</v>
      </c>
      <c r="DE215" s="228">
        <v>38.68</v>
      </c>
      <c r="DF215" s="228">
        <v>-7.9</v>
      </c>
      <c r="DG215" s="228">
        <v>0.04</v>
      </c>
      <c r="DH215" s="228">
        <v>31.01</v>
      </c>
      <c r="DI215" s="228">
        <v>32.18</v>
      </c>
      <c r="DJ215" s="228">
        <v>-1.17</v>
      </c>
      <c r="DK215" s="228">
        <v>-1.17</v>
      </c>
      <c r="DL215" s="228">
        <v>30.42</v>
      </c>
      <c r="DM215" s="228">
        <v>30.62</v>
      </c>
      <c r="DN215" s="228">
        <v>-0.2</v>
      </c>
      <c r="DO215" s="228">
        <v>-0.2</v>
      </c>
      <c r="DP215" s="228">
        <v>0.65</v>
      </c>
      <c r="DQ215" s="228">
        <v>0.64</v>
      </c>
      <c r="DR215" s="228">
        <v>0.01</v>
      </c>
      <c r="DS215" s="229">
        <v>1.5599999999999999E-2</v>
      </c>
      <c r="DT215" s="228">
        <v>24</v>
      </c>
      <c r="DU215" s="228">
        <v>20</v>
      </c>
      <c r="DV215" s="228">
        <v>0.43</v>
      </c>
      <c r="DW215" s="228">
        <v>0.7</v>
      </c>
      <c r="DX215" s="228">
        <v>-0.27</v>
      </c>
      <c r="DY215" s="229">
        <v>-0.38569999999999999</v>
      </c>
      <c r="DZ215" s="229">
        <v>0.97209999999999996</v>
      </c>
      <c r="EA215" s="230">
        <v>1006831400</v>
      </c>
      <c r="EB215" s="229">
        <v>7.4000000000000003E-3</v>
      </c>
      <c r="EC215" s="229">
        <v>0.97209999999999996</v>
      </c>
      <c r="ED215" s="228">
        <v>0.16</v>
      </c>
      <c r="EE215" s="229">
        <v>7.1000000000000004E-3</v>
      </c>
      <c r="EF215" s="230">
        <v>56386877</v>
      </c>
      <c r="EG215" s="230">
        <v>36437917</v>
      </c>
      <c r="EH215" s="229">
        <v>0.54749999999999999</v>
      </c>
      <c r="EI215" s="229">
        <v>0.4148</v>
      </c>
      <c r="EJ215" s="231">
        <v>94723.94</v>
      </c>
      <c r="EK215" s="231">
        <v>37591.17</v>
      </c>
      <c r="EL215" s="231">
        <v>148477.95000000001</v>
      </c>
      <c r="EM215" s="231">
        <v>15315</v>
      </c>
      <c r="EN215" s="231">
        <v>280793.06</v>
      </c>
      <c r="EO215" s="231">
        <v>246345.92</v>
      </c>
      <c r="EP215" s="231">
        <v>34447.14</v>
      </c>
      <c r="EQ215" s="229">
        <v>0.13980000000000001</v>
      </c>
      <c r="ER215" s="231">
        <v>41675</v>
      </c>
      <c r="ES215" s="231">
        <v>24234</v>
      </c>
      <c r="ET215" s="231">
        <v>280335</v>
      </c>
      <c r="EU215" s="231">
        <v>3425130022</v>
      </c>
      <c r="EV215" s="231">
        <v>346244</v>
      </c>
      <c r="EW215" s="231">
        <v>426449</v>
      </c>
      <c r="EX215" s="231">
        <v>-80205</v>
      </c>
      <c r="EY215" s="229">
        <v>-0.18809999999999999</v>
      </c>
      <c r="EZ215" s="229">
        <v>0.44019999999999998</v>
      </c>
      <c r="FA215" s="227" t="s">
        <v>691</v>
      </c>
      <c r="FB215" s="161">
        <f t="shared" si="5"/>
        <v>0</v>
      </c>
    </row>
    <row r="216" spans="1:158" ht="17.25" thickBot="1" x14ac:dyDescent="0.3">
      <c r="A216" s="226">
        <v>46168</v>
      </c>
      <c r="B216" s="227" t="s">
        <v>170</v>
      </c>
      <c r="C216" s="227" t="s">
        <v>556</v>
      </c>
      <c r="D216" s="228">
        <v>900</v>
      </c>
      <c r="E216" s="231">
        <v>1084.55</v>
      </c>
      <c r="F216" s="231">
        <v>1078.5</v>
      </c>
      <c r="G216" s="228">
        <v>6.05</v>
      </c>
      <c r="H216" s="229">
        <v>5.5999999999999999E-3</v>
      </c>
      <c r="I216" s="231">
        <v>1079.05</v>
      </c>
      <c r="J216" s="231">
        <v>1072.95</v>
      </c>
      <c r="K216" s="228">
        <v>6.1</v>
      </c>
      <c r="L216" s="229">
        <v>5.7000000000000002E-3</v>
      </c>
      <c r="M216" s="231">
        <v>1077.05</v>
      </c>
      <c r="N216" s="231">
        <v>1072.05</v>
      </c>
      <c r="O216" s="228">
        <v>5</v>
      </c>
      <c r="P216" s="229">
        <v>4.7000000000000002E-3</v>
      </c>
      <c r="Q216" s="231">
        <v>1084.55</v>
      </c>
      <c r="R216" s="231">
        <v>1078.5</v>
      </c>
      <c r="S216" s="228">
        <v>6.05</v>
      </c>
      <c r="T216" s="229">
        <v>5.5999999999999999E-3</v>
      </c>
      <c r="U216" s="231">
        <v>1088.2</v>
      </c>
      <c r="V216" s="231">
        <v>1082.05</v>
      </c>
      <c r="W216" s="228">
        <v>6.15</v>
      </c>
      <c r="X216" s="229">
        <v>5.7000000000000002E-3</v>
      </c>
      <c r="Y216" s="228">
        <v>5.5</v>
      </c>
      <c r="Z216" s="228">
        <v>-0.9</v>
      </c>
      <c r="AA216" s="228">
        <v>6.4</v>
      </c>
      <c r="AB216" s="229">
        <v>5.1000000000000004E-3</v>
      </c>
      <c r="AC216" s="228">
        <v>-2</v>
      </c>
      <c r="AD216" s="228">
        <v>-0.9</v>
      </c>
      <c r="AE216" s="228">
        <v>-1.1000000000000001</v>
      </c>
      <c r="AF216" s="229">
        <v>-1.9E-3</v>
      </c>
      <c r="AG216" s="228">
        <v>5.5</v>
      </c>
      <c r="AH216" s="228">
        <v>5.55</v>
      </c>
      <c r="AI216" s="228">
        <v>-0.05</v>
      </c>
      <c r="AJ216" s="229">
        <v>5.1000000000000004E-3</v>
      </c>
      <c r="AK216" s="228">
        <v>9.15</v>
      </c>
      <c r="AL216" s="228">
        <v>9.1</v>
      </c>
      <c r="AM216" s="228">
        <v>0.05</v>
      </c>
      <c r="AN216" s="229">
        <v>8.5000000000000006E-3</v>
      </c>
      <c r="AO216" s="231">
        <v>1076.8699999999999</v>
      </c>
      <c r="AP216" s="231">
        <v>1083.95</v>
      </c>
      <c r="AQ216" s="228">
        <v>0</v>
      </c>
      <c r="AR216" s="230">
        <v>4752900</v>
      </c>
      <c r="AS216" s="230">
        <v>9605700</v>
      </c>
      <c r="AT216" s="230">
        <v>-4852800</v>
      </c>
      <c r="AU216" s="229">
        <v>-0.50519999999999998</v>
      </c>
      <c r="AV216" s="230">
        <v>1974600</v>
      </c>
      <c r="AW216" s="230">
        <v>4338000</v>
      </c>
      <c r="AX216" s="230">
        <v>-2363400</v>
      </c>
      <c r="AY216" s="229">
        <v>-0.54479999999999995</v>
      </c>
      <c r="AZ216" s="230">
        <v>2739600</v>
      </c>
      <c r="BA216" s="230">
        <v>5202900</v>
      </c>
      <c r="BB216" s="230">
        <v>-2463300</v>
      </c>
      <c r="BC216" s="229">
        <v>-0.47339999999999999</v>
      </c>
      <c r="BD216" s="230">
        <v>38700</v>
      </c>
      <c r="BE216" s="230">
        <v>64800</v>
      </c>
      <c r="BF216" s="230">
        <v>-26100</v>
      </c>
      <c r="BG216" s="229">
        <v>-0.40279999999999999</v>
      </c>
      <c r="BH216" s="230">
        <v>8036100</v>
      </c>
      <c r="BI216" s="230">
        <v>22990500</v>
      </c>
      <c r="BJ216" s="230">
        <v>-14954400</v>
      </c>
      <c r="BK216" s="229">
        <v>-0.65049999999999997</v>
      </c>
      <c r="BL216" s="230">
        <v>3535200</v>
      </c>
      <c r="BM216" s="230">
        <v>6681600</v>
      </c>
      <c r="BN216" s="230">
        <v>-3146400</v>
      </c>
      <c r="BO216" s="229">
        <v>-0.47089999999999999</v>
      </c>
      <c r="BP216" s="230">
        <v>16324200</v>
      </c>
      <c r="BQ216" s="230">
        <v>39277800</v>
      </c>
      <c r="BR216" s="230">
        <v>-22953600</v>
      </c>
      <c r="BS216" s="229">
        <v>-0.58440000000000003</v>
      </c>
      <c r="BT216" s="230">
        <v>2055286</v>
      </c>
      <c r="BU216" s="230">
        <v>2476912</v>
      </c>
      <c r="BV216" s="230">
        <v>-421626</v>
      </c>
      <c r="BW216" s="229">
        <v>-0.17019999999999999</v>
      </c>
      <c r="BX216" s="230">
        <v>10690200</v>
      </c>
      <c r="BY216" s="230">
        <v>12363300</v>
      </c>
      <c r="BZ216" s="230">
        <v>-1673100</v>
      </c>
      <c r="CA216" s="229">
        <v>-0.1353</v>
      </c>
      <c r="CB216" s="230">
        <v>968400</v>
      </c>
      <c r="CC216" s="230">
        <v>2074500</v>
      </c>
      <c r="CD216" s="230">
        <v>-1106100</v>
      </c>
      <c r="CE216" s="229">
        <v>-0.53320000000000001</v>
      </c>
      <c r="CF216" s="230">
        <v>10556100</v>
      </c>
      <c r="CG216" s="230">
        <v>10163700</v>
      </c>
      <c r="CH216" s="230">
        <v>392400</v>
      </c>
      <c r="CI216" s="229">
        <v>3.8600000000000002E-2</v>
      </c>
      <c r="CJ216" s="230">
        <v>134100</v>
      </c>
      <c r="CK216" s="230">
        <v>125100</v>
      </c>
      <c r="CL216" s="230">
        <v>9000</v>
      </c>
      <c r="CM216" s="229">
        <v>7.1900000000000006E-2</v>
      </c>
      <c r="CN216" s="230">
        <v>2673900</v>
      </c>
      <c r="CO216" s="230">
        <v>7468200</v>
      </c>
      <c r="CP216" s="230">
        <v>-4794300</v>
      </c>
      <c r="CQ216" s="229">
        <v>-0.64200000000000002</v>
      </c>
      <c r="CR216" s="230">
        <v>1660500</v>
      </c>
      <c r="CS216" s="230">
        <v>4925700</v>
      </c>
      <c r="CT216" s="230">
        <v>-3265200</v>
      </c>
      <c r="CU216" s="229">
        <v>-0.66290000000000004</v>
      </c>
      <c r="CV216" s="230">
        <v>15024600</v>
      </c>
      <c r="CW216" s="230">
        <v>24757200</v>
      </c>
      <c r="CX216" s="230">
        <v>-9732600</v>
      </c>
      <c r="CY216" s="229">
        <v>-0.3931</v>
      </c>
      <c r="CZ216" s="228">
        <v>24.18</v>
      </c>
      <c r="DA216" s="228">
        <v>25.01</v>
      </c>
      <c r="DB216" s="228">
        <v>-0.83</v>
      </c>
      <c r="DC216" s="228">
        <v>-0.83</v>
      </c>
      <c r="DD216" s="228">
        <v>29.59</v>
      </c>
      <c r="DE216" s="228">
        <v>29.66</v>
      </c>
      <c r="DF216" s="228">
        <v>-5.41</v>
      </c>
      <c r="DG216" s="228">
        <v>-7.0000000000000007E-2</v>
      </c>
      <c r="DH216" s="228">
        <v>23.9</v>
      </c>
      <c r="DI216" s="228">
        <v>24.77</v>
      </c>
      <c r="DJ216" s="228">
        <v>-0.87</v>
      </c>
      <c r="DK216" s="228">
        <v>-0.87</v>
      </c>
      <c r="DL216" s="228">
        <v>24.81</v>
      </c>
      <c r="DM216" s="228">
        <v>25.77</v>
      </c>
      <c r="DN216" s="228">
        <v>-0.96</v>
      </c>
      <c r="DO216" s="228">
        <v>-0.96</v>
      </c>
      <c r="DP216" s="228">
        <v>0.62</v>
      </c>
      <c r="DQ216" s="228">
        <v>0.66</v>
      </c>
      <c r="DR216" s="228">
        <v>-0.04</v>
      </c>
      <c r="DS216" s="229">
        <v>-6.0600000000000001E-2</v>
      </c>
      <c r="DT216" s="231">
        <v>1100</v>
      </c>
      <c r="DU216" s="231">
        <v>1000</v>
      </c>
      <c r="DV216" s="228">
        <v>0.44</v>
      </c>
      <c r="DW216" s="228">
        <v>0.28999999999999998</v>
      </c>
      <c r="DX216" s="228">
        <v>0.15</v>
      </c>
      <c r="DY216" s="229">
        <v>0.51719999999999999</v>
      </c>
      <c r="DZ216" s="229">
        <v>0.91690000000000005</v>
      </c>
      <c r="EA216" s="230">
        <v>10288800</v>
      </c>
      <c r="EB216" s="229">
        <v>7.0000000000000001E-3</v>
      </c>
      <c r="EC216" s="229">
        <v>0.91690000000000005</v>
      </c>
      <c r="ED216" s="228">
        <v>7.08</v>
      </c>
      <c r="EE216" s="229">
        <v>6.6E-3</v>
      </c>
      <c r="EF216" s="230">
        <v>1287776</v>
      </c>
      <c r="EG216" s="230">
        <v>1341570</v>
      </c>
      <c r="EH216" s="229">
        <v>-4.0099999999999997E-2</v>
      </c>
      <c r="EI216" s="229">
        <v>0.62660000000000005</v>
      </c>
      <c r="EJ216" s="231">
        <v>89557.83</v>
      </c>
      <c r="EK216" s="231">
        <v>37146.720000000001</v>
      </c>
      <c r="EL216" s="231">
        <v>51380.94</v>
      </c>
      <c r="EM216" s="231">
        <v>11403</v>
      </c>
      <c r="EN216" s="231">
        <v>178085.49</v>
      </c>
      <c r="EO216" s="231">
        <v>422762.47</v>
      </c>
      <c r="EP216" s="231">
        <v>-244676.98</v>
      </c>
      <c r="EQ216" s="229">
        <v>-0.57879999999999998</v>
      </c>
      <c r="ER216" s="231">
        <v>29618</v>
      </c>
      <c r="ES216" s="231">
        <v>16955</v>
      </c>
      <c r="ET216" s="231">
        <v>115945</v>
      </c>
      <c r="EU216" s="231">
        <v>25160867</v>
      </c>
      <c r="EV216" s="231">
        <v>162518</v>
      </c>
      <c r="EW216" s="231">
        <v>262436</v>
      </c>
      <c r="EX216" s="231">
        <v>-99918</v>
      </c>
      <c r="EY216" s="229">
        <v>-0.38069999999999998</v>
      </c>
      <c r="EZ216" s="229">
        <v>0.59709999999999996</v>
      </c>
      <c r="FA216" s="227" t="s">
        <v>691</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K7" sqref="K7"/>
    </sheetView>
  </sheetViews>
  <sheetFormatPr defaultColWidth="13.7109375" defaultRowHeight="15" x14ac:dyDescent="0.25"/>
  <cols>
    <col min="1" max="1" width="23.85546875" customWidth="1"/>
    <col min="2" max="2" width="12.5703125" customWidth="1"/>
    <col min="3" max="3" width="12.7109375" customWidth="1"/>
    <col min="4" max="4" width="11.140625" customWidth="1"/>
    <col min="5" max="5" width="12.7109375" customWidth="1"/>
    <col min="6" max="6" width="11.140625" customWidth="1"/>
    <col min="7" max="7" width="10.85546875" customWidth="1"/>
    <col min="8" max="8" width="9.5703125" customWidth="1"/>
    <col min="9" max="9" width="12.7109375" customWidth="1"/>
    <col min="10" max="10" width="12.85546875" customWidth="1"/>
    <col min="11" max="11" width="12"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615</v>
      </c>
      <c r="B2" s="226">
        <v>46168</v>
      </c>
      <c r="C2" s="230">
        <v>44239011</v>
      </c>
      <c r="D2" s="230">
        <v>6944595</v>
      </c>
      <c r="E2" s="230">
        <v>44763858</v>
      </c>
      <c r="F2" s="230">
        <v>7027799</v>
      </c>
      <c r="G2" s="230">
        <v>-524847</v>
      </c>
      <c r="H2" s="230">
        <v>-83204</v>
      </c>
      <c r="I2" s="230">
        <v>16137596</v>
      </c>
      <c r="J2" s="230">
        <v>1718344</v>
      </c>
      <c r="K2" s="230">
        <v>-4475742</v>
      </c>
      <c r="L2" s="230">
        <v>-607651</v>
      </c>
      <c r="M2" s="230">
        <v>11661854</v>
      </c>
      <c r="N2" s="230">
        <v>1110693</v>
      </c>
      <c r="O2" s="61"/>
      <c r="P2" s="61"/>
      <c r="Q2" s="61"/>
      <c r="R2" s="61"/>
      <c r="S2" s="61"/>
      <c r="U2" t="s">
        <v>453</v>
      </c>
      <c r="V2">
        <f>SUM('Data Vlaue (Cr)'!CD:CD)</f>
        <v>113241</v>
      </c>
      <c r="W2" t="s">
        <v>454</v>
      </c>
    </row>
    <row r="3" spans="1:23" ht="17.25" thickBot="1" x14ac:dyDescent="0.3">
      <c r="A3" s="227" t="s">
        <v>616</v>
      </c>
      <c r="B3" s="226">
        <v>46168</v>
      </c>
      <c r="C3" s="230">
        <v>9188</v>
      </c>
      <c r="D3" s="230">
        <v>1526</v>
      </c>
      <c r="E3" s="230">
        <v>11710</v>
      </c>
      <c r="F3" s="230">
        <v>1950</v>
      </c>
      <c r="G3" s="230">
        <v>-2522</v>
      </c>
      <c r="H3" s="228">
        <v>-425</v>
      </c>
      <c r="I3" s="230">
        <v>80157</v>
      </c>
      <c r="J3" s="230">
        <v>13364</v>
      </c>
      <c r="K3" s="230">
        <v>-18012</v>
      </c>
      <c r="L3" s="230">
        <v>-3025</v>
      </c>
      <c r="M3" s="230">
        <v>62145</v>
      </c>
      <c r="N3" s="230">
        <v>10339</v>
      </c>
      <c r="O3" s="61"/>
      <c r="P3" s="61"/>
      <c r="Q3" s="61"/>
      <c r="R3" s="61"/>
      <c r="S3" s="61"/>
      <c r="U3" t="s">
        <v>453</v>
      </c>
      <c r="V3">
        <f>SUM('Data shares'!CC:CC)</f>
        <v>2993648364</v>
      </c>
      <c r="W3" t="s">
        <v>455</v>
      </c>
    </row>
    <row r="4" spans="1:23" ht="17.25" thickBot="1" x14ac:dyDescent="0.3">
      <c r="A4" s="227" t="s">
        <v>617</v>
      </c>
      <c r="B4" s="226">
        <v>46168</v>
      </c>
      <c r="C4" s="230">
        <v>5060155</v>
      </c>
      <c r="D4" s="230">
        <v>840558</v>
      </c>
      <c r="E4" s="230">
        <v>5174234</v>
      </c>
      <c r="F4" s="230">
        <v>859071</v>
      </c>
      <c r="G4" s="230">
        <v>-114079</v>
      </c>
      <c r="H4" s="230">
        <v>-18513</v>
      </c>
      <c r="I4" s="230">
        <v>728853</v>
      </c>
      <c r="J4" s="230">
        <v>120903</v>
      </c>
      <c r="K4" s="230">
        <v>-425887</v>
      </c>
      <c r="L4" s="230">
        <v>-70829</v>
      </c>
      <c r="M4" s="230">
        <v>302966</v>
      </c>
      <c r="N4" s="230">
        <v>50074</v>
      </c>
      <c r="O4" s="61"/>
      <c r="P4" s="61"/>
      <c r="Q4" s="61"/>
      <c r="R4" s="61"/>
      <c r="S4" s="61"/>
    </row>
    <row r="5" spans="1:23" ht="17.25" thickBot="1" x14ac:dyDescent="0.3">
      <c r="A5" s="227" t="s">
        <v>618</v>
      </c>
      <c r="B5" s="226">
        <v>46168</v>
      </c>
      <c r="C5" s="228">
        <v>80</v>
      </c>
      <c r="D5" s="228">
        <v>13</v>
      </c>
      <c r="E5" s="228">
        <v>121</v>
      </c>
      <c r="F5" s="228">
        <v>19</v>
      </c>
      <c r="G5" s="228">
        <v>-41</v>
      </c>
      <c r="H5" s="228">
        <v>-6</v>
      </c>
      <c r="I5" s="228">
        <v>249</v>
      </c>
      <c r="J5" s="228">
        <v>39</v>
      </c>
      <c r="K5" s="228">
        <v>-126</v>
      </c>
      <c r="L5" s="228">
        <v>-20</v>
      </c>
      <c r="M5" s="228">
        <v>123</v>
      </c>
      <c r="N5" s="228">
        <v>19</v>
      </c>
      <c r="O5" s="61"/>
      <c r="P5" s="61"/>
      <c r="Q5" s="61"/>
      <c r="R5" s="61"/>
      <c r="S5" s="61"/>
    </row>
    <row r="6" spans="1:23" ht="17.25" thickBot="1" x14ac:dyDescent="0.3">
      <c r="A6" s="227" t="s">
        <v>619</v>
      </c>
      <c r="B6" s="226">
        <v>46168</v>
      </c>
      <c r="C6" s="230">
        <v>205574</v>
      </c>
      <c r="D6" s="230">
        <v>32136</v>
      </c>
      <c r="E6" s="230">
        <v>204354</v>
      </c>
      <c r="F6" s="230">
        <v>31952</v>
      </c>
      <c r="G6" s="230">
        <v>1220</v>
      </c>
      <c r="H6" s="228">
        <v>185</v>
      </c>
      <c r="I6" s="230">
        <v>12719</v>
      </c>
      <c r="J6" s="230">
        <v>1992</v>
      </c>
      <c r="K6" s="230">
        <v>-12630</v>
      </c>
      <c r="L6" s="230">
        <v>-1978</v>
      </c>
      <c r="M6" s="228">
        <v>89</v>
      </c>
      <c r="N6" s="228">
        <v>14</v>
      </c>
      <c r="O6" s="61"/>
      <c r="P6" s="61"/>
      <c r="Q6" s="61"/>
      <c r="R6" s="61"/>
      <c r="S6" s="61"/>
    </row>
    <row r="7" spans="1:23" ht="17.25" thickBot="1" x14ac:dyDescent="0.3">
      <c r="A7" s="227" t="s">
        <v>620</v>
      </c>
      <c r="B7" s="226">
        <v>46168</v>
      </c>
      <c r="C7" s="230">
        <v>31918</v>
      </c>
      <c r="D7" s="230">
        <v>5099</v>
      </c>
      <c r="E7" s="230">
        <v>52644</v>
      </c>
      <c r="F7" s="230">
        <v>8362</v>
      </c>
      <c r="G7" s="230">
        <v>-20726</v>
      </c>
      <c r="H7" s="230">
        <v>-3264</v>
      </c>
      <c r="I7" s="230">
        <v>317357</v>
      </c>
      <c r="J7" s="230">
        <v>50948</v>
      </c>
      <c r="K7" s="230">
        <v>-87970</v>
      </c>
      <c r="L7" s="230">
        <v>-14097</v>
      </c>
      <c r="M7" s="230">
        <v>229387</v>
      </c>
      <c r="N7" s="230">
        <v>36851</v>
      </c>
    </row>
    <row r="8" spans="1:23" ht="17.25" thickBot="1" x14ac:dyDescent="0.3">
      <c r="A8" s="227" t="s">
        <v>621</v>
      </c>
      <c r="B8" s="226">
        <v>46168</v>
      </c>
      <c r="C8" s="230">
        <v>21670897</v>
      </c>
      <c r="D8" s="230">
        <v>3440545</v>
      </c>
      <c r="E8" s="230">
        <v>21910333</v>
      </c>
      <c r="F8" s="230">
        <v>3478563</v>
      </c>
      <c r="G8" s="230">
        <v>-239436</v>
      </c>
      <c r="H8" s="230">
        <v>-38018</v>
      </c>
      <c r="I8" s="230">
        <v>3337091</v>
      </c>
      <c r="J8" s="230">
        <v>529401</v>
      </c>
      <c r="K8" s="230">
        <v>-1567863</v>
      </c>
      <c r="L8" s="230">
        <v>-251220</v>
      </c>
      <c r="M8" s="230">
        <v>1769228</v>
      </c>
      <c r="N8" s="230">
        <v>278181</v>
      </c>
    </row>
    <row r="9" spans="1:23" ht="17.25" thickBot="1" x14ac:dyDescent="0.3">
      <c r="A9" s="227" t="s">
        <v>622</v>
      </c>
      <c r="B9" s="226">
        <v>46168</v>
      </c>
      <c r="C9" s="230">
        <v>1305</v>
      </c>
      <c r="D9" s="228">
        <v>230</v>
      </c>
      <c r="E9" s="228">
        <v>681</v>
      </c>
      <c r="F9" s="228">
        <v>120</v>
      </c>
      <c r="G9" s="228">
        <v>624</v>
      </c>
      <c r="H9" s="228">
        <v>110</v>
      </c>
      <c r="I9" s="230">
        <v>22542</v>
      </c>
      <c r="J9" s="230">
        <v>3963</v>
      </c>
      <c r="K9" s="230">
        <v>-2552</v>
      </c>
      <c r="L9" s="228">
        <v>-418</v>
      </c>
      <c r="M9" s="230">
        <v>19990</v>
      </c>
      <c r="N9" s="230">
        <v>3545</v>
      </c>
    </row>
    <row r="10" spans="1:23" ht="17.25" thickBot="1" x14ac:dyDescent="0.3">
      <c r="A10" s="227" t="s">
        <v>623</v>
      </c>
      <c r="B10" s="226">
        <v>46168</v>
      </c>
      <c r="C10" s="230">
        <v>350214</v>
      </c>
      <c r="D10" s="230">
        <v>61467</v>
      </c>
      <c r="E10" s="230">
        <v>361680</v>
      </c>
      <c r="F10" s="230">
        <v>63476</v>
      </c>
      <c r="G10" s="230">
        <v>-11466</v>
      </c>
      <c r="H10" s="230">
        <v>-2009</v>
      </c>
      <c r="I10" s="230">
        <v>56479</v>
      </c>
      <c r="J10" s="230">
        <v>9868</v>
      </c>
      <c r="K10" s="230">
        <v>-47151</v>
      </c>
      <c r="L10" s="230">
        <v>-8225</v>
      </c>
      <c r="M10" s="230">
        <v>9328</v>
      </c>
      <c r="N10" s="230">
        <v>1643</v>
      </c>
    </row>
    <row r="11" spans="1:23" ht="17.25" thickBot="1" x14ac:dyDescent="0.3">
      <c r="A11" s="227" t="s">
        <v>624</v>
      </c>
      <c r="B11" s="226">
        <v>46168</v>
      </c>
      <c r="C11" s="230">
        <v>21293</v>
      </c>
      <c r="D11" s="230">
        <v>3321</v>
      </c>
      <c r="E11" s="230">
        <v>40073</v>
      </c>
      <c r="F11" s="230">
        <v>6262</v>
      </c>
      <c r="G11" s="230">
        <v>-18780</v>
      </c>
      <c r="H11" s="230">
        <v>-2941</v>
      </c>
      <c r="I11" s="230">
        <v>213946</v>
      </c>
      <c r="J11" s="230">
        <v>33499</v>
      </c>
      <c r="K11" s="230">
        <v>-67278</v>
      </c>
      <c r="L11" s="230">
        <v>-10634</v>
      </c>
      <c r="M11" s="230">
        <v>146668</v>
      </c>
      <c r="N11" s="230">
        <v>22865</v>
      </c>
    </row>
    <row r="12" spans="1:23" ht="17.25" thickBot="1" x14ac:dyDescent="0.3">
      <c r="A12" s="227" t="s">
        <v>625</v>
      </c>
      <c r="B12" s="226">
        <v>46168</v>
      </c>
      <c r="C12" s="230">
        <v>16052498</v>
      </c>
      <c r="D12" s="230">
        <v>2505951</v>
      </c>
      <c r="E12" s="230">
        <v>16168734</v>
      </c>
      <c r="F12" s="230">
        <v>2523831</v>
      </c>
      <c r="G12" s="230">
        <v>-116236</v>
      </c>
      <c r="H12" s="230">
        <v>-17880</v>
      </c>
      <c r="I12" s="230">
        <v>2537872</v>
      </c>
      <c r="J12" s="230">
        <v>396431</v>
      </c>
      <c r="K12" s="230">
        <v>-1081029</v>
      </c>
      <c r="L12" s="230">
        <v>-169981</v>
      </c>
      <c r="M12" s="230">
        <v>1456843</v>
      </c>
      <c r="N12" s="230">
        <v>226450</v>
      </c>
    </row>
    <row r="13" spans="1:23" ht="17.25" thickBot="1" x14ac:dyDescent="0.3">
      <c r="A13" s="227" t="s">
        <v>626</v>
      </c>
      <c r="B13" s="226">
        <v>46168</v>
      </c>
      <c r="C13" s="228">
        <v>52</v>
      </c>
      <c r="D13" s="228">
        <v>9</v>
      </c>
      <c r="E13" s="228">
        <v>59</v>
      </c>
      <c r="F13" s="228">
        <v>10</v>
      </c>
      <c r="G13" s="228">
        <v>-7</v>
      </c>
      <c r="H13" s="228">
        <v>-1</v>
      </c>
      <c r="I13" s="228">
        <v>463</v>
      </c>
      <c r="J13" s="228">
        <v>82</v>
      </c>
      <c r="K13" s="228">
        <v>-2</v>
      </c>
      <c r="L13" s="228">
        <v>0</v>
      </c>
      <c r="M13" s="228">
        <v>461</v>
      </c>
      <c r="N13" s="228">
        <v>82</v>
      </c>
    </row>
    <row r="14" spans="1:23" ht="17.25" thickBot="1" x14ac:dyDescent="0.3">
      <c r="A14" s="227" t="s">
        <v>627</v>
      </c>
      <c r="B14" s="226">
        <v>46168</v>
      </c>
      <c r="C14" s="230">
        <v>2456</v>
      </c>
      <c r="D14" s="228">
        <v>433</v>
      </c>
      <c r="E14" s="230">
        <v>1331</v>
      </c>
      <c r="F14" s="228">
        <v>233</v>
      </c>
      <c r="G14" s="230">
        <v>1125</v>
      </c>
      <c r="H14" s="228">
        <v>199</v>
      </c>
      <c r="I14" s="230">
        <v>1168</v>
      </c>
      <c r="J14" s="228">
        <v>207</v>
      </c>
      <c r="K14" s="230">
        <v>-1166</v>
      </c>
      <c r="L14" s="228">
        <v>-206</v>
      </c>
      <c r="M14" s="228">
        <v>2</v>
      </c>
      <c r="N14" s="228">
        <v>0</v>
      </c>
    </row>
    <row r="15" spans="1:23" ht="17.25" thickBot="1" x14ac:dyDescent="0.3">
      <c r="A15" s="227" t="s">
        <v>628</v>
      </c>
      <c r="B15" s="226">
        <v>46168</v>
      </c>
      <c r="C15" s="230">
        <v>595489</v>
      </c>
      <c r="D15" s="230">
        <v>38003</v>
      </c>
      <c r="E15" s="230">
        <v>570933</v>
      </c>
      <c r="F15" s="230">
        <v>36623</v>
      </c>
      <c r="G15" s="230">
        <v>24556</v>
      </c>
      <c r="H15" s="230">
        <v>1380</v>
      </c>
      <c r="I15" s="230">
        <v>7727712</v>
      </c>
      <c r="J15" s="230">
        <v>484960</v>
      </c>
      <c r="K15" s="230">
        <v>-316353</v>
      </c>
      <c r="L15" s="230">
        <v>-20630</v>
      </c>
      <c r="M15" s="230">
        <v>7411359</v>
      </c>
      <c r="N15" s="230">
        <v>464330</v>
      </c>
    </row>
    <row r="16" spans="1:23" ht="17.25" thickBot="1" x14ac:dyDescent="0.3">
      <c r="A16" s="227" t="s">
        <v>629</v>
      </c>
      <c r="B16" s="226">
        <v>46168</v>
      </c>
      <c r="C16" s="230">
        <v>237892</v>
      </c>
      <c r="D16" s="230">
        <v>15305</v>
      </c>
      <c r="E16" s="230">
        <v>266971</v>
      </c>
      <c r="F16" s="230">
        <v>17327</v>
      </c>
      <c r="G16" s="230">
        <v>-29079</v>
      </c>
      <c r="H16" s="230">
        <v>-2022</v>
      </c>
      <c r="I16" s="230">
        <v>1100988</v>
      </c>
      <c r="J16" s="230">
        <v>72687</v>
      </c>
      <c r="K16" s="230">
        <v>-847723</v>
      </c>
      <c r="L16" s="230">
        <v>-56388</v>
      </c>
      <c r="M16" s="230">
        <v>253265</v>
      </c>
      <c r="N16" s="230">
        <v>16300</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zoomScale="85" zoomScaleNormal="85" workbookViewId="0">
      <pane ySplit="6" topLeftCell="A8" activePane="bottomLeft" state="frozen"/>
      <selection activeCell="E46" sqref="E46"/>
      <selection pane="bottomLeft" activeCell="A8" sqref="A7:A221"/>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8" t="s">
        <v>325</v>
      </c>
      <c r="B3" s="259"/>
      <c r="C3" s="259"/>
      <c r="D3" s="259"/>
      <c r="E3" s="259"/>
      <c r="F3" s="259"/>
      <c r="G3" s="259"/>
      <c r="H3" s="259"/>
      <c r="I3" s="259"/>
      <c r="J3" s="259"/>
      <c r="K3" s="259"/>
      <c r="L3" s="259"/>
      <c r="M3" s="259"/>
      <c r="N3" s="259"/>
      <c r="O3" s="259"/>
      <c r="P3" s="259"/>
      <c r="Q3" s="260"/>
    </row>
    <row r="4" spans="1:17" s="64" customFormat="1" x14ac:dyDescent="0.25">
      <c r="A4" s="261"/>
      <c r="B4" s="261" t="s">
        <v>308</v>
      </c>
      <c r="C4" s="261"/>
      <c r="D4" s="263"/>
      <c r="E4" s="263"/>
      <c r="F4" s="261" t="s">
        <v>326</v>
      </c>
      <c r="G4" s="261"/>
      <c r="H4" s="261"/>
      <c r="I4" s="261" t="s">
        <v>327</v>
      </c>
      <c r="J4" s="261"/>
      <c r="K4" s="261"/>
      <c r="L4" s="261" t="s">
        <v>311</v>
      </c>
      <c r="M4" s="261"/>
      <c r="N4" s="261"/>
      <c r="O4" s="261"/>
      <c r="P4" s="261"/>
      <c r="Q4" s="261"/>
    </row>
    <row r="5" spans="1:17" s="64" customFormat="1" x14ac:dyDescent="0.25">
      <c r="A5" s="262"/>
      <c r="B5" s="73" t="s">
        <v>312</v>
      </c>
      <c r="C5" s="262" t="s">
        <v>313</v>
      </c>
      <c r="D5" s="265"/>
      <c r="E5" s="265"/>
      <c r="F5" s="262" t="s">
        <v>314</v>
      </c>
      <c r="G5" s="262"/>
      <c r="H5" s="262"/>
      <c r="I5" s="262" t="s">
        <v>315</v>
      </c>
      <c r="J5" s="262"/>
      <c r="K5" s="262"/>
      <c r="L5" s="262" t="s">
        <v>316</v>
      </c>
      <c r="M5" s="262"/>
      <c r="N5" s="262"/>
      <c r="O5" s="262" t="s">
        <v>317</v>
      </c>
      <c r="P5" s="262"/>
      <c r="Q5" s="262"/>
    </row>
    <row r="6" spans="1:17" s="72" customFormat="1" ht="33.75" x14ac:dyDescent="0.25">
      <c r="A6" s="71" t="s">
        <v>557</v>
      </c>
      <c r="B6" s="66">
        <f>'Snapshot (Value)'!C10</f>
        <v>46168</v>
      </c>
      <c r="C6" s="66">
        <f>'Snapshot (Value)'!D10</f>
        <v>46168</v>
      </c>
      <c r="D6" s="71" t="s">
        <v>322</v>
      </c>
      <c r="E6" s="71" t="s">
        <v>328</v>
      </c>
      <c r="F6" s="66">
        <f>C6</f>
        <v>46168</v>
      </c>
      <c r="G6" s="71" t="s">
        <v>322</v>
      </c>
      <c r="H6" s="71" t="s">
        <v>328</v>
      </c>
      <c r="I6" s="66">
        <f>C6</f>
        <v>46168</v>
      </c>
      <c r="J6" s="71" t="s">
        <v>322</v>
      </c>
      <c r="K6" s="71" t="s">
        <v>328</v>
      </c>
      <c r="L6" s="66">
        <f>C6</f>
        <v>46168</v>
      </c>
      <c r="M6" s="71" t="s">
        <v>322</v>
      </c>
      <c r="N6" s="71" t="s">
        <v>328</v>
      </c>
      <c r="O6" s="66">
        <f>C6</f>
        <v>46168</v>
      </c>
      <c r="P6" s="71" t="s">
        <v>322</v>
      </c>
      <c r="Q6" s="71" t="s">
        <v>328</v>
      </c>
    </row>
    <row r="7" spans="1:17" x14ac:dyDescent="0.25">
      <c r="A7" s="97" t="str">
        <f>'Data Vlaue (Cr)'!C2</f>
        <v>360ONE</v>
      </c>
      <c r="B7" s="140">
        <f>VLOOKUP($A7,'Data shares'!$C:$FB,7)</f>
        <v>1125.3</v>
      </c>
      <c r="C7" s="140">
        <f>VLOOKUP($A7,'Data shares'!$C:$FB,3)</f>
        <v>1134</v>
      </c>
      <c r="D7" s="140">
        <f>VLOOKUP($A7,'Data shares'!$C:$FB,4)</f>
        <v>1149.4000000000001</v>
      </c>
      <c r="E7" s="50">
        <f>(C7-D7)/D7*100</f>
        <v>-1.3398294762484853</v>
      </c>
      <c r="F7" s="49">
        <f>VLOOKUP($A7,'Data shares'!$C:$FB,98)</f>
        <v>5321000</v>
      </c>
      <c r="G7" s="49">
        <f>VLOOKUP($A7,'Data shares'!$C:$FB,99)</f>
        <v>7181000</v>
      </c>
      <c r="H7" s="50">
        <f>(F7-G7)/G7*100</f>
        <v>-25.901685002088847</v>
      </c>
      <c r="I7" s="49">
        <f>VLOOKUP($A7,'Data shares'!$C:$FB,66)</f>
        <v>4819500</v>
      </c>
      <c r="J7" s="49">
        <f>VLOOKUP($A7,'Data shares'!$C:$FB,67)</f>
        <v>6725500</v>
      </c>
      <c r="K7" s="50">
        <f>(I7-J7)/I7*100</f>
        <v>-39.547670920219943</v>
      </c>
      <c r="L7" s="50">
        <f>VLOOKUP($A7,'Data shares'!$C:$FB,118)</f>
        <v>0.47</v>
      </c>
      <c r="M7" s="50">
        <f>VLOOKUP($A7,'Data shares'!$C:$FB,119)</f>
        <v>0.98</v>
      </c>
      <c r="N7" s="50">
        <f>VLOOKUP($A7,'Data shares'!$C:$FB,121)*100</f>
        <v>-52.04</v>
      </c>
      <c r="O7" s="50">
        <f>VLOOKUP($A7,'Data shares'!$C:$FB,124)</f>
        <v>0.56000000000000005</v>
      </c>
      <c r="P7" s="50">
        <f>VLOOKUP($A7,'Data shares'!$C:$FB,125)</f>
        <v>0.74</v>
      </c>
      <c r="Q7" s="50">
        <f>VLOOKUP($A7,'Data shares'!$C:$FB,127)*100</f>
        <v>-24.32</v>
      </c>
    </row>
    <row r="8" spans="1:17" x14ac:dyDescent="0.25">
      <c r="A8" s="97" t="str">
        <f>'Data Vlaue (Cr)'!C3</f>
        <v>ABB</v>
      </c>
      <c r="B8" s="140">
        <f>VLOOKUP($A8,'Data shares'!$C:$FB,7)</f>
        <v>6804</v>
      </c>
      <c r="C8" s="140">
        <f>VLOOKUP($A8,'Data shares'!$C:$FB,3)</f>
        <v>6784.5</v>
      </c>
      <c r="D8" s="140">
        <f>VLOOKUP($A8,'Data shares'!$C:$FB,4)</f>
        <v>6692</v>
      </c>
      <c r="E8" s="50">
        <f t="shared" ref="E8:E71" si="0">(C8-D8)/D8*100</f>
        <v>1.3822474596533174</v>
      </c>
      <c r="F8" s="49">
        <f>VLOOKUP($A8,'Data shares'!$C:$FB,98)</f>
        <v>3501750</v>
      </c>
      <c r="G8" s="49">
        <f>VLOOKUP($A8,'Data shares'!$C:$FB,99)</f>
        <v>5883500</v>
      </c>
      <c r="H8" s="50">
        <f t="shared" ref="H8:H71" si="1">(F8-G8)/G8*100</f>
        <v>-40.481856038072578</v>
      </c>
      <c r="I8" s="49">
        <f>VLOOKUP($A8,'Data shares'!$C:$FB,66)</f>
        <v>3326000</v>
      </c>
      <c r="J8" s="49">
        <f>VLOOKUP($A8,'Data shares'!$C:$FB,67)</f>
        <v>7660125</v>
      </c>
      <c r="K8" s="50">
        <f t="shared" ref="K8:K71" si="2">(I8-J8)/I8*100</f>
        <v>-130.31043295249549</v>
      </c>
      <c r="L8" s="50">
        <f>VLOOKUP($A8,'Data shares'!$C:$FB,118)</f>
        <v>0.88</v>
      </c>
      <c r="M8" s="50">
        <f>VLOOKUP($A8,'Data shares'!$C:$FB,119)</f>
        <v>0.62</v>
      </c>
      <c r="N8" s="50">
        <f>VLOOKUP($A8,'Data shares'!$C:$FB,121)*100</f>
        <v>41.94</v>
      </c>
      <c r="O8" s="50">
        <f>VLOOKUP($A8,'Data shares'!$C:$FB,124)</f>
        <v>0.54</v>
      </c>
      <c r="P8" s="50">
        <f>VLOOKUP($A8,'Data shares'!$C:$FB,125)</f>
        <v>0.48</v>
      </c>
      <c r="Q8" s="50">
        <f>VLOOKUP($A8,'Data shares'!$C:$FB,127)*100</f>
        <v>12.5</v>
      </c>
    </row>
    <row r="9" spans="1:17" x14ac:dyDescent="0.25">
      <c r="A9" s="97" t="str">
        <f>'Data Vlaue (Cr)'!C4</f>
        <v>ABCAPITAL</v>
      </c>
      <c r="B9" s="140">
        <f>VLOOKUP($A9,'Data shares'!$C:$FB,7)</f>
        <v>363.05</v>
      </c>
      <c r="C9" s="140">
        <f>VLOOKUP($A9,'Data shares'!$C:$FB,3)</f>
        <v>364.8</v>
      </c>
      <c r="D9" s="140">
        <f>VLOOKUP($A9,'Data shares'!$C:$FB,4)</f>
        <v>366.6</v>
      </c>
      <c r="E9" s="50">
        <f t="shared" si="0"/>
        <v>-0.49099836333879193</v>
      </c>
      <c r="F9" s="49">
        <f>VLOOKUP($A9,'Data shares'!$C:$FB,98)</f>
        <v>66640700</v>
      </c>
      <c r="G9" s="49">
        <f>VLOOKUP($A9,'Data shares'!$C:$FB,99)</f>
        <v>87271200</v>
      </c>
      <c r="H9" s="50">
        <f t="shared" si="1"/>
        <v>-23.639528275078149</v>
      </c>
      <c r="I9" s="49">
        <f>VLOOKUP($A9,'Data shares'!$C:$FB,66)</f>
        <v>32612000</v>
      </c>
      <c r="J9" s="49">
        <f>VLOOKUP($A9,'Data shares'!$C:$FB,67)</f>
        <v>67322700</v>
      </c>
      <c r="K9" s="50">
        <f t="shared" si="2"/>
        <v>-106.43536121673003</v>
      </c>
      <c r="L9" s="50">
        <f>VLOOKUP($A9,'Data shares'!$C:$FB,118)</f>
        <v>0.86</v>
      </c>
      <c r="M9" s="50">
        <f>VLOOKUP($A9,'Data shares'!$C:$FB,119)</f>
        <v>0.81</v>
      </c>
      <c r="N9" s="50">
        <f>VLOOKUP($A9,'Data shares'!$C:$FB,121)*100</f>
        <v>6.17</v>
      </c>
      <c r="O9" s="50">
        <f>VLOOKUP($A9,'Data shares'!$C:$FB,124)</f>
        <v>0.51</v>
      </c>
      <c r="P9" s="50">
        <f>VLOOKUP($A9,'Data shares'!$C:$FB,125)</f>
        <v>0.64</v>
      </c>
      <c r="Q9" s="50">
        <f>VLOOKUP($A9,'Data shares'!$C:$FB,127)*100</f>
        <v>-20.309999999999999</v>
      </c>
    </row>
    <row r="10" spans="1:17" x14ac:dyDescent="0.25">
      <c r="A10" s="97" t="str">
        <f>'Data Vlaue (Cr)'!C5</f>
        <v>ADANIENSOL</v>
      </c>
      <c r="B10" s="140">
        <f>VLOOKUP($A10,'Data shares'!$C:$FB,7)</f>
        <v>1463.3</v>
      </c>
      <c r="C10" s="140">
        <f>VLOOKUP($A10,'Data shares'!$C:$FB,3)</f>
        <v>1469.3</v>
      </c>
      <c r="D10" s="140">
        <f>VLOOKUP($A10,'Data shares'!$C:$FB,4)</f>
        <v>1413.8</v>
      </c>
      <c r="E10" s="50">
        <f t="shared" si="0"/>
        <v>3.9255906068750885</v>
      </c>
      <c r="F10" s="49">
        <f>VLOOKUP($A10,'Data shares'!$C:$FB,98)</f>
        <v>24331050</v>
      </c>
      <c r="G10" s="49">
        <f>VLOOKUP($A10,'Data shares'!$C:$FB,99)</f>
        <v>31290975</v>
      </c>
      <c r="H10" s="50">
        <f t="shared" si="1"/>
        <v>-22.242595508768904</v>
      </c>
      <c r="I10" s="49">
        <f>VLOOKUP($A10,'Data shares'!$C:$FB,66)</f>
        <v>30981150</v>
      </c>
      <c r="J10" s="49">
        <f>VLOOKUP($A10,'Data shares'!$C:$FB,67)</f>
        <v>41207400</v>
      </c>
      <c r="K10" s="50">
        <f t="shared" si="2"/>
        <v>-33.007974203669008</v>
      </c>
      <c r="L10" s="50">
        <f>VLOOKUP($A10,'Data shares'!$C:$FB,118)</f>
        <v>0.69</v>
      </c>
      <c r="M10" s="50">
        <f>VLOOKUP($A10,'Data shares'!$C:$FB,119)</f>
        <v>0.57999999999999996</v>
      </c>
      <c r="N10" s="50">
        <f>VLOOKUP($A10,'Data shares'!$C:$FB,121)*100</f>
        <v>18.970000000000002</v>
      </c>
      <c r="O10" s="50">
        <f>VLOOKUP($A10,'Data shares'!$C:$FB,124)</f>
        <v>0.35</v>
      </c>
      <c r="P10" s="50">
        <f>VLOOKUP($A10,'Data shares'!$C:$FB,125)</f>
        <v>0.35</v>
      </c>
      <c r="Q10" s="50">
        <f>VLOOKUP($A10,'Data shares'!$C:$FB,127)*100</f>
        <v>0</v>
      </c>
    </row>
    <row r="11" spans="1:17" x14ac:dyDescent="0.25">
      <c r="A11" s="97" t="str">
        <f>'Data Vlaue (Cr)'!C6</f>
        <v>ADANIENT</v>
      </c>
      <c r="B11" s="140">
        <f>VLOOKUP($A11,'Data shares'!$C:$FB,7)</f>
        <v>2969.3</v>
      </c>
      <c r="C11" s="140">
        <f>VLOOKUP($A11,'Data shares'!$C:$FB,3)</f>
        <v>2986</v>
      </c>
      <c r="D11" s="140">
        <f>VLOOKUP($A11,'Data shares'!$C:$FB,4)</f>
        <v>2865.7</v>
      </c>
      <c r="E11" s="50">
        <f t="shared" si="0"/>
        <v>4.1979272080120111</v>
      </c>
      <c r="F11" s="49">
        <f>VLOOKUP($A11,'Data shares'!$C:$FB,98)</f>
        <v>28415022</v>
      </c>
      <c r="G11" s="49">
        <f>VLOOKUP($A11,'Data shares'!$C:$FB,99)</f>
        <v>39496071</v>
      </c>
      <c r="H11" s="50">
        <f t="shared" si="1"/>
        <v>-28.056079299634639</v>
      </c>
      <c r="I11" s="49">
        <f>VLOOKUP($A11,'Data shares'!$C:$FB,66)</f>
        <v>57575970</v>
      </c>
      <c r="J11" s="49">
        <f>VLOOKUP($A11,'Data shares'!$C:$FB,67)</f>
        <v>83879286</v>
      </c>
      <c r="K11" s="50">
        <f t="shared" si="2"/>
        <v>-45.684538184940699</v>
      </c>
      <c r="L11" s="50">
        <f>VLOOKUP($A11,'Data shares'!$C:$FB,118)</f>
        <v>0.9</v>
      </c>
      <c r="M11" s="50">
        <f>VLOOKUP($A11,'Data shares'!$C:$FB,119)</f>
        <v>0.86</v>
      </c>
      <c r="N11" s="50">
        <f>VLOOKUP($A11,'Data shares'!$C:$FB,121)*100</f>
        <v>4.6500000000000004</v>
      </c>
      <c r="O11" s="50">
        <f>VLOOKUP($A11,'Data shares'!$C:$FB,124)</f>
        <v>0.46</v>
      </c>
      <c r="P11" s="50">
        <f>VLOOKUP($A11,'Data shares'!$C:$FB,125)</f>
        <v>0.36</v>
      </c>
      <c r="Q11" s="50">
        <f>VLOOKUP($A11,'Data shares'!$C:$FB,127)*100</f>
        <v>27.779999999999998</v>
      </c>
    </row>
    <row r="12" spans="1:17" x14ac:dyDescent="0.25">
      <c r="A12" s="97" t="str">
        <f>'Data Vlaue (Cr)'!C7</f>
        <v>ADANIGREEN</v>
      </c>
      <c r="B12" s="140">
        <f>VLOOKUP($A12,'Data shares'!$C:$FB,7)</f>
        <v>1457.4</v>
      </c>
      <c r="C12" s="140">
        <f>VLOOKUP($A12,'Data shares'!$C:$FB,3)</f>
        <v>1468.4</v>
      </c>
      <c r="D12" s="140">
        <f>VLOOKUP($A12,'Data shares'!$C:$FB,4)</f>
        <v>1422.3</v>
      </c>
      <c r="E12" s="50">
        <f t="shared" si="0"/>
        <v>3.2412289952893296</v>
      </c>
      <c r="F12" s="49">
        <f>VLOOKUP($A12,'Data shares'!$C:$FB,98)</f>
        <v>28196400</v>
      </c>
      <c r="G12" s="49">
        <f>VLOOKUP($A12,'Data shares'!$C:$FB,99)</f>
        <v>40557600</v>
      </c>
      <c r="H12" s="50">
        <f t="shared" si="1"/>
        <v>-30.47813480087579</v>
      </c>
      <c r="I12" s="49">
        <f>VLOOKUP($A12,'Data shares'!$C:$FB,66)</f>
        <v>46539000</v>
      </c>
      <c r="J12" s="49">
        <f>VLOOKUP($A12,'Data shares'!$C:$FB,67)</f>
        <v>60339600</v>
      </c>
      <c r="K12" s="50">
        <f t="shared" si="2"/>
        <v>-29.653838715915683</v>
      </c>
      <c r="L12" s="50">
        <f>VLOOKUP($A12,'Data shares'!$C:$FB,118)</f>
        <v>0.72</v>
      </c>
      <c r="M12" s="50">
        <f>VLOOKUP($A12,'Data shares'!$C:$FB,119)</f>
        <v>0.79</v>
      </c>
      <c r="N12" s="50">
        <f>VLOOKUP($A12,'Data shares'!$C:$FB,121)*100</f>
        <v>-8.86</v>
      </c>
      <c r="O12" s="50">
        <f>VLOOKUP($A12,'Data shares'!$C:$FB,124)</f>
        <v>0.37</v>
      </c>
      <c r="P12" s="50">
        <f>VLOOKUP($A12,'Data shares'!$C:$FB,125)</f>
        <v>0.36</v>
      </c>
      <c r="Q12" s="50">
        <f>VLOOKUP($A12,'Data shares'!$C:$FB,127)*100</f>
        <v>2.78</v>
      </c>
    </row>
    <row r="13" spans="1:17" x14ac:dyDescent="0.25">
      <c r="A13" s="97" t="str">
        <f>'Data Vlaue (Cr)'!C8</f>
        <v>ADANIPORTS</v>
      </c>
      <c r="B13" s="140">
        <f>VLOOKUP($A13,'Data shares'!$C:$FB,7)</f>
        <v>1811.2</v>
      </c>
      <c r="C13" s="140">
        <f>VLOOKUP($A13,'Data shares'!$C:$FB,3)</f>
        <v>1816.6</v>
      </c>
      <c r="D13" s="140">
        <f>VLOOKUP($A13,'Data shares'!$C:$FB,4)</f>
        <v>1808.6</v>
      </c>
      <c r="E13" s="50">
        <f t="shared" si="0"/>
        <v>0.44233108481698552</v>
      </c>
      <c r="F13" s="49">
        <f>VLOOKUP($A13,'Data shares'!$C:$FB,98)</f>
        <v>27310125</v>
      </c>
      <c r="G13" s="49">
        <f>VLOOKUP($A13,'Data shares'!$C:$FB,99)</f>
        <v>41012925</v>
      </c>
      <c r="H13" s="50">
        <f t="shared" si="1"/>
        <v>-33.410930822417569</v>
      </c>
      <c r="I13" s="49">
        <f>VLOOKUP($A13,'Data shares'!$C:$FB,66)</f>
        <v>23068850</v>
      </c>
      <c r="J13" s="49">
        <f>VLOOKUP($A13,'Data shares'!$C:$FB,67)</f>
        <v>46546200</v>
      </c>
      <c r="K13" s="50">
        <f t="shared" si="2"/>
        <v>-101.77078614668697</v>
      </c>
      <c r="L13" s="50">
        <f>VLOOKUP($A13,'Data shares'!$C:$FB,118)</f>
        <v>0.53</v>
      </c>
      <c r="M13" s="50">
        <f>VLOOKUP($A13,'Data shares'!$C:$FB,119)</f>
        <v>0.72</v>
      </c>
      <c r="N13" s="50">
        <f>VLOOKUP($A13,'Data shares'!$C:$FB,121)*100</f>
        <v>-26.39</v>
      </c>
      <c r="O13" s="50">
        <f>VLOOKUP($A13,'Data shares'!$C:$FB,124)</f>
        <v>0.45</v>
      </c>
      <c r="P13" s="50">
        <f>VLOOKUP($A13,'Data shares'!$C:$FB,125)</f>
        <v>0.54</v>
      </c>
      <c r="Q13" s="50">
        <f>VLOOKUP($A13,'Data shares'!$C:$FB,127)*100</f>
        <v>-16.669999999999998</v>
      </c>
    </row>
    <row r="14" spans="1:17" x14ac:dyDescent="0.25">
      <c r="A14" s="97" t="str">
        <f>'Data Vlaue (Cr)'!C9</f>
        <v>ADANIPOWER</v>
      </c>
      <c r="B14" s="140">
        <f>VLOOKUP($A14,'Data shares'!$C:$FB,7)</f>
        <v>244.53</v>
      </c>
      <c r="C14" s="140">
        <f>VLOOKUP($A14,'Data shares'!$C:$FB,3)</f>
        <v>246.49</v>
      </c>
      <c r="D14" s="140">
        <f>VLOOKUP($A14,'Data shares'!$C:$FB,4)</f>
        <v>235.26</v>
      </c>
      <c r="E14" s="50">
        <f>(C14-D14)/D14*100</f>
        <v>4.773442149111629</v>
      </c>
      <c r="F14" s="49">
        <f>VLOOKUP($A14,'Data shares'!$C:$FB,98)</f>
        <v>139749300</v>
      </c>
      <c r="G14" s="49">
        <f>VLOOKUP($A14,'Data shares'!$C:$FB,99)</f>
        <v>168550450</v>
      </c>
      <c r="H14" s="50">
        <f t="shared" si="1"/>
        <v>-17.087554497777965</v>
      </c>
      <c r="I14" s="49">
        <f>VLOOKUP($A14,'Data shares'!$C:$FB,66)</f>
        <v>371720500</v>
      </c>
      <c r="J14" s="49">
        <f>VLOOKUP($A14,'Data shares'!$C:$FB,67)</f>
        <v>449341250</v>
      </c>
      <c r="K14" s="50">
        <f t="shared" si="2"/>
        <v>-20.881482188902684</v>
      </c>
      <c r="L14" s="50">
        <f>VLOOKUP($A14,'Data shares'!$C:$FB,118)</f>
        <v>0.71</v>
      </c>
      <c r="M14" s="50">
        <f>VLOOKUP($A14,'Data shares'!$C:$FB,119)</f>
        <v>0.63</v>
      </c>
      <c r="N14" s="50">
        <f>VLOOKUP($A14,'Data shares'!$C:$FB,121)*100</f>
        <v>12.7</v>
      </c>
      <c r="O14" s="50">
        <f>VLOOKUP($A14,'Data shares'!$C:$FB,124)</f>
        <v>0.31</v>
      </c>
      <c r="P14" s="50">
        <f>VLOOKUP($A14,'Data shares'!$C:$FB,125)</f>
        <v>0.28999999999999998</v>
      </c>
      <c r="Q14" s="50">
        <f>VLOOKUP($A14,'Data shares'!$C:$FB,127)*100</f>
        <v>6.9</v>
      </c>
    </row>
    <row r="15" spans="1:17" x14ac:dyDescent="0.25">
      <c r="A15" s="97" t="str">
        <f>'Data Vlaue (Cr)'!C10</f>
        <v>ALKEM</v>
      </c>
      <c r="B15" s="140">
        <f>VLOOKUP($A15,'Data shares'!$C:$FB,7)</f>
        <v>5380</v>
      </c>
      <c r="C15" s="140">
        <f>VLOOKUP($A15,'Data shares'!$C:$FB,3)</f>
        <v>5420.5</v>
      </c>
      <c r="D15" s="140">
        <f>VLOOKUP($A15,'Data shares'!$C:$FB,4)</f>
        <v>5422.5</v>
      </c>
      <c r="E15" s="50">
        <f t="shared" si="0"/>
        <v>-3.6883356385431075E-2</v>
      </c>
      <c r="F15" s="49">
        <f>VLOOKUP($A15,'Data shares'!$C:$FB,98)</f>
        <v>1427125</v>
      </c>
      <c r="G15" s="49">
        <f>VLOOKUP($A15,'Data shares'!$C:$FB,99)</f>
        <v>1869500</v>
      </c>
      <c r="H15" s="50">
        <f t="shared" si="1"/>
        <v>-23.662744049211017</v>
      </c>
      <c r="I15" s="49">
        <f>VLOOKUP($A15,'Data shares'!$C:$FB,66)</f>
        <v>1604500</v>
      </c>
      <c r="J15" s="49">
        <f>VLOOKUP($A15,'Data shares'!$C:$FB,67)</f>
        <v>1596875</v>
      </c>
      <c r="K15" s="50">
        <f t="shared" si="2"/>
        <v>0.47522592708008721</v>
      </c>
      <c r="L15" s="50">
        <f>VLOOKUP($A15,'Data shares'!$C:$FB,118)</f>
        <v>0.78</v>
      </c>
      <c r="M15" s="50">
        <f>VLOOKUP($A15,'Data shares'!$C:$FB,119)</f>
        <v>0.51</v>
      </c>
      <c r="N15" s="50">
        <f>VLOOKUP($A15,'Data shares'!$C:$FB,121)*100</f>
        <v>52.94</v>
      </c>
      <c r="O15" s="50">
        <f>VLOOKUP($A15,'Data shares'!$C:$FB,124)</f>
        <v>1.82</v>
      </c>
      <c r="P15" s="50">
        <f>VLOOKUP($A15,'Data shares'!$C:$FB,125)</f>
        <v>0.42</v>
      </c>
      <c r="Q15" s="50">
        <f>VLOOKUP($A15,'Data shares'!$C:$FB,127)*100</f>
        <v>333.33</v>
      </c>
    </row>
    <row r="16" spans="1:17" x14ac:dyDescent="0.25">
      <c r="A16" s="97" t="str">
        <f>'Data Vlaue (Cr)'!C11</f>
        <v>AMBER</v>
      </c>
      <c r="B16" s="140">
        <f>VLOOKUP($A16,'Data shares'!$C:$FB,7)</f>
        <v>7312</v>
      </c>
      <c r="C16" s="140">
        <f>VLOOKUP($A16,'Data shares'!$C:$FB,3)</f>
        <v>7377</v>
      </c>
      <c r="D16" s="140">
        <f>VLOOKUP($A16,'Data shares'!$C:$FB,4)</f>
        <v>7524.5</v>
      </c>
      <c r="E16" s="50">
        <f t="shared" si="0"/>
        <v>-1.9602631404080004</v>
      </c>
      <c r="F16" s="49">
        <f>VLOOKUP($A16,'Data shares'!$C:$FB,98)</f>
        <v>4963900</v>
      </c>
      <c r="G16" s="49">
        <f>VLOOKUP($A16,'Data shares'!$C:$FB,99)</f>
        <v>8243900</v>
      </c>
      <c r="H16" s="50">
        <f t="shared" si="1"/>
        <v>-39.786994019820717</v>
      </c>
      <c r="I16" s="49">
        <f>VLOOKUP($A16,'Data shares'!$C:$FB,66)</f>
        <v>7051200</v>
      </c>
      <c r="J16" s="49">
        <f>VLOOKUP($A16,'Data shares'!$C:$FB,67)</f>
        <v>12365100</v>
      </c>
      <c r="K16" s="50">
        <f t="shared" si="2"/>
        <v>-75.361640571817574</v>
      </c>
      <c r="L16" s="50">
        <f>VLOOKUP($A16,'Data shares'!$C:$FB,118)</f>
        <v>0.97</v>
      </c>
      <c r="M16" s="50">
        <f>VLOOKUP($A16,'Data shares'!$C:$FB,119)</f>
        <v>0.57999999999999996</v>
      </c>
      <c r="N16" s="50">
        <f>VLOOKUP($A16,'Data shares'!$C:$FB,121)*100</f>
        <v>67.239999999999995</v>
      </c>
      <c r="O16" s="50">
        <f>VLOOKUP($A16,'Data shares'!$C:$FB,124)</f>
        <v>0.52</v>
      </c>
      <c r="P16" s="50">
        <f>VLOOKUP($A16,'Data shares'!$C:$FB,125)</f>
        <v>0.78</v>
      </c>
      <c r="Q16" s="50">
        <f>VLOOKUP($A16,'Data shares'!$C:$FB,127)*100</f>
        <v>-33.33</v>
      </c>
    </row>
    <row r="17" spans="1:17" x14ac:dyDescent="0.25">
      <c r="A17" s="97" t="str">
        <f>'Data Vlaue (Cr)'!C12</f>
        <v>AMBUJACEM</v>
      </c>
      <c r="B17" s="140">
        <f>VLOOKUP($A17,'Data shares'!$C:$FB,7)</f>
        <v>449.7</v>
      </c>
      <c r="C17" s="140">
        <f>VLOOKUP($A17,'Data shares'!$C:$FB,3)</f>
        <v>451.25</v>
      </c>
      <c r="D17" s="140">
        <f>VLOOKUP($A17,'Data shares'!$C:$FB,4)</f>
        <v>443.55</v>
      </c>
      <c r="E17" s="50">
        <f t="shared" si="0"/>
        <v>1.73599368729568</v>
      </c>
      <c r="F17" s="49">
        <f>VLOOKUP($A17,'Data shares'!$C:$FB,98)</f>
        <v>86918250</v>
      </c>
      <c r="G17" s="49">
        <f>VLOOKUP($A17,'Data shares'!$C:$FB,99)</f>
        <v>102726300</v>
      </c>
      <c r="H17" s="50">
        <f t="shared" si="1"/>
        <v>-15.388512970875034</v>
      </c>
      <c r="I17" s="49">
        <f>VLOOKUP($A17,'Data shares'!$C:$FB,66)</f>
        <v>71360100</v>
      </c>
      <c r="J17" s="49">
        <f>VLOOKUP($A17,'Data shares'!$C:$FB,67)</f>
        <v>61493250</v>
      </c>
      <c r="K17" s="50">
        <f t="shared" si="2"/>
        <v>13.826844413054355</v>
      </c>
      <c r="L17" s="50">
        <f>VLOOKUP($A17,'Data shares'!$C:$FB,118)</f>
        <v>0.97</v>
      </c>
      <c r="M17" s="50">
        <f>VLOOKUP($A17,'Data shares'!$C:$FB,119)</f>
        <v>0.63</v>
      </c>
      <c r="N17" s="50">
        <f>VLOOKUP($A17,'Data shares'!$C:$FB,121)*100</f>
        <v>53.97</v>
      </c>
      <c r="O17" s="50">
        <f>VLOOKUP($A17,'Data shares'!$C:$FB,124)</f>
        <v>0.44</v>
      </c>
      <c r="P17" s="50">
        <f>VLOOKUP($A17,'Data shares'!$C:$FB,125)</f>
        <v>0.52</v>
      </c>
      <c r="Q17" s="50">
        <f>VLOOKUP($A17,'Data shares'!$C:$FB,127)*100</f>
        <v>-15.379999999999999</v>
      </c>
    </row>
    <row r="18" spans="1:17" x14ac:dyDescent="0.25">
      <c r="A18" s="97" t="str">
        <f>'Data Vlaue (Cr)'!C13</f>
        <v>ANGELONE</v>
      </c>
      <c r="B18" s="140">
        <f>VLOOKUP($A18,'Data shares'!$C:$FB,7)</f>
        <v>344.45</v>
      </c>
      <c r="C18" s="140">
        <f>VLOOKUP($A18,'Data shares'!$C:$FB,3)</f>
        <v>346.2</v>
      </c>
      <c r="D18" s="140">
        <f>VLOOKUP($A18,'Data shares'!$C:$FB,4)</f>
        <v>349.1</v>
      </c>
      <c r="E18" s="50">
        <f t="shared" si="0"/>
        <v>-0.83070753365798744</v>
      </c>
      <c r="F18" s="49">
        <f>VLOOKUP($A18,'Data shares'!$C:$FB,98)</f>
        <v>38817500</v>
      </c>
      <c r="G18" s="49">
        <f>VLOOKUP($A18,'Data shares'!$C:$FB,99)</f>
        <v>69337500</v>
      </c>
      <c r="H18" s="50">
        <f t="shared" si="1"/>
        <v>-44.016585541734273</v>
      </c>
      <c r="I18" s="49">
        <f>VLOOKUP($A18,'Data shares'!$C:$FB,66)</f>
        <v>63477500</v>
      </c>
      <c r="J18" s="49">
        <f>VLOOKUP($A18,'Data shares'!$C:$FB,67)</f>
        <v>117345000</v>
      </c>
      <c r="K18" s="50">
        <f t="shared" si="2"/>
        <v>-84.860777440825487</v>
      </c>
      <c r="L18" s="50">
        <f>VLOOKUP($A18,'Data shares'!$C:$FB,118)</f>
        <v>0.89</v>
      </c>
      <c r="M18" s="50">
        <f>VLOOKUP($A18,'Data shares'!$C:$FB,119)</f>
        <v>0.9</v>
      </c>
      <c r="N18" s="50">
        <f>VLOOKUP($A18,'Data shares'!$C:$FB,121)*100</f>
        <v>-1.1100000000000001</v>
      </c>
      <c r="O18" s="50">
        <f>VLOOKUP($A18,'Data shares'!$C:$FB,124)</f>
        <v>0.75</v>
      </c>
      <c r="P18" s="50">
        <f>VLOOKUP($A18,'Data shares'!$C:$FB,125)</f>
        <v>0.57999999999999996</v>
      </c>
      <c r="Q18" s="50">
        <f>VLOOKUP($A18,'Data shares'!$C:$FB,127)*100</f>
        <v>29.310000000000002</v>
      </c>
    </row>
    <row r="19" spans="1:17" x14ac:dyDescent="0.25">
      <c r="A19" s="97" t="str">
        <f>'Data Vlaue (Cr)'!C14</f>
        <v>APLAPOLLO</v>
      </c>
      <c r="B19" s="140">
        <f>VLOOKUP($A19,'Data shares'!$C:$FB,7)</f>
        <v>1874.1</v>
      </c>
      <c r="C19" s="140">
        <f>VLOOKUP($A19,'Data shares'!$C:$FB,3)</f>
        <v>1884</v>
      </c>
      <c r="D19" s="140">
        <f>VLOOKUP($A19,'Data shares'!$C:$FB,4)</f>
        <v>1908.7</v>
      </c>
      <c r="E19" s="50">
        <f t="shared" si="0"/>
        <v>-1.2940745009692485</v>
      </c>
      <c r="F19" s="49">
        <f>VLOOKUP($A19,'Data shares'!$C:$FB,98)</f>
        <v>6459600</v>
      </c>
      <c r="G19" s="49">
        <f>VLOOKUP($A19,'Data shares'!$C:$FB,99)</f>
        <v>8925000</v>
      </c>
      <c r="H19" s="50">
        <f t="shared" si="1"/>
        <v>-27.623529411764707</v>
      </c>
      <c r="I19" s="49">
        <f>VLOOKUP($A19,'Data shares'!$C:$FB,66)</f>
        <v>6525750</v>
      </c>
      <c r="J19" s="49">
        <f>VLOOKUP($A19,'Data shares'!$C:$FB,67)</f>
        <v>6941550</v>
      </c>
      <c r="K19" s="50">
        <f t="shared" si="2"/>
        <v>-6.3716814159292037</v>
      </c>
      <c r="L19" s="50">
        <f>VLOOKUP($A19,'Data shares'!$C:$FB,118)</f>
        <v>1.18</v>
      </c>
      <c r="M19" s="50">
        <f>VLOOKUP($A19,'Data shares'!$C:$FB,119)</f>
        <v>0.6</v>
      </c>
      <c r="N19" s="50">
        <f>VLOOKUP($A19,'Data shares'!$C:$FB,121)*100</f>
        <v>96.67</v>
      </c>
      <c r="O19" s="50">
        <f>VLOOKUP($A19,'Data shares'!$C:$FB,124)</f>
        <v>0.88</v>
      </c>
      <c r="P19" s="50">
        <f>VLOOKUP($A19,'Data shares'!$C:$FB,125)</f>
        <v>0.46</v>
      </c>
      <c r="Q19" s="50">
        <f>VLOOKUP($A19,'Data shares'!$C:$FB,127)*100</f>
        <v>91.3</v>
      </c>
    </row>
    <row r="20" spans="1:17" x14ac:dyDescent="0.25">
      <c r="A20" s="97" t="str">
        <f>'Data Vlaue (Cr)'!C15</f>
        <v>APOLLOHOSP</v>
      </c>
      <c r="B20" s="140">
        <f>VLOOKUP($A20,'Data shares'!$C:$FB,7)</f>
        <v>8258.5</v>
      </c>
      <c r="C20" s="140">
        <f>VLOOKUP($A20,'Data shares'!$C:$FB,3)</f>
        <v>8315</v>
      </c>
      <c r="D20" s="140">
        <f>VLOOKUP($A20,'Data shares'!$C:$FB,4)</f>
        <v>8448.5</v>
      </c>
      <c r="E20" s="50">
        <f t="shared" si="0"/>
        <v>-1.5801621589631296</v>
      </c>
      <c r="F20" s="49">
        <f>VLOOKUP($A20,'Data shares'!$C:$FB,98)</f>
        <v>2733500</v>
      </c>
      <c r="G20" s="49">
        <f>VLOOKUP($A20,'Data shares'!$C:$FB,99)</f>
        <v>4885250</v>
      </c>
      <c r="H20" s="50">
        <f t="shared" si="1"/>
        <v>-44.045852310526584</v>
      </c>
      <c r="I20" s="49">
        <f>VLOOKUP($A20,'Data shares'!$C:$FB,66)</f>
        <v>3564000</v>
      </c>
      <c r="J20" s="49">
        <f>VLOOKUP($A20,'Data shares'!$C:$FB,67)</f>
        <v>5913750</v>
      </c>
      <c r="K20" s="50">
        <f t="shared" si="2"/>
        <v>-65.930134680134671</v>
      </c>
      <c r="L20" s="50">
        <f>VLOOKUP($A20,'Data shares'!$C:$FB,118)</f>
        <v>0.63</v>
      </c>
      <c r="M20" s="50">
        <f>VLOOKUP($A20,'Data shares'!$C:$FB,119)</f>
        <v>1.08</v>
      </c>
      <c r="N20" s="50">
        <f>VLOOKUP($A20,'Data shares'!$C:$FB,121)*100</f>
        <v>-41.67</v>
      </c>
      <c r="O20" s="50">
        <f>VLOOKUP($A20,'Data shares'!$C:$FB,124)</f>
        <v>0.99</v>
      </c>
      <c r="P20" s="50">
        <f>VLOOKUP($A20,'Data shares'!$C:$FB,125)</f>
        <v>0.82</v>
      </c>
      <c r="Q20" s="50">
        <f>VLOOKUP($A20,'Data shares'!$C:$FB,127)*100</f>
        <v>20.73</v>
      </c>
    </row>
    <row r="21" spans="1:17" x14ac:dyDescent="0.25">
      <c r="A21" s="97" t="str">
        <f>'Data Vlaue (Cr)'!C16</f>
        <v>ASHOKLEY</v>
      </c>
      <c r="B21" s="140">
        <f>VLOOKUP($A21,'Data shares'!$C:$FB,7)</f>
        <v>160.54</v>
      </c>
      <c r="C21" s="140">
        <f>VLOOKUP($A21,'Data shares'!$C:$FB,3)</f>
        <v>160.74</v>
      </c>
      <c r="D21" s="140">
        <f>VLOOKUP($A21,'Data shares'!$C:$FB,4)</f>
        <v>164</v>
      </c>
      <c r="E21" s="50">
        <f t="shared" si="0"/>
        <v>-1.9878048780487749</v>
      </c>
      <c r="F21" s="49">
        <f>VLOOKUP($A21,'Data shares'!$C:$FB,98)</f>
        <v>263205000</v>
      </c>
      <c r="G21" s="49">
        <f>VLOOKUP($A21,'Data shares'!$C:$FB,99)</f>
        <v>363310000</v>
      </c>
      <c r="H21" s="50">
        <f t="shared" si="1"/>
        <v>-27.55360435991302</v>
      </c>
      <c r="I21" s="49">
        <f>VLOOKUP($A21,'Data shares'!$C:$FB,66)</f>
        <v>209260000</v>
      </c>
      <c r="J21" s="49">
        <f>VLOOKUP($A21,'Data shares'!$C:$FB,67)</f>
        <v>513735000</v>
      </c>
      <c r="K21" s="50">
        <f t="shared" si="2"/>
        <v>-145.50081238650483</v>
      </c>
      <c r="L21" s="50">
        <f>VLOOKUP($A21,'Data shares'!$C:$FB,118)</f>
        <v>0.9</v>
      </c>
      <c r="M21" s="50">
        <f>VLOOKUP($A21,'Data shares'!$C:$FB,119)</f>
        <v>0.75</v>
      </c>
      <c r="N21" s="50">
        <f>VLOOKUP($A21,'Data shares'!$C:$FB,121)*100</f>
        <v>20</v>
      </c>
      <c r="O21" s="50">
        <f>VLOOKUP($A21,'Data shares'!$C:$FB,124)</f>
        <v>0.64</v>
      </c>
      <c r="P21" s="50">
        <f>VLOOKUP($A21,'Data shares'!$C:$FB,125)</f>
        <v>0.4</v>
      </c>
      <c r="Q21" s="50">
        <f>VLOOKUP($A21,'Data shares'!$C:$FB,127)*100</f>
        <v>60</v>
      </c>
    </row>
    <row r="22" spans="1:17" x14ac:dyDescent="0.25">
      <c r="A22" s="97" t="str">
        <f>'Data Vlaue (Cr)'!C17</f>
        <v>ASIANPAINT</v>
      </c>
      <c r="B22" s="140">
        <f>VLOOKUP($A22,'Data shares'!$C:$FB,7)</f>
        <v>2647</v>
      </c>
      <c r="C22" s="140">
        <f>VLOOKUP($A22,'Data shares'!$C:$FB,3)</f>
        <v>2646.4</v>
      </c>
      <c r="D22" s="140">
        <f>VLOOKUP($A22,'Data shares'!$C:$FB,4)</f>
        <v>2654</v>
      </c>
      <c r="E22" s="50">
        <f t="shared" si="0"/>
        <v>-0.28636021100225734</v>
      </c>
      <c r="F22" s="49">
        <f>VLOOKUP($A22,'Data shares'!$C:$FB,98)</f>
        <v>14338750</v>
      </c>
      <c r="G22" s="49">
        <f>VLOOKUP($A22,'Data shares'!$C:$FB,99)</f>
        <v>25281250</v>
      </c>
      <c r="H22" s="50">
        <f t="shared" si="1"/>
        <v>-43.283065512978986</v>
      </c>
      <c r="I22" s="49">
        <f>VLOOKUP($A22,'Data shares'!$C:$FB,66)</f>
        <v>13047250</v>
      </c>
      <c r="J22" s="49">
        <f>VLOOKUP($A22,'Data shares'!$C:$FB,67)</f>
        <v>30847250</v>
      </c>
      <c r="K22" s="50">
        <f t="shared" si="2"/>
        <v>-136.42721646323938</v>
      </c>
      <c r="L22" s="50">
        <f>VLOOKUP($A22,'Data shares'!$C:$FB,118)</f>
        <v>0.68</v>
      </c>
      <c r="M22" s="50">
        <f>VLOOKUP($A22,'Data shares'!$C:$FB,119)</f>
        <v>0.64</v>
      </c>
      <c r="N22" s="50">
        <f>VLOOKUP($A22,'Data shares'!$C:$FB,121)*100</f>
        <v>6.25</v>
      </c>
      <c r="O22" s="50">
        <f>VLOOKUP($A22,'Data shares'!$C:$FB,124)</f>
        <v>0.62</v>
      </c>
      <c r="P22" s="50">
        <f>VLOOKUP($A22,'Data shares'!$C:$FB,125)</f>
        <v>0.6</v>
      </c>
      <c r="Q22" s="50">
        <f>VLOOKUP($A22,'Data shares'!$C:$FB,127)*100</f>
        <v>3.3300000000000005</v>
      </c>
    </row>
    <row r="23" spans="1:17" x14ac:dyDescent="0.25">
      <c r="A23" s="97" t="str">
        <f>'Data Vlaue (Cr)'!C18</f>
        <v>ASTRAL</v>
      </c>
      <c r="B23" s="140">
        <f>VLOOKUP($A23,'Data shares'!$C:$FB,7)</f>
        <v>1578.8</v>
      </c>
      <c r="C23" s="140">
        <f>VLOOKUP($A23,'Data shares'!$C:$FB,3)</f>
        <v>1565.7</v>
      </c>
      <c r="D23" s="140">
        <f>VLOOKUP($A23,'Data shares'!$C:$FB,4)</f>
        <v>1547.9</v>
      </c>
      <c r="E23" s="50">
        <f t="shared" si="0"/>
        <v>1.1499450868919152</v>
      </c>
      <c r="F23" s="49">
        <f>VLOOKUP($A23,'Data shares'!$C:$FB,98)</f>
        <v>9464325</v>
      </c>
      <c r="G23" s="49">
        <f>VLOOKUP($A23,'Data shares'!$C:$FB,99)</f>
        <v>14555825</v>
      </c>
      <c r="H23" s="50">
        <f t="shared" si="1"/>
        <v>-34.979123478057758</v>
      </c>
      <c r="I23" s="49">
        <f>VLOOKUP($A23,'Data shares'!$C:$FB,66)</f>
        <v>11031300</v>
      </c>
      <c r="J23" s="49">
        <f>VLOOKUP($A23,'Data shares'!$C:$FB,67)</f>
        <v>15293625</v>
      </c>
      <c r="K23" s="50">
        <f t="shared" si="2"/>
        <v>-38.638465094775775</v>
      </c>
      <c r="L23" s="50">
        <f>VLOOKUP($A23,'Data shares'!$C:$FB,118)</f>
        <v>0.56999999999999995</v>
      </c>
      <c r="M23" s="50">
        <f>VLOOKUP($A23,'Data shares'!$C:$FB,119)</f>
        <v>0.8</v>
      </c>
      <c r="N23" s="50">
        <f>VLOOKUP($A23,'Data shares'!$C:$FB,121)*100</f>
        <v>-28.749999999999996</v>
      </c>
      <c r="O23" s="50">
        <f>VLOOKUP($A23,'Data shares'!$C:$FB,124)</f>
        <v>0.54</v>
      </c>
      <c r="P23" s="50">
        <f>VLOOKUP($A23,'Data shares'!$C:$FB,125)</f>
        <v>0.45</v>
      </c>
      <c r="Q23" s="50">
        <f>VLOOKUP($A23,'Data shares'!$C:$FB,127)*100</f>
        <v>20</v>
      </c>
    </row>
    <row r="24" spans="1:17" x14ac:dyDescent="0.25">
      <c r="A24" s="97" t="str">
        <f>'Data Vlaue (Cr)'!C19</f>
        <v>AUBANK</v>
      </c>
      <c r="B24" s="140">
        <f>VLOOKUP($A24,'Data shares'!$C:$FB,7)</f>
        <v>1011.8</v>
      </c>
      <c r="C24" s="140">
        <f>VLOOKUP($A24,'Data shares'!$C:$FB,3)</f>
        <v>1021</v>
      </c>
      <c r="D24" s="140">
        <f>VLOOKUP($A24,'Data shares'!$C:$FB,4)</f>
        <v>1008</v>
      </c>
      <c r="E24" s="50">
        <f t="shared" si="0"/>
        <v>1.2896825396825395</v>
      </c>
      <c r="F24" s="49">
        <f>VLOOKUP($A24,'Data shares'!$C:$FB,98)</f>
        <v>29751000</v>
      </c>
      <c r="G24" s="49">
        <f>VLOOKUP($A24,'Data shares'!$C:$FB,99)</f>
        <v>39502000</v>
      </c>
      <c r="H24" s="50">
        <f t="shared" si="1"/>
        <v>-24.684826084755201</v>
      </c>
      <c r="I24" s="49">
        <f>VLOOKUP($A24,'Data shares'!$C:$FB,66)</f>
        <v>19299000</v>
      </c>
      <c r="J24" s="49">
        <f>VLOOKUP($A24,'Data shares'!$C:$FB,67)</f>
        <v>40868000</v>
      </c>
      <c r="K24" s="50">
        <f t="shared" si="2"/>
        <v>-111.76226747499871</v>
      </c>
      <c r="L24" s="50">
        <f>VLOOKUP($A24,'Data shares'!$C:$FB,118)</f>
        <v>1.04</v>
      </c>
      <c r="M24" s="50">
        <f>VLOOKUP($A24,'Data shares'!$C:$FB,119)</f>
        <v>0.86</v>
      </c>
      <c r="N24" s="50">
        <f>VLOOKUP($A24,'Data shares'!$C:$FB,121)*100</f>
        <v>20.93</v>
      </c>
      <c r="O24" s="50">
        <f>VLOOKUP($A24,'Data shares'!$C:$FB,124)</f>
        <v>0.65</v>
      </c>
      <c r="P24" s="50">
        <f>VLOOKUP($A24,'Data shares'!$C:$FB,125)</f>
        <v>0.51</v>
      </c>
      <c r="Q24" s="50">
        <f>VLOOKUP($A24,'Data shares'!$C:$FB,127)*100</f>
        <v>27.450000000000003</v>
      </c>
    </row>
    <row r="25" spans="1:17" x14ac:dyDescent="0.25">
      <c r="A25" s="97" t="str">
        <f>'Data Vlaue (Cr)'!C20</f>
        <v>AUROPHARMA</v>
      </c>
      <c r="B25" s="140">
        <f>VLOOKUP($A25,'Data shares'!$C:$FB,7)</f>
        <v>1461.2</v>
      </c>
      <c r="C25" s="140">
        <f>VLOOKUP($A25,'Data shares'!$C:$FB,3)</f>
        <v>1474.2</v>
      </c>
      <c r="D25" s="140">
        <f>VLOOKUP($A25,'Data shares'!$C:$FB,4)</f>
        <v>1467.2</v>
      </c>
      <c r="E25" s="50">
        <f t="shared" si="0"/>
        <v>0.47709923664122139</v>
      </c>
      <c r="F25" s="49">
        <f>VLOOKUP($A25,'Data shares'!$C:$FB,98)</f>
        <v>22388850</v>
      </c>
      <c r="G25" s="49">
        <f>VLOOKUP($A25,'Data shares'!$C:$FB,99)</f>
        <v>28098950</v>
      </c>
      <c r="H25" s="50">
        <f t="shared" si="1"/>
        <v>-20.321399909961048</v>
      </c>
      <c r="I25" s="49">
        <f>VLOOKUP($A25,'Data shares'!$C:$FB,66)</f>
        <v>11557150</v>
      </c>
      <c r="J25" s="49">
        <f>VLOOKUP($A25,'Data shares'!$C:$FB,67)</f>
        <v>22926200</v>
      </c>
      <c r="K25" s="50">
        <f t="shared" si="2"/>
        <v>-98.372436110978924</v>
      </c>
      <c r="L25" s="50">
        <f>VLOOKUP($A25,'Data shares'!$C:$FB,118)</f>
        <v>0.53</v>
      </c>
      <c r="M25" s="50">
        <f>VLOOKUP($A25,'Data shares'!$C:$FB,119)</f>
        <v>0.65</v>
      </c>
      <c r="N25" s="50">
        <f>VLOOKUP($A25,'Data shares'!$C:$FB,121)*100</f>
        <v>-18.459999999999997</v>
      </c>
      <c r="O25" s="50">
        <f>VLOOKUP($A25,'Data shares'!$C:$FB,124)</f>
        <v>0.51</v>
      </c>
      <c r="P25" s="50">
        <f>VLOOKUP($A25,'Data shares'!$C:$FB,125)</f>
        <v>0.45</v>
      </c>
      <c r="Q25" s="50">
        <f>VLOOKUP($A25,'Data shares'!$C:$FB,127)*100</f>
        <v>13.33</v>
      </c>
    </row>
    <row r="26" spans="1:17" x14ac:dyDescent="0.25">
      <c r="A26" s="97" t="str">
        <f>'Data Vlaue (Cr)'!C21</f>
        <v>AXISBANK</v>
      </c>
      <c r="B26" s="140">
        <f>VLOOKUP($A26,'Data shares'!$C:$FB,7)</f>
        <v>1299.3</v>
      </c>
      <c r="C26" s="140">
        <f>VLOOKUP($A26,'Data shares'!$C:$FB,3)</f>
        <v>1307</v>
      </c>
      <c r="D26" s="140">
        <f>VLOOKUP($A26,'Data shares'!$C:$FB,4)</f>
        <v>1318.3</v>
      </c>
      <c r="E26" s="50">
        <f t="shared" si="0"/>
        <v>-0.85716453007661042</v>
      </c>
      <c r="F26" s="49">
        <f>VLOOKUP($A26,'Data shares'!$C:$FB,98)</f>
        <v>75337500</v>
      </c>
      <c r="G26" s="49">
        <f>VLOOKUP($A26,'Data shares'!$C:$FB,99)</f>
        <v>103333750</v>
      </c>
      <c r="H26" s="50">
        <f t="shared" si="1"/>
        <v>-27.093035915177762</v>
      </c>
      <c r="I26" s="49">
        <f>VLOOKUP($A26,'Data shares'!$C:$FB,66)</f>
        <v>62730625</v>
      </c>
      <c r="J26" s="49">
        <f>VLOOKUP($A26,'Data shares'!$C:$FB,67)</f>
        <v>120286250</v>
      </c>
      <c r="K26" s="50">
        <f t="shared" si="2"/>
        <v>-91.750440873177979</v>
      </c>
      <c r="L26" s="50">
        <f>VLOOKUP($A26,'Data shares'!$C:$FB,118)</f>
        <v>0.85</v>
      </c>
      <c r="M26" s="50">
        <f>VLOOKUP($A26,'Data shares'!$C:$FB,119)</f>
        <v>0.73</v>
      </c>
      <c r="N26" s="50">
        <f>VLOOKUP($A26,'Data shares'!$C:$FB,121)*100</f>
        <v>16.439999999999998</v>
      </c>
      <c r="O26" s="50">
        <f>VLOOKUP($A26,'Data shares'!$C:$FB,124)</f>
        <v>0.76</v>
      </c>
      <c r="P26" s="50">
        <f>VLOOKUP($A26,'Data shares'!$C:$FB,125)</f>
        <v>0.39</v>
      </c>
      <c r="Q26" s="50">
        <f>VLOOKUP($A26,'Data shares'!$C:$FB,127)*100</f>
        <v>94.87</v>
      </c>
    </row>
    <row r="27" spans="1:17" x14ac:dyDescent="0.25">
      <c r="A27" s="97" t="str">
        <f>'Data Vlaue (Cr)'!C22</f>
        <v>BAJAJ-AUTO</v>
      </c>
      <c r="B27" s="140">
        <f>VLOOKUP($A27,'Data shares'!$C:$FB,7)</f>
        <v>10593</v>
      </c>
      <c r="C27" s="140">
        <f>VLOOKUP($A27,'Data shares'!$C:$FB,3)</f>
        <v>10292</v>
      </c>
      <c r="D27" s="140">
        <f>VLOOKUP($A27,'Data shares'!$C:$FB,4)</f>
        <v>10242.5</v>
      </c>
      <c r="E27" s="50">
        <f t="shared" si="0"/>
        <v>0.48328044910910423</v>
      </c>
      <c r="F27" s="49">
        <f>VLOOKUP($A27,'Data shares'!$C:$FB,98)</f>
        <v>3618075</v>
      </c>
      <c r="G27" s="49">
        <f>VLOOKUP($A27,'Data shares'!$C:$FB,99)</f>
        <v>6355575</v>
      </c>
      <c r="H27" s="50">
        <f t="shared" si="1"/>
        <v>-43.072420670041659</v>
      </c>
      <c r="I27" s="49">
        <f>VLOOKUP($A27,'Data shares'!$C:$FB,66)</f>
        <v>5704275</v>
      </c>
      <c r="J27" s="49">
        <f>VLOOKUP($A27,'Data shares'!$C:$FB,67)</f>
        <v>12952950</v>
      </c>
      <c r="K27" s="50">
        <f t="shared" si="2"/>
        <v>-127.07443101884112</v>
      </c>
      <c r="L27" s="50">
        <f>VLOOKUP($A27,'Data shares'!$C:$FB,118)</f>
        <v>0.46</v>
      </c>
      <c r="M27" s="50">
        <f>VLOOKUP($A27,'Data shares'!$C:$FB,119)</f>
        <v>0.6</v>
      </c>
      <c r="N27" s="50">
        <f>VLOOKUP($A27,'Data shares'!$C:$FB,121)*100</f>
        <v>-23.330000000000002</v>
      </c>
      <c r="O27" s="50">
        <f>VLOOKUP($A27,'Data shares'!$C:$FB,124)</f>
        <v>0.38</v>
      </c>
      <c r="P27" s="50">
        <f>VLOOKUP($A27,'Data shares'!$C:$FB,125)</f>
        <v>0.64</v>
      </c>
      <c r="Q27" s="50">
        <f>VLOOKUP($A27,'Data shares'!$C:$FB,127)*100</f>
        <v>-40.630000000000003</v>
      </c>
    </row>
    <row r="28" spans="1:17" x14ac:dyDescent="0.25">
      <c r="A28" s="97" t="str">
        <f>'Data Vlaue (Cr)'!C23</f>
        <v>BAJAJFINSV</v>
      </c>
      <c r="B28" s="140">
        <f>VLOOKUP($A28,'Data shares'!$C:$FB,7)</f>
        <v>1800.7</v>
      </c>
      <c r="C28" s="140">
        <f>VLOOKUP($A28,'Data shares'!$C:$FB,3)</f>
        <v>1810.6</v>
      </c>
      <c r="D28" s="140">
        <f>VLOOKUP($A28,'Data shares'!$C:$FB,4)</f>
        <v>1818.2</v>
      </c>
      <c r="E28" s="50">
        <f t="shared" si="0"/>
        <v>-0.41799582004180713</v>
      </c>
      <c r="F28" s="49">
        <f>VLOOKUP($A28,'Data shares'!$C:$FB,98)</f>
        <v>14065650</v>
      </c>
      <c r="G28" s="49">
        <f>VLOOKUP($A28,'Data shares'!$C:$FB,99)</f>
        <v>21956600</v>
      </c>
      <c r="H28" s="50">
        <f t="shared" si="1"/>
        <v>-35.93885209914103</v>
      </c>
      <c r="I28" s="49">
        <f>VLOOKUP($A28,'Data shares'!$C:$FB,66)</f>
        <v>8925000</v>
      </c>
      <c r="J28" s="49">
        <f>VLOOKUP($A28,'Data shares'!$C:$FB,67)</f>
        <v>22581500</v>
      </c>
      <c r="K28" s="50">
        <f t="shared" si="2"/>
        <v>-153.0140056022409</v>
      </c>
      <c r="L28" s="50">
        <f>VLOOKUP($A28,'Data shares'!$C:$FB,118)</f>
        <v>1.1399999999999999</v>
      </c>
      <c r="M28" s="50">
        <f>VLOOKUP($A28,'Data shares'!$C:$FB,119)</f>
        <v>0.57999999999999996</v>
      </c>
      <c r="N28" s="50">
        <f>VLOOKUP($A28,'Data shares'!$C:$FB,121)*100</f>
        <v>96.55</v>
      </c>
      <c r="O28" s="50">
        <f>VLOOKUP($A28,'Data shares'!$C:$FB,124)</f>
        <v>0.61</v>
      </c>
      <c r="P28" s="50">
        <f>VLOOKUP($A28,'Data shares'!$C:$FB,125)</f>
        <v>0.7</v>
      </c>
      <c r="Q28" s="50">
        <f>VLOOKUP($A28,'Data shares'!$C:$FB,127)*100</f>
        <v>-12.86</v>
      </c>
    </row>
    <row r="29" spans="1:17" x14ac:dyDescent="0.25">
      <c r="A29" s="97" t="str">
        <f>'Data Vlaue (Cr)'!C24</f>
        <v>BAJAJHLDNG</v>
      </c>
      <c r="B29" s="140">
        <f>VLOOKUP($A29,'Data shares'!$C:$FB,7)</f>
        <v>10705</v>
      </c>
      <c r="C29" s="140">
        <f>VLOOKUP($A29,'Data shares'!$C:$FB,3)</f>
        <v>10629</v>
      </c>
      <c r="D29" s="140">
        <f>VLOOKUP($A29,'Data shares'!$C:$FB,4)</f>
        <v>10612</v>
      </c>
      <c r="E29" s="50">
        <f t="shared" si="0"/>
        <v>0.16019600452318131</v>
      </c>
      <c r="F29" s="49">
        <f>VLOOKUP($A29,'Data shares'!$C:$FB,98)</f>
        <v>303650</v>
      </c>
      <c r="G29" s="49">
        <f>VLOOKUP($A29,'Data shares'!$C:$FB,99)</f>
        <v>438950</v>
      </c>
      <c r="H29" s="50">
        <f t="shared" si="1"/>
        <v>-30.823556213691766</v>
      </c>
      <c r="I29" s="49">
        <f>VLOOKUP($A29,'Data shares'!$C:$FB,66)</f>
        <v>459950</v>
      </c>
      <c r="J29" s="49">
        <f>VLOOKUP($A29,'Data shares'!$C:$FB,67)</f>
        <v>729500</v>
      </c>
      <c r="K29" s="50">
        <f t="shared" si="2"/>
        <v>-58.604196108272646</v>
      </c>
      <c r="L29" s="50">
        <f>VLOOKUP($A29,'Data shares'!$C:$FB,118)</f>
        <v>0.71</v>
      </c>
      <c r="M29" s="50">
        <f>VLOOKUP($A29,'Data shares'!$C:$FB,119)</f>
        <v>0.6</v>
      </c>
      <c r="N29" s="50">
        <f>VLOOKUP($A29,'Data shares'!$C:$FB,121)*100</f>
        <v>18.329999999999998</v>
      </c>
      <c r="O29" s="50">
        <f>VLOOKUP($A29,'Data shares'!$C:$FB,124)</f>
        <v>0.74</v>
      </c>
      <c r="P29" s="50">
        <f>VLOOKUP($A29,'Data shares'!$C:$FB,125)</f>
        <v>0.88</v>
      </c>
      <c r="Q29" s="50">
        <f>VLOOKUP($A29,'Data shares'!$C:$FB,127)*100</f>
        <v>-15.909999999999998</v>
      </c>
    </row>
    <row r="30" spans="1:17" x14ac:dyDescent="0.25">
      <c r="A30" s="97" t="str">
        <f>'Data Vlaue (Cr)'!C25</f>
        <v>BAJFINANCE</v>
      </c>
      <c r="B30" s="176">
        <f>VLOOKUP($A30,'Data shares'!$C:$FB,7)</f>
        <v>930.2</v>
      </c>
      <c r="C30" s="176">
        <f>VLOOKUP($A30,'Data shares'!$C:$FB,3)</f>
        <v>928.1</v>
      </c>
      <c r="D30" s="176">
        <f>VLOOKUP($A30,'Data shares'!$C:$FB,4)</f>
        <v>943.4</v>
      </c>
      <c r="E30" s="50">
        <f t="shared" si="0"/>
        <v>-1.621793512825944</v>
      </c>
      <c r="F30" s="49">
        <f>VLOOKUP($A30,'Data shares'!$C:$FB,98)</f>
        <v>88527000</v>
      </c>
      <c r="G30" s="49">
        <f>VLOOKUP($A30,'Data shares'!$C:$FB,99)</f>
        <v>103698000</v>
      </c>
      <c r="H30" s="50">
        <f t="shared" si="1"/>
        <v>-14.629983220505698</v>
      </c>
      <c r="I30" s="49">
        <f>VLOOKUP($A30,'Data shares'!$C:$FB,66)</f>
        <v>47604000</v>
      </c>
      <c r="J30" s="49">
        <f>VLOOKUP($A30,'Data shares'!$C:$FB,67)</f>
        <v>96652500</v>
      </c>
      <c r="K30" s="50">
        <f t="shared" si="2"/>
        <v>-103.03440887320394</v>
      </c>
      <c r="L30" s="50">
        <f>VLOOKUP($A30,'Data shares'!$C:$FB,118)</f>
        <v>0.9</v>
      </c>
      <c r="M30" s="50">
        <f>VLOOKUP($A30,'Data shares'!$C:$FB,119)</f>
        <v>0.75</v>
      </c>
      <c r="N30" s="50">
        <f>VLOOKUP($A30,'Data shares'!$C:$FB,121)*100</f>
        <v>20</v>
      </c>
      <c r="O30" s="50">
        <f>VLOOKUP($A30,'Data shares'!$C:$FB,124)</f>
        <v>0.55000000000000004</v>
      </c>
      <c r="P30" s="50">
        <f>VLOOKUP($A30,'Data shares'!$C:$FB,125)</f>
        <v>0.52</v>
      </c>
      <c r="Q30" s="50">
        <f>VLOOKUP($A30,'Data shares'!$C:$FB,127)*100</f>
        <v>5.7700000000000005</v>
      </c>
    </row>
    <row r="31" spans="1:17" x14ac:dyDescent="0.25">
      <c r="A31" s="97" t="str">
        <f>'Data Vlaue (Cr)'!C26</f>
        <v>BANDHANBNK</v>
      </c>
      <c r="B31" s="140">
        <f>VLOOKUP($A31,'Data shares'!$C:$FB,7)</f>
        <v>200.4</v>
      </c>
      <c r="C31" s="140">
        <f>VLOOKUP($A31,'Data shares'!$C:$FB,3)</f>
        <v>202.22</v>
      </c>
      <c r="D31" s="140">
        <f>VLOOKUP($A31,'Data shares'!$C:$FB,4)</f>
        <v>198.9</v>
      </c>
      <c r="E31" s="50">
        <f t="shared" si="0"/>
        <v>1.669180492709901</v>
      </c>
      <c r="F31" s="49">
        <f>VLOOKUP($A31,'Data shares'!$C:$FB,98)</f>
        <v>133142400</v>
      </c>
      <c r="G31" s="49">
        <f>VLOOKUP($A31,'Data shares'!$C:$FB,99)</f>
        <v>163540800</v>
      </c>
      <c r="H31" s="50">
        <f t="shared" si="1"/>
        <v>-18.587655190631327</v>
      </c>
      <c r="I31" s="49">
        <f>VLOOKUP($A31,'Data shares'!$C:$FB,66)</f>
        <v>139982400</v>
      </c>
      <c r="J31" s="49">
        <f>VLOOKUP($A31,'Data shares'!$C:$FB,67)</f>
        <v>123429600</v>
      </c>
      <c r="K31" s="50">
        <f t="shared" si="2"/>
        <v>11.824915132188046</v>
      </c>
      <c r="L31" s="50">
        <f>VLOOKUP($A31,'Data shares'!$C:$FB,118)</f>
        <v>0.61</v>
      </c>
      <c r="M31" s="50">
        <f>VLOOKUP($A31,'Data shares'!$C:$FB,119)</f>
        <v>0.66</v>
      </c>
      <c r="N31" s="50">
        <f>VLOOKUP($A31,'Data shares'!$C:$FB,121)*100</f>
        <v>-7.580000000000001</v>
      </c>
      <c r="O31" s="50">
        <f>VLOOKUP($A31,'Data shares'!$C:$FB,124)</f>
        <v>0.33</v>
      </c>
      <c r="P31" s="50">
        <f>VLOOKUP($A31,'Data shares'!$C:$FB,125)</f>
        <v>0.38</v>
      </c>
      <c r="Q31" s="50">
        <f>VLOOKUP($A31,'Data shares'!$C:$FB,127)*100</f>
        <v>-13.16</v>
      </c>
    </row>
    <row r="32" spans="1:17" x14ac:dyDescent="0.25">
      <c r="A32" s="97" t="str">
        <f>'Data Vlaue (Cr)'!C27</f>
        <v>BANKBARODA</v>
      </c>
      <c r="B32" s="140">
        <f>VLOOKUP($A32,'Data shares'!$C:$FB,7)</f>
        <v>270.55</v>
      </c>
      <c r="C32" s="140">
        <f>VLOOKUP($A32,'Data shares'!$C:$FB,3)</f>
        <v>272.85000000000002</v>
      </c>
      <c r="D32" s="140">
        <f>VLOOKUP($A32,'Data shares'!$C:$FB,4)</f>
        <v>274.55</v>
      </c>
      <c r="E32" s="50">
        <f t="shared" si="0"/>
        <v>-0.61919504643962431</v>
      </c>
      <c r="F32" s="49">
        <f>VLOOKUP($A32,'Data shares'!$C:$FB,98)</f>
        <v>156695175</v>
      </c>
      <c r="G32" s="49">
        <f>VLOOKUP($A32,'Data shares'!$C:$FB,99)</f>
        <v>215341425</v>
      </c>
      <c r="H32" s="50">
        <f t="shared" si="1"/>
        <v>-27.234077233398079</v>
      </c>
      <c r="I32" s="49">
        <f>VLOOKUP($A32,'Data shares'!$C:$FB,66)</f>
        <v>91213200</v>
      </c>
      <c r="J32" s="49">
        <f>VLOOKUP($A32,'Data shares'!$C:$FB,67)</f>
        <v>164016450</v>
      </c>
      <c r="K32" s="50">
        <f t="shared" si="2"/>
        <v>-79.816572601334016</v>
      </c>
      <c r="L32" s="50">
        <f>VLOOKUP($A32,'Data shares'!$C:$FB,118)</f>
        <v>1.24</v>
      </c>
      <c r="M32" s="50">
        <f>VLOOKUP($A32,'Data shares'!$C:$FB,119)</f>
        <v>0.9</v>
      </c>
      <c r="N32" s="50">
        <f>VLOOKUP($A32,'Data shares'!$C:$FB,121)*100</f>
        <v>37.78</v>
      </c>
      <c r="O32" s="50">
        <f>VLOOKUP($A32,'Data shares'!$C:$FB,124)</f>
        <v>0.56999999999999995</v>
      </c>
      <c r="P32" s="50">
        <f>VLOOKUP($A32,'Data shares'!$C:$FB,125)</f>
        <v>0.54</v>
      </c>
      <c r="Q32" s="50">
        <f>VLOOKUP($A32,'Data shares'!$C:$FB,127)*100</f>
        <v>5.56</v>
      </c>
    </row>
    <row r="33" spans="1:17" x14ac:dyDescent="0.25">
      <c r="A33" s="97" t="str">
        <f>'Data Vlaue (Cr)'!C28</f>
        <v>BANKINDIA</v>
      </c>
      <c r="B33" s="140">
        <f>VLOOKUP($A33,'Data shares'!$C:$FB,7)</f>
        <v>144.99</v>
      </c>
      <c r="C33" s="140">
        <f>VLOOKUP($A33,'Data shares'!$C:$FB,3)</f>
        <v>145.86000000000001</v>
      </c>
      <c r="D33" s="140">
        <f>VLOOKUP($A33,'Data shares'!$C:$FB,4)</f>
        <v>147.26</v>
      </c>
      <c r="E33" s="50">
        <f t="shared" si="0"/>
        <v>-0.95069944316173938</v>
      </c>
      <c r="F33" s="49">
        <f>VLOOKUP($A33,'Data shares'!$C:$FB,98)</f>
        <v>81338400</v>
      </c>
      <c r="G33" s="49">
        <f>VLOOKUP($A33,'Data shares'!$C:$FB,99)</f>
        <v>120993600</v>
      </c>
      <c r="H33" s="50">
        <f t="shared" si="1"/>
        <v>-32.774626095925733</v>
      </c>
      <c r="I33" s="49">
        <f>VLOOKUP($A33,'Data shares'!$C:$FB,66)</f>
        <v>71786000</v>
      </c>
      <c r="J33" s="49">
        <f>VLOOKUP($A33,'Data shares'!$C:$FB,67)</f>
        <v>125918000</v>
      </c>
      <c r="K33" s="50">
        <f t="shared" si="2"/>
        <v>-75.40746106483158</v>
      </c>
      <c r="L33" s="50">
        <f>VLOOKUP($A33,'Data shares'!$C:$FB,118)</f>
        <v>0.87</v>
      </c>
      <c r="M33" s="50">
        <f>VLOOKUP($A33,'Data shares'!$C:$FB,119)</f>
        <v>0.68</v>
      </c>
      <c r="N33" s="50">
        <f>VLOOKUP($A33,'Data shares'!$C:$FB,121)*100</f>
        <v>27.939999999999998</v>
      </c>
      <c r="O33" s="50">
        <f>VLOOKUP($A33,'Data shares'!$C:$FB,124)</f>
        <v>0.51</v>
      </c>
      <c r="P33" s="50">
        <f>VLOOKUP($A33,'Data shares'!$C:$FB,125)</f>
        <v>0.39</v>
      </c>
      <c r="Q33" s="50">
        <f>VLOOKUP($A33,'Data shares'!$C:$FB,127)*100</f>
        <v>30.769999999999996</v>
      </c>
    </row>
    <row r="34" spans="1:17" x14ac:dyDescent="0.25">
      <c r="A34" s="97" t="str">
        <f>'Data Vlaue (Cr)'!C29</f>
        <v>BANKNIFTY</v>
      </c>
      <c r="B34" s="140">
        <f>VLOOKUP($A34,'Data shares'!$C:$FB,7)</f>
        <v>55092.9</v>
      </c>
      <c r="C34" s="140">
        <f>VLOOKUP($A34,'Data shares'!$C:$FB,3)</f>
        <v>55457.8</v>
      </c>
      <c r="D34" s="140">
        <f>VLOOKUP($A34,'Data shares'!$C:$FB,4)</f>
        <v>55647.199999999997</v>
      </c>
      <c r="E34" s="50">
        <f t="shared" si="0"/>
        <v>-0.34035854454490827</v>
      </c>
      <c r="F34" s="49">
        <f>VLOOKUP($A34,'Data shares'!$C:$FB,98)</f>
        <v>21005910</v>
      </c>
      <c r="G34" s="49">
        <f>VLOOKUP($A34,'Data shares'!$C:$FB,99)</f>
        <v>54469290</v>
      </c>
      <c r="H34" s="50">
        <f t="shared" si="1"/>
        <v>-61.435315202382846</v>
      </c>
      <c r="I34" s="49">
        <f>VLOOKUP($A34,'Data shares'!$C:$FB,66)</f>
        <v>2661727410</v>
      </c>
      <c r="J34" s="49">
        <f>VLOOKUP($A34,'Data shares'!$C:$FB,67)</f>
        <v>465838230</v>
      </c>
      <c r="K34" s="50">
        <f t="shared" si="2"/>
        <v>82.498650002631194</v>
      </c>
      <c r="L34" s="50">
        <f>VLOOKUP($A34,'Data shares'!$C:$FB,118)</f>
        <v>0.98</v>
      </c>
      <c r="M34" s="50">
        <f>VLOOKUP($A34,'Data shares'!$C:$FB,119)</f>
        <v>0.99</v>
      </c>
      <c r="N34" s="50">
        <f>VLOOKUP($A34,'Data shares'!$C:$FB,121)*100</f>
        <v>-1.01</v>
      </c>
      <c r="O34" s="50">
        <f>VLOOKUP($A34,'Data shares'!$C:$FB,124)</f>
        <v>1</v>
      </c>
      <c r="P34" s="50">
        <f>VLOOKUP($A34,'Data shares'!$C:$FB,125)</f>
        <v>0.88</v>
      </c>
      <c r="Q34" s="50">
        <f>VLOOKUP($A34,'Data shares'!$C:$FB,127)*100</f>
        <v>13.639999999999999</v>
      </c>
    </row>
    <row r="35" spans="1:17" x14ac:dyDescent="0.25">
      <c r="A35" s="97" t="str">
        <f>'Data Vlaue (Cr)'!C30</f>
        <v>BDL</v>
      </c>
      <c r="B35" s="140">
        <f>VLOOKUP($A35,'Data shares'!$C:$FB,7)</f>
        <v>1329.9</v>
      </c>
      <c r="C35" s="140">
        <f>VLOOKUP($A35,'Data shares'!$C:$FB,3)</f>
        <v>1324.6</v>
      </c>
      <c r="D35" s="140">
        <f>VLOOKUP($A35,'Data shares'!$C:$FB,4)</f>
        <v>1311.8</v>
      </c>
      <c r="E35" s="50">
        <f t="shared" si="0"/>
        <v>0.97575849977130313</v>
      </c>
      <c r="F35" s="49">
        <f>VLOOKUP($A35,'Data shares'!$C:$FB,98)</f>
        <v>5612825</v>
      </c>
      <c r="G35" s="49">
        <f>VLOOKUP($A35,'Data shares'!$C:$FB,99)</f>
        <v>9724625</v>
      </c>
      <c r="H35" s="50">
        <f t="shared" si="1"/>
        <v>-42.282350219160122</v>
      </c>
      <c r="I35" s="49">
        <f>VLOOKUP($A35,'Data shares'!$C:$FB,66)</f>
        <v>6822200</v>
      </c>
      <c r="J35" s="49">
        <f>VLOOKUP($A35,'Data shares'!$C:$FB,67)</f>
        <v>8856750</v>
      </c>
      <c r="K35" s="50">
        <f t="shared" si="2"/>
        <v>-29.822491278473219</v>
      </c>
      <c r="L35" s="50">
        <f>VLOOKUP($A35,'Data shares'!$C:$FB,118)</f>
        <v>0.74</v>
      </c>
      <c r="M35" s="50">
        <f>VLOOKUP($A35,'Data shares'!$C:$FB,119)</f>
        <v>0.54</v>
      </c>
      <c r="N35" s="50">
        <f>VLOOKUP($A35,'Data shares'!$C:$FB,121)*100</f>
        <v>37.04</v>
      </c>
      <c r="O35" s="50">
        <f>VLOOKUP($A35,'Data shares'!$C:$FB,124)</f>
        <v>0.3</v>
      </c>
      <c r="P35" s="50">
        <f>VLOOKUP($A35,'Data shares'!$C:$FB,125)</f>
        <v>0.36</v>
      </c>
      <c r="Q35" s="50">
        <f>VLOOKUP($A35,'Data shares'!$C:$FB,127)*100</f>
        <v>-16.669999999999998</v>
      </c>
    </row>
    <row r="36" spans="1:17" x14ac:dyDescent="0.25">
      <c r="A36" s="97" t="str">
        <f>'Data Vlaue (Cr)'!C31</f>
        <v>BEL</v>
      </c>
      <c r="B36" s="140">
        <f>VLOOKUP($A36,'Data shares'!$C:$FB,7)</f>
        <v>420.1</v>
      </c>
      <c r="C36" s="140">
        <f>VLOOKUP($A36,'Data shares'!$C:$FB,3)</f>
        <v>423.25</v>
      </c>
      <c r="D36" s="140">
        <f>VLOOKUP($A36,'Data shares'!$C:$FB,4)</f>
        <v>424.25</v>
      </c>
      <c r="E36" s="50">
        <f t="shared" si="0"/>
        <v>-0.23571007660577489</v>
      </c>
      <c r="F36" s="49">
        <f>VLOOKUP($A36,'Data shares'!$C:$FB,98)</f>
        <v>153047850</v>
      </c>
      <c r="G36" s="49">
        <f>VLOOKUP($A36,'Data shares'!$C:$FB,99)</f>
        <v>211920300</v>
      </c>
      <c r="H36" s="50">
        <f t="shared" si="1"/>
        <v>-27.780467468194409</v>
      </c>
      <c r="I36" s="49">
        <f>VLOOKUP($A36,'Data shares'!$C:$FB,66)</f>
        <v>125075100</v>
      </c>
      <c r="J36" s="49">
        <f>VLOOKUP($A36,'Data shares'!$C:$FB,67)</f>
        <v>155275125</v>
      </c>
      <c r="K36" s="50">
        <f t="shared" si="2"/>
        <v>-24.145513375563961</v>
      </c>
      <c r="L36" s="50">
        <f>VLOOKUP($A36,'Data shares'!$C:$FB,118)</f>
        <v>0.81</v>
      </c>
      <c r="M36" s="50">
        <f>VLOOKUP($A36,'Data shares'!$C:$FB,119)</f>
        <v>0.56999999999999995</v>
      </c>
      <c r="N36" s="50">
        <f>VLOOKUP($A36,'Data shares'!$C:$FB,121)*100</f>
        <v>42.11</v>
      </c>
      <c r="O36" s="50">
        <f>VLOOKUP($A36,'Data shares'!$C:$FB,124)</f>
        <v>0.45</v>
      </c>
      <c r="P36" s="50">
        <f>VLOOKUP($A36,'Data shares'!$C:$FB,125)</f>
        <v>0.41</v>
      </c>
      <c r="Q36" s="50">
        <f>VLOOKUP($A36,'Data shares'!$C:$FB,127)*100</f>
        <v>9.76</v>
      </c>
    </row>
    <row r="37" spans="1:17" x14ac:dyDescent="0.25">
      <c r="A37" s="97" t="str">
        <f>'Data Vlaue (Cr)'!C32</f>
        <v>BHARATFORG</v>
      </c>
      <c r="B37" s="140">
        <f>VLOOKUP($A37,'Data shares'!$C:$FB,7)</f>
        <v>1930.4</v>
      </c>
      <c r="C37" s="140">
        <f>VLOOKUP($A37,'Data shares'!$C:$FB,3)</f>
        <v>1947.6</v>
      </c>
      <c r="D37" s="140">
        <f>VLOOKUP($A37,'Data shares'!$C:$FB,4)</f>
        <v>1933.1</v>
      </c>
      <c r="E37" s="50">
        <f t="shared" si="0"/>
        <v>0.75009052816719268</v>
      </c>
      <c r="F37" s="49">
        <f>VLOOKUP($A37,'Data shares'!$C:$FB,98)</f>
        <v>8602000</v>
      </c>
      <c r="G37" s="49">
        <f>VLOOKUP($A37,'Data shares'!$C:$FB,99)</f>
        <v>13353500</v>
      </c>
      <c r="H37" s="50">
        <f t="shared" si="1"/>
        <v>-35.582431572246975</v>
      </c>
      <c r="I37" s="49">
        <f>VLOOKUP($A37,'Data shares'!$C:$FB,66)</f>
        <v>8079000</v>
      </c>
      <c r="J37" s="49">
        <f>VLOOKUP($A37,'Data shares'!$C:$FB,67)</f>
        <v>13660000</v>
      </c>
      <c r="K37" s="50">
        <f t="shared" si="2"/>
        <v>-69.080331724223299</v>
      </c>
      <c r="L37" s="50">
        <f>VLOOKUP($A37,'Data shares'!$C:$FB,118)</f>
        <v>0.78</v>
      </c>
      <c r="M37" s="50">
        <f>VLOOKUP($A37,'Data shares'!$C:$FB,119)</f>
        <v>0.68</v>
      </c>
      <c r="N37" s="50">
        <f>VLOOKUP($A37,'Data shares'!$C:$FB,121)*100</f>
        <v>14.71</v>
      </c>
      <c r="O37" s="50">
        <f>VLOOKUP($A37,'Data shares'!$C:$FB,124)</f>
        <v>0.26</v>
      </c>
      <c r="P37" s="50">
        <f>VLOOKUP($A37,'Data shares'!$C:$FB,125)</f>
        <v>0.36</v>
      </c>
      <c r="Q37" s="50">
        <f>VLOOKUP($A37,'Data shares'!$C:$FB,127)*100</f>
        <v>-27.779999999999998</v>
      </c>
    </row>
    <row r="38" spans="1:17" x14ac:dyDescent="0.25">
      <c r="A38" s="97" t="str">
        <f>'Data Vlaue (Cr)'!C33</f>
        <v>BHARTIARTL</v>
      </c>
      <c r="B38" s="140">
        <f>VLOOKUP($A38,'Data shares'!$C:$FB,7)</f>
        <v>1846.9</v>
      </c>
      <c r="C38" s="140">
        <f>VLOOKUP($A38,'Data shares'!$C:$FB,3)</f>
        <v>1861.7</v>
      </c>
      <c r="D38" s="140">
        <f>VLOOKUP($A38,'Data shares'!$C:$FB,4)</f>
        <v>1889.6</v>
      </c>
      <c r="E38" s="50">
        <f t="shared" si="0"/>
        <v>-1.4765029635901707</v>
      </c>
      <c r="F38" s="49">
        <f>VLOOKUP($A38,'Data shares'!$C:$FB,98)</f>
        <v>69046000</v>
      </c>
      <c r="G38" s="49">
        <f>VLOOKUP($A38,'Data shares'!$C:$FB,99)</f>
        <v>93988250</v>
      </c>
      <c r="H38" s="50">
        <f t="shared" si="1"/>
        <v>-26.537625713852531</v>
      </c>
      <c r="I38" s="49">
        <f>VLOOKUP($A38,'Data shares'!$C:$FB,66)</f>
        <v>37203900</v>
      </c>
      <c r="J38" s="49">
        <f>VLOOKUP($A38,'Data shares'!$C:$FB,67)</f>
        <v>70868100</v>
      </c>
      <c r="K38" s="50">
        <f t="shared" si="2"/>
        <v>-90.485674888922944</v>
      </c>
      <c r="L38" s="50">
        <f>VLOOKUP($A38,'Data shares'!$C:$FB,118)</f>
        <v>0.54</v>
      </c>
      <c r="M38" s="50">
        <f>VLOOKUP($A38,'Data shares'!$C:$FB,119)</f>
        <v>0.51</v>
      </c>
      <c r="N38" s="50">
        <f>VLOOKUP($A38,'Data shares'!$C:$FB,121)*100</f>
        <v>5.88</v>
      </c>
      <c r="O38" s="50">
        <f>VLOOKUP($A38,'Data shares'!$C:$FB,124)</f>
        <v>0.56000000000000005</v>
      </c>
      <c r="P38" s="50">
        <f>VLOOKUP($A38,'Data shares'!$C:$FB,125)</f>
        <v>0.56000000000000005</v>
      </c>
      <c r="Q38" s="50">
        <f>VLOOKUP($A38,'Data shares'!$C:$FB,127)*100</f>
        <v>0</v>
      </c>
    </row>
    <row r="39" spans="1:17" x14ac:dyDescent="0.25">
      <c r="A39" s="97" t="str">
        <f>'Data Vlaue (Cr)'!C34</f>
        <v>BHEL</v>
      </c>
      <c r="B39" s="140">
        <f>VLOOKUP($A39,'Data shares'!$C:$FB,7)</f>
        <v>417.75</v>
      </c>
      <c r="C39" s="140">
        <f>VLOOKUP($A39,'Data shares'!$C:$FB,3)</f>
        <v>420.35</v>
      </c>
      <c r="D39" s="140">
        <f>VLOOKUP($A39,'Data shares'!$C:$FB,4)</f>
        <v>422.8</v>
      </c>
      <c r="E39" s="50">
        <f t="shared" si="0"/>
        <v>-0.57947019867549399</v>
      </c>
      <c r="F39" s="49">
        <f>VLOOKUP($A39,'Data shares'!$C:$FB,98)</f>
        <v>158497500</v>
      </c>
      <c r="G39" s="49">
        <f>VLOOKUP($A39,'Data shares'!$C:$FB,99)</f>
        <v>221237625</v>
      </c>
      <c r="H39" s="50">
        <f t="shared" si="1"/>
        <v>-28.358704808913043</v>
      </c>
      <c r="I39" s="49">
        <f>VLOOKUP($A39,'Data shares'!$C:$FB,66)</f>
        <v>137844000</v>
      </c>
      <c r="J39" s="49">
        <f>VLOOKUP($A39,'Data shares'!$C:$FB,67)</f>
        <v>194764500</v>
      </c>
      <c r="K39" s="50">
        <f t="shared" si="2"/>
        <v>-41.293418647166362</v>
      </c>
      <c r="L39" s="50">
        <f>VLOOKUP($A39,'Data shares'!$C:$FB,118)</f>
        <v>0.66</v>
      </c>
      <c r="M39" s="50">
        <f>VLOOKUP($A39,'Data shares'!$C:$FB,119)</f>
        <v>0.82</v>
      </c>
      <c r="N39" s="50">
        <f>VLOOKUP($A39,'Data shares'!$C:$FB,121)*100</f>
        <v>-19.509999999999998</v>
      </c>
      <c r="O39" s="50">
        <f>VLOOKUP($A39,'Data shares'!$C:$FB,124)</f>
        <v>0.51</v>
      </c>
      <c r="P39" s="50">
        <f>VLOOKUP($A39,'Data shares'!$C:$FB,125)</f>
        <v>0.46</v>
      </c>
      <c r="Q39" s="50">
        <f>VLOOKUP($A39,'Data shares'!$C:$FB,127)*100</f>
        <v>10.870000000000001</v>
      </c>
    </row>
    <row r="40" spans="1:17" x14ac:dyDescent="0.25">
      <c r="A40" s="97" t="str">
        <f>'Data Vlaue (Cr)'!C35</f>
        <v>BIOCON</v>
      </c>
      <c r="B40" s="140">
        <f>VLOOKUP($A40,'Data shares'!$C:$FB,7)</f>
        <v>436.15</v>
      </c>
      <c r="C40" s="140">
        <f>VLOOKUP($A40,'Data shares'!$C:$FB,3)</f>
        <v>439.85</v>
      </c>
      <c r="D40" s="140">
        <f>VLOOKUP($A40,'Data shares'!$C:$FB,4)</f>
        <v>433.35</v>
      </c>
      <c r="E40" s="50">
        <f t="shared" si="0"/>
        <v>1.4999423099111573</v>
      </c>
      <c r="F40" s="49">
        <f>VLOOKUP($A40,'Data shares'!$C:$FB,98)</f>
        <v>56305000</v>
      </c>
      <c r="G40" s="49">
        <f>VLOOKUP($A40,'Data shares'!$C:$FB,99)</f>
        <v>85992500</v>
      </c>
      <c r="H40" s="50">
        <f t="shared" si="1"/>
        <v>-34.523359595313543</v>
      </c>
      <c r="I40" s="49">
        <f>VLOOKUP($A40,'Data shares'!$C:$FB,66)</f>
        <v>70587500</v>
      </c>
      <c r="J40" s="49">
        <f>VLOOKUP($A40,'Data shares'!$C:$FB,67)</f>
        <v>72215000</v>
      </c>
      <c r="K40" s="50">
        <f t="shared" si="2"/>
        <v>-2.3056490171772621</v>
      </c>
      <c r="L40" s="50">
        <f>VLOOKUP($A40,'Data shares'!$C:$FB,118)</f>
        <v>0.66</v>
      </c>
      <c r="M40" s="50">
        <f>VLOOKUP($A40,'Data shares'!$C:$FB,119)</f>
        <v>0.84</v>
      </c>
      <c r="N40" s="50">
        <f>VLOOKUP($A40,'Data shares'!$C:$FB,121)*100</f>
        <v>-21.43</v>
      </c>
      <c r="O40" s="50">
        <f>VLOOKUP($A40,'Data shares'!$C:$FB,124)</f>
        <v>0.34</v>
      </c>
      <c r="P40" s="50">
        <f>VLOOKUP($A40,'Data shares'!$C:$FB,125)</f>
        <v>0.59</v>
      </c>
      <c r="Q40" s="50">
        <f>VLOOKUP($A40,'Data shares'!$C:$FB,127)*100</f>
        <v>-42.370000000000005</v>
      </c>
    </row>
    <row r="41" spans="1:17" x14ac:dyDescent="0.25">
      <c r="A41" s="97" t="str">
        <f>'Data Vlaue (Cr)'!C36</f>
        <v>BLUESTARCO</v>
      </c>
      <c r="B41" s="140">
        <f>VLOOKUP($A41,'Data shares'!$C:$FB,7)</f>
        <v>1640.9</v>
      </c>
      <c r="C41" s="140">
        <f>VLOOKUP($A41,'Data shares'!$C:$FB,3)</f>
        <v>1651</v>
      </c>
      <c r="D41" s="140">
        <f>VLOOKUP($A41,'Data shares'!$C:$FB,4)</f>
        <v>1659.6</v>
      </c>
      <c r="E41" s="50">
        <f t="shared" si="0"/>
        <v>-0.51819715594118521</v>
      </c>
      <c r="F41" s="49">
        <f>VLOOKUP($A41,'Data shares'!$C:$FB,98)</f>
        <v>3802175</v>
      </c>
      <c r="G41" s="49">
        <f>VLOOKUP($A41,'Data shares'!$C:$FB,99)</f>
        <v>7195175</v>
      </c>
      <c r="H41" s="50">
        <f t="shared" si="1"/>
        <v>-47.156601472514566</v>
      </c>
      <c r="I41" s="49">
        <f>VLOOKUP($A41,'Data shares'!$C:$FB,66)</f>
        <v>3946475</v>
      </c>
      <c r="J41" s="49">
        <f>VLOOKUP($A41,'Data shares'!$C:$FB,67)</f>
        <v>5271500</v>
      </c>
      <c r="K41" s="50">
        <f t="shared" si="2"/>
        <v>-33.574899118833898</v>
      </c>
      <c r="L41" s="50">
        <f>VLOOKUP($A41,'Data shares'!$C:$FB,118)</f>
        <v>0.74</v>
      </c>
      <c r="M41" s="50">
        <f>VLOOKUP($A41,'Data shares'!$C:$FB,119)</f>
        <v>0.56000000000000005</v>
      </c>
      <c r="N41" s="50">
        <f>VLOOKUP($A41,'Data shares'!$C:$FB,121)*100</f>
        <v>32.14</v>
      </c>
      <c r="O41" s="50">
        <f>VLOOKUP($A41,'Data shares'!$C:$FB,124)</f>
        <v>0.72</v>
      </c>
      <c r="P41" s="50">
        <f>VLOOKUP($A41,'Data shares'!$C:$FB,125)</f>
        <v>0.65</v>
      </c>
      <c r="Q41" s="50">
        <f>VLOOKUP($A41,'Data shares'!$C:$FB,127)*100</f>
        <v>10.77</v>
      </c>
    </row>
    <row r="42" spans="1:17" x14ac:dyDescent="0.25">
      <c r="A42" s="97" t="str">
        <f>'Data Vlaue (Cr)'!C37</f>
        <v>BOSCHLTD</v>
      </c>
      <c r="B42" s="140">
        <f>VLOOKUP($A42,'Data shares'!$C:$FB,7)</f>
        <v>35835</v>
      </c>
      <c r="C42" s="140">
        <f>VLOOKUP($A42,'Data shares'!$C:$FB,3)</f>
        <v>36060</v>
      </c>
      <c r="D42" s="140">
        <f>VLOOKUP($A42,'Data shares'!$C:$FB,4)</f>
        <v>36645</v>
      </c>
      <c r="E42" s="50">
        <f t="shared" si="0"/>
        <v>-1.5963978714695046</v>
      </c>
      <c r="F42" s="49">
        <f>VLOOKUP($A42,'Data shares'!$C:$FB,98)</f>
        <v>494450</v>
      </c>
      <c r="G42" s="49">
        <f>VLOOKUP($A42,'Data shares'!$C:$FB,99)</f>
        <v>837350</v>
      </c>
      <c r="H42" s="50">
        <f t="shared" si="1"/>
        <v>-40.950618021138112</v>
      </c>
      <c r="I42" s="49">
        <f>VLOOKUP($A42,'Data shares'!$C:$FB,66)</f>
        <v>781050</v>
      </c>
      <c r="J42" s="49">
        <f>VLOOKUP($A42,'Data shares'!$C:$FB,67)</f>
        <v>2204200</v>
      </c>
      <c r="K42" s="50">
        <f t="shared" si="2"/>
        <v>-182.20984572050446</v>
      </c>
      <c r="L42" s="50">
        <f>VLOOKUP($A42,'Data shares'!$C:$FB,118)</f>
        <v>0.5</v>
      </c>
      <c r="M42" s="50">
        <f>VLOOKUP($A42,'Data shares'!$C:$FB,119)</f>
        <v>0.42</v>
      </c>
      <c r="N42" s="50">
        <f>VLOOKUP($A42,'Data shares'!$C:$FB,121)*100</f>
        <v>19.05</v>
      </c>
      <c r="O42" s="50">
        <f>VLOOKUP($A42,'Data shares'!$C:$FB,124)</f>
        <v>0.34</v>
      </c>
      <c r="P42" s="50">
        <f>VLOOKUP($A42,'Data shares'!$C:$FB,125)</f>
        <v>0.42</v>
      </c>
      <c r="Q42" s="50">
        <f>VLOOKUP($A42,'Data shares'!$C:$FB,127)*100</f>
        <v>-19.05</v>
      </c>
    </row>
    <row r="43" spans="1:17" x14ac:dyDescent="0.25">
      <c r="A43" s="97" t="str">
        <f>'Data Vlaue (Cr)'!C38</f>
        <v>BPCL</v>
      </c>
      <c r="B43" s="140">
        <f>VLOOKUP($A43,'Data shares'!$C:$FB,7)</f>
        <v>304.60000000000002</v>
      </c>
      <c r="C43" s="140">
        <f>VLOOKUP($A43,'Data shares'!$C:$FB,3)</f>
        <v>306.3</v>
      </c>
      <c r="D43" s="140">
        <f>VLOOKUP($A43,'Data shares'!$C:$FB,4)</f>
        <v>309.89999999999998</v>
      </c>
      <c r="E43" s="50">
        <f t="shared" si="0"/>
        <v>-1.1616650532429706</v>
      </c>
      <c r="F43" s="49">
        <f>VLOOKUP($A43,'Data shares'!$C:$FB,98)</f>
        <v>63950500</v>
      </c>
      <c r="G43" s="49">
        <f>VLOOKUP($A43,'Data shares'!$C:$FB,99)</f>
        <v>103898825</v>
      </c>
      <c r="H43" s="50">
        <f t="shared" si="1"/>
        <v>-38.449255802459746</v>
      </c>
      <c r="I43" s="49">
        <f>VLOOKUP($A43,'Data shares'!$C:$FB,66)</f>
        <v>48089275</v>
      </c>
      <c r="J43" s="49">
        <f>VLOOKUP($A43,'Data shares'!$C:$FB,67)</f>
        <v>157411450</v>
      </c>
      <c r="K43" s="50">
        <f t="shared" si="2"/>
        <v>-227.33171793502814</v>
      </c>
      <c r="L43" s="50">
        <f>VLOOKUP($A43,'Data shares'!$C:$FB,118)</f>
        <v>0.75</v>
      </c>
      <c r="M43" s="50">
        <f>VLOOKUP($A43,'Data shares'!$C:$FB,119)</f>
        <v>0.75</v>
      </c>
      <c r="N43" s="50">
        <f>VLOOKUP($A43,'Data shares'!$C:$FB,121)*100</f>
        <v>0</v>
      </c>
      <c r="O43" s="50">
        <f>VLOOKUP($A43,'Data shares'!$C:$FB,124)</f>
        <v>0.55000000000000004</v>
      </c>
      <c r="P43" s="50">
        <f>VLOOKUP($A43,'Data shares'!$C:$FB,125)</f>
        <v>0.42</v>
      </c>
      <c r="Q43" s="50">
        <f>VLOOKUP($A43,'Data shares'!$C:$FB,127)*100</f>
        <v>30.95</v>
      </c>
    </row>
    <row r="44" spans="1:17" x14ac:dyDescent="0.25">
      <c r="A44" s="97" t="str">
        <f>'Data Vlaue (Cr)'!C39</f>
        <v>BRITANNIA</v>
      </c>
      <c r="B44" s="140">
        <f>VLOOKUP($A44,'Data shares'!$C:$FB,7)</f>
        <v>5338</v>
      </c>
      <c r="C44" s="140">
        <f>VLOOKUP($A44,'Data shares'!$C:$FB,3)</f>
        <v>5363.5</v>
      </c>
      <c r="D44" s="140">
        <f>VLOOKUP($A44,'Data shares'!$C:$FB,4)</f>
        <v>5345</v>
      </c>
      <c r="E44" s="50">
        <f t="shared" si="0"/>
        <v>0.3461178671655753</v>
      </c>
      <c r="F44" s="49">
        <f>VLOOKUP($A44,'Data shares'!$C:$FB,98)</f>
        <v>3218375</v>
      </c>
      <c r="G44" s="49">
        <f>VLOOKUP($A44,'Data shares'!$C:$FB,99)</f>
        <v>5989125</v>
      </c>
      <c r="H44" s="50">
        <f t="shared" si="1"/>
        <v>-46.263018387494</v>
      </c>
      <c r="I44" s="49">
        <f>VLOOKUP($A44,'Data shares'!$C:$FB,66)</f>
        <v>2875875</v>
      </c>
      <c r="J44" s="49">
        <f>VLOOKUP($A44,'Data shares'!$C:$FB,67)</f>
        <v>4554875</v>
      </c>
      <c r="K44" s="50">
        <f t="shared" si="2"/>
        <v>-58.382231494762458</v>
      </c>
      <c r="L44" s="50">
        <f>VLOOKUP($A44,'Data shares'!$C:$FB,118)</f>
        <v>0.97</v>
      </c>
      <c r="M44" s="50">
        <f>VLOOKUP($A44,'Data shares'!$C:$FB,119)</f>
        <v>0.57999999999999996</v>
      </c>
      <c r="N44" s="50">
        <f>VLOOKUP($A44,'Data shares'!$C:$FB,121)*100</f>
        <v>67.239999999999995</v>
      </c>
      <c r="O44" s="50">
        <f>VLOOKUP($A44,'Data shares'!$C:$FB,124)</f>
        <v>0.47</v>
      </c>
      <c r="P44" s="50">
        <f>VLOOKUP($A44,'Data shares'!$C:$FB,125)</f>
        <v>0.45</v>
      </c>
      <c r="Q44" s="50">
        <f>VLOOKUP($A44,'Data shares'!$C:$FB,127)*100</f>
        <v>4.4400000000000004</v>
      </c>
    </row>
    <row r="45" spans="1:17" x14ac:dyDescent="0.25">
      <c r="A45" s="97" t="str">
        <f>'Data Vlaue (Cr)'!C40</f>
        <v>BSE</v>
      </c>
      <c r="B45" s="140">
        <f>VLOOKUP($A45,'Data shares'!$C:$FB,7)</f>
        <v>4403.3</v>
      </c>
      <c r="C45" s="140">
        <f>VLOOKUP($A45,'Data shares'!$C:$FB,3)</f>
        <v>4421.3999999999996</v>
      </c>
      <c r="D45" s="140">
        <f>VLOOKUP($A45,'Data shares'!$C:$FB,4)</f>
        <v>4326.3</v>
      </c>
      <c r="E45" s="50">
        <f t="shared" si="0"/>
        <v>2.1981832050481809</v>
      </c>
      <c r="F45" s="49">
        <f>VLOOKUP($A45,'Data shares'!$C:$FB,98)</f>
        <v>15497050</v>
      </c>
      <c r="G45" s="49">
        <f>VLOOKUP($A45,'Data shares'!$C:$FB,99)</f>
        <v>24635300</v>
      </c>
      <c r="H45" s="50">
        <f t="shared" si="1"/>
        <v>-37.094129156129618</v>
      </c>
      <c r="I45" s="49">
        <f>VLOOKUP($A45,'Data shares'!$C:$FB,66)</f>
        <v>39546750</v>
      </c>
      <c r="J45" s="49">
        <f>VLOOKUP($A45,'Data shares'!$C:$FB,67)</f>
        <v>48124125</v>
      </c>
      <c r="K45" s="50">
        <f t="shared" si="2"/>
        <v>-21.689203284719984</v>
      </c>
      <c r="L45" s="50">
        <f>VLOOKUP($A45,'Data shares'!$C:$FB,118)</f>
        <v>0.99</v>
      </c>
      <c r="M45" s="50">
        <f>VLOOKUP($A45,'Data shares'!$C:$FB,119)</f>
        <v>1.1200000000000001</v>
      </c>
      <c r="N45" s="50">
        <f>VLOOKUP($A45,'Data shares'!$C:$FB,121)*100</f>
        <v>-11.61</v>
      </c>
      <c r="O45" s="50">
        <f>VLOOKUP($A45,'Data shares'!$C:$FB,124)</f>
        <v>0.75</v>
      </c>
      <c r="P45" s="50">
        <f>VLOOKUP($A45,'Data shares'!$C:$FB,125)</f>
        <v>0.87</v>
      </c>
      <c r="Q45" s="50">
        <f>VLOOKUP($A45,'Data shares'!$C:$FB,127)*100</f>
        <v>-13.79</v>
      </c>
    </row>
    <row r="46" spans="1:17" x14ac:dyDescent="0.25">
      <c r="A46" s="97" t="str">
        <f>'Data Vlaue (Cr)'!C41</f>
        <v>CAMS</v>
      </c>
      <c r="B46" s="140">
        <f>VLOOKUP($A46,'Data shares'!$C:$FB,7)</f>
        <v>773.15</v>
      </c>
      <c r="C46" s="140">
        <f>VLOOKUP($A46,'Data shares'!$C:$FB,3)</f>
        <v>775.05</v>
      </c>
      <c r="D46" s="140">
        <f>VLOOKUP($A46,'Data shares'!$C:$FB,4)</f>
        <v>775.35</v>
      </c>
      <c r="E46" s="50">
        <f t="shared" si="0"/>
        <v>-3.8692203520999315E-2</v>
      </c>
      <c r="F46" s="49">
        <f>VLOOKUP($A46,'Data shares'!$C:$FB,98)</f>
        <v>7163175</v>
      </c>
      <c r="G46" s="49">
        <f>VLOOKUP($A46,'Data shares'!$C:$FB,99)</f>
        <v>13742925</v>
      </c>
      <c r="H46" s="50">
        <f t="shared" si="1"/>
        <v>-47.87736235190107</v>
      </c>
      <c r="I46" s="49">
        <f>VLOOKUP($A46,'Data shares'!$C:$FB,66)</f>
        <v>5742000</v>
      </c>
      <c r="J46" s="49">
        <f>VLOOKUP($A46,'Data shares'!$C:$FB,67)</f>
        <v>11669250</v>
      </c>
      <c r="K46" s="50">
        <f t="shared" si="2"/>
        <v>-103.22622779519331</v>
      </c>
      <c r="L46" s="50">
        <f>VLOOKUP($A46,'Data shares'!$C:$FB,118)</f>
        <v>0.71</v>
      </c>
      <c r="M46" s="50">
        <f>VLOOKUP($A46,'Data shares'!$C:$FB,119)</f>
        <v>0.77</v>
      </c>
      <c r="N46" s="50">
        <f>VLOOKUP($A46,'Data shares'!$C:$FB,121)*100</f>
        <v>-7.79</v>
      </c>
      <c r="O46" s="50">
        <f>VLOOKUP($A46,'Data shares'!$C:$FB,124)</f>
        <v>0.4</v>
      </c>
      <c r="P46" s="50">
        <f>VLOOKUP($A46,'Data shares'!$C:$FB,125)</f>
        <v>0.56000000000000005</v>
      </c>
      <c r="Q46" s="50">
        <f>VLOOKUP($A46,'Data shares'!$C:$FB,127)*100</f>
        <v>-28.57</v>
      </c>
    </row>
    <row r="47" spans="1:17" x14ac:dyDescent="0.25">
      <c r="A47" s="97" t="str">
        <f>'Data Vlaue (Cr)'!C42</f>
        <v>CANBK</v>
      </c>
      <c r="B47" s="140">
        <f>VLOOKUP($A47,'Data shares'!$C:$FB,7)</f>
        <v>133.15</v>
      </c>
      <c r="C47" s="140">
        <f>VLOOKUP($A47,'Data shares'!$C:$FB,3)</f>
        <v>134.26</v>
      </c>
      <c r="D47" s="140">
        <f>VLOOKUP($A47,'Data shares'!$C:$FB,4)</f>
        <v>134.78</v>
      </c>
      <c r="E47" s="50">
        <f t="shared" si="0"/>
        <v>-0.38581391897908457</v>
      </c>
      <c r="F47" s="49">
        <f>VLOOKUP($A47,'Data shares'!$C:$FB,98)</f>
        <v>322825500</v>
      </c>
      <c r="G47" s="49">
        <f>VLOOKUP($A47,'Data shares'!$C:$FB,99)</f>
        <v>432364500</v>
      </c>
      <c r="H47" s="50">
        <f t="shared" si="1"/>
        <v>-25.334873700315359</v>
      </c>
      <c r="I47" s="49">
        <f>VLOOKUP($A47,'Data shares'!$C:$FB,66)</f>
        <v>236594250</v>
      </c>
      <c r="J47" s="49">
        <f>VLOOKUP($A47,'Data shares'!$C:$FB,67)</f>
        <v>382684500</v>
      </c>
      <c r="K47" s="50">
        <f t="shared" si="2"/>
        <v>-61.747168411742891</v>
      </c>
      <c r="L47" s="50">
        <f>VLOOKUP($A47,'Data shares'!$C:$FB,118)</f>
        <v>1.1499999999999999</v>
      </c>
      <c r="M47" s="50">
        <f>VLOOKUP($A47,'Data shares'!$C:$FB,119)</f>
        <v>0.83</v>
      </c>
      <c r="N47" s="50">
        <f>VLOOKUP($A47,'Data shares'!$C:$FB,121)*100</f>
        <v>38.550000000000004</v>
      </c>
      <c r="O47" s="50">
        <f>VLOOKUP($A47,'Data shares'!$C:$FB,124)</f>
        <v>0.6</v>
      </c>
      <c r="P47" s="50">
        <f>VLOOKUP($A47,'Data shares'!$C:$FB,125)</f>
        <v>0.71</v>
      </c>
      <c r="Q47" s="50">
        <f>VLOOKUP($A47,'Data shares'!$C:$FB,127)*100</f>
        <v>-15.49</v>
      </c>
    </row>
    <row r="48" spans="1:17" x14ac:dyDescent="0.25">
      <c r="A48" s="97" t="str">
        <f>'Data Vlaue (Cr)'!C43</f>
        <v>CDSL</v>
      </c>
      <c r="B48" s="140">
        <f>VLOOKUP($A48,'Data shares'!$C:$FB,7)</f>
        <v>1226.3</v>
      </c>
      <c r="C48" s="140">
        <f>VLOOKUP($A48,'Data shares'!$C:$FB,3)</f>
        <v>1233.3</v>
      </c>
      <c r="D48" s="140">
        <f>VLOOKUP($A48,'Data shares'!$C:$FB,4)</f>
        <v>1216.5999999999999</v>
      </c>
      <c r="E48" s="50">
        <f t="shared" si="0"/>
        <v>1.3726779549564398</v>
      </c>
      <c r="F48" s="49">
        <f>VLOOKUP($A48,'Data shares'!$C:$FB,98)</f>
        <v>19380000</v>
      </c>
      <c r="G48" s="49">
        <f>VLOOKUP($A48,'Data shares'!$C:$FB,99)</f>
        <v>29378275</v>
      </c>
      <c r="H48" s="50">
        <f t="shared" si="1"/>
        <v>-34.032886546265907</v>
      </c>
      <c r="I48" s="49">
        <f>VLOOKUP($A48,'Data shares'!$C:$FB,66)</f>
        <v>17403525</v>
      </c>
      <c r="J48" s="49">
        <f>VLOOKUP($A48,'Data shares'!$C:$FB,67)</f>
        <v>28333750</v>
      </c>
      <c r="K48" s="50">
        <f t="shared" si="2"/>
        <v>-62.804661699282185</v>
      </c>
      <c r="L48" s="50">
        <f>VLOOKUP($A48,'Data shares'!$C:$FB,118)</f>
        <v>0.82</v>
      </c>
      <c r="M48" s="50">
        <f>VLOOKUP($A48,'Data shares'!$C:$FB,119)</f>
        <v>0.67</v>
      </c>
      <c r="N48" s="50">
        <f>VLOOKUP($A48,'Data shares'!$C:$FB,121)*100</f>
        <v>22.39</v>
      </c>
      <c r="O48" s="50">
        <f>VLOOKUP($A48,'Data shares'!$C:$FB,124)</f>
        <v>0.5</v>
      </c>
      <c r="P48" s="50">
        <f>VLOOKUP($A48,'Data shares'!$C:$FB,125)</f>
        <v>0.44</v>
      </c>
      <c r="Q48" s="50">
        <f>VLOOKUP($A48,'Data shares'!$C:$FB,127)*100</f>
        <v>13.639999999999999</v>
      </c>
    </row>
    <row r="49" spans="1:17" x14ac:dyDescent="0.25">
      <c r="A49" s="97" t="str">
        <f>'Data Vlaue (Cr)'!C44</f>
        <v>CGPOWER</v>
      </c>
      <c r="B49" s="140">
        <f>VLOOKUP($A49,'Data shares'!$C:$FB,7)</f>
        <v>879.15</v>
      </c>
      <c r="C49" s="140">
        <f>VLOOKUP($A49,'Data shares'!$C:$FB,3)</f>
        <v>884.3</v>
      </c>
      <c r="D49" s="140">
        <f>VLOOKUP($A49,'Data shares'!$C:$FB,4)</f>
        <v>874.85</v>
      </c>
      <c r="E49" s="50">
        <f t="shared" si="0"/>
        <v>1.0801851746013524</v>
      </c>
      <c r="F49" s="49">
        <f>VLOOKUP($A49,'Data shares'!$C:$FB,98)</f>
        <v>24308300</v>
      </c>
      <c r="G49" s="49">
        <f>VLOOKUP($A49,'Data shares'!$C:$FB,99)</f>
        <v>32679100</v>
      </c>
      <c r="H49" s="50">
        <f t="shared" si="1"/>
        <v>-25.61514852000208</v>
      </c>
      <c r="I49" s="49">
        <f>VLOOKUP($A49,'Data shares'!$C:$FB,66)</f>
        <v>18516400</v>
      </c>
      <c r="J49" s="49">
        <f>VLOOKUP($A49,'Data shares'!$C:$FB,67)</f>
        <v>25964100</v>
      </c>
      <c r="K49" s="50">
        <f t="shared" si="2"/>
        <v>-40.222181417554168</v>
      </c>
      <c r="L49" s="50">
        <f>VLOOKUP($A49,'Data shares'!$C:$FB,118)</f>
        <v>0.65</v>
      </c>
      <c r="M49" s="50">
        <f>VLOOKUP($A49,'Data shares'!$C:$FB,119)</f>
        <v>0.86</v>
      </c>
      <c r="N49" s="50">
        <f>VLOOKUP($A49,'Data shares'!$C:$FB,121)*100</f>
        <v>-24.42</v>
      </c>
      <c r="O49" s="50">
        <f>VLOOKUP($A49,'Data shares'!$C:$FB,124)</f>
        <v>0.25</v>
      </c>
      <c r="P49" s="50">
        <f>VLOOKUP($A49,'Data shares'!$C:$FB,125)</f>
        <v>0.41</v>
      </c>
      <c r="Q49" s="50">
        <f>VLOOKUP($A49,'Data shares'!$C:$FB,127)*100</f>
        <v>-39.019999999999996</v>
      </c>
    </row>
    <row r="50" spans="1:17" x14ac:dyDescent="0.25">
      <c r="A50" s="97" t="str">
        <f>'Data Vlaue (Cr)'!C45</f>
        <v>CHOLAFIN</v>
      </c>
      <c r="B50" s="140">
        <f>VLOOKUP($A50,'Data shares'!$C:$FB,7)</f>
        <v>1567.3</v>
      </c>
      <c r="C50" s="140">
        <f>VLOOKUP($A50,'Data shares'!$C:$FB,3)</f>
        <v>1579.8</v>
      </c>
      <c r="D50" s="140">
        <f>VLOOKUP($A50,'Data shares'!$C:$FB,4)</f>
        <v>1599.4</v>
      </c>
      <c r="E50" s="50">
        <f t="shared" si="0"/>
        <v>-1.2254595473302572</v>
      </c>
      <c r="F50" s="49">
        <f>VLOOKUP($A50,'Data shares'!$C:$FB,98)</f>
        <v>19820000</v>
      </c>
      <c r="G50" s="49">
        <f>VLOOKUP($A50,'Data shares'!$C:$FB,99)</f>
        <v>24961250</v>
      </c>
      <c r="H50" s="50">
        <f t="shared" si="1"/>
        <v>-20.596925234112877</v>
      </c>
      <c r="I50" s="49">
        <f>VLOOKUP($A50,'Data shares'!$C:$FB,66)</f>
        <v>10230625</v>
      </c>
      <c r="J50" s="49">
        <f>VLOOKUP($A50,'Data shares'!$C:$FB,67)</f>
        <v>27162500</v>
      </c>
      <c r="K50" s="50">
        <f t="shared" si="2"/>
        <v>-165.50186327814771</v>
      </c>
      <c r="L50" s="50">
        <f>VLOOKUP($A50,'Data shares'!$C:$FB,118)</f>
        <v>0.74</v>
      </c>
      <c r="M50" s="50">
        <f>VLOOKUP($A50,'Data shares'!$C:$FB,119)</f>
        <v>0.72</v>
      </c>
      <c r="N50" s="50">
        <f>VLOOKUP($A50,'Data shares'!$C:$FB,121)*100</f>
        <v>2.78</v>
      </c>
      <c r="O50" s="50">
        <f>VLOOKUP($A50,'Data shares'!$C:$FB,124)</f>
        <v>1.29</v>
      </c>
      <c r="P50" s="50">
        <f>VLOOKUP($A50,'Data shares'!$C:$FB,125)</f>
        <v>0.49</v>
      </c>
      <c r="Q50" s="50">
        <f>VLOOKUP($A50,'Data shares'!$C:$FB,127)*100</f>
        <v>163.27000000000001</v>
      </c>
    </row>
    <row r="51" spans="1:17" x14ac:dyDescent="0.25">
      <c r="A51" s="97" t="str">
        <f>'Data Vlaue (Cr)'!C46</f>
        <v>CIPLA</v>
      </c>
      <c r="B51" s="140">
        <f>VLOOKUP($A51,'Data shares'!$C:$FB,7)</f>
        <v>1417.5</v>
      </c>
      <c r="C51" s="140">
        <f>VLOOKUP($A51,'Data shares'!$C:$FB,3)</f>
        <v>1417</v>
      </c>
      <c r="D51" s="140">
        <f>VLOOKUP($A51,'Data shares'!$C:$FB,4)</f>
        <v>1411.9</v>
      </c>
      <c r="E51" s="50">
        <f t="shared" si="0"/>
        <v>0.36121538352573901</v>
      </c>
      <c r="F51" s="49">
        <f>VLOOKUP($A51,'Data shares'!$C:$FB,98)</f>
        <v>17959350</v>
      </c>
      <c r="G51" s="49">
        <f>VLOOKUP($A51,'Data shares'!$C:$FB,99)</f>
        <v>32066550</v>
      </c>
      <c r="H51" s="50">
        <f t="shared" si="1"/>
        <v>-43.993507252885017</v>
      </c>
      <c r="I51" s="49">
        <f>VLOOKUP($A51,'Data shares'!$C:$FB,66)</f>
        <v>14256000</v>
      </c>
      <c r="J51" s="49">
        <f>VLOOKUP($A51,'Data shares'!$C:$FB,67)</f>
        <v>27815250</v>
      </c>
      <c r="K51" s="50">
        <f t="shared" si="2"/>
        <v>-95.11258417508418</v>
      </c>
      <c r="L51" s="50">
        <f>VLOOKUP($A51,'Data shares'!$C:$FB,118)</f>
        <v>0.83</v>
      </c>
      <c r="M51" s="50">
        <f>VLOOKUP($A51,'Data shares'!$C:$FB,119)</f>
        <v>0.92</v>
      </c>
      <c r="N51" s="50">
        <f>VLOOKUP($A51,'Data shares'!$C:$FB,121)*100</f>
        <v>-9.7799999999999994</v>
      </c>
      <c r="O51" s="50">
        <f>VLOOKUP($A51,'Data shares'!$C:$FB,124)</f>
        <v>0.71</v>
      </c>
      <c r="P51" s="50">
        <f>VLOOKUP($A51,'Data shares'!$C:$FB,125)</f>
        <v>0.51</v>
      </c>
      <c r="Q51" s="50">
        <f>VLOOKUP($A51,'Data shares'!$C:$FB,127)*100</f>
        <v>39.22</v>
      </c>
    </row>
    <row r="52" spans="1:17" x14ac:dyDescent="0.25">
      <c r="A52" s="97" t="str">
        <f>'Data Vlaue (Cr)'!C47</f>
        <v>COALINDIA</v>
      </c>
      <c r="B52" s="140">
        <f>VLOOKUP($A52,'Data shares'!$C:$FB,7)</f>
        <v>458.15</v>
      </c>
      <c r="C52" s="140">
        <f>VLOOKUP($A52,'Data shares'!$C:$FB,3)</f>
        <v>456.55</v>
      </c>
      <c r="D52" s="140">
        <f>VLOOKUP($A52,'Data shares'!$C:$FB,4)</f>
        <v>460.1</v>
      </c>
      <c r="E52" s="50">
        <f t="shared" si="0"/>
        <v>-0.77157139752228021</v>
      </c>
      <c r="F52" s="49">
        <f>VLOOKUP($A52,'Data shares'!$C:$FB,98)</f>
        <v>95651550</v>
      </c>
      <c r="G52" s="49">
        <f>VLOOKUP($A52,'Data shares'!$C:$FB,99)</f>
        <v>114535350</v>
      </c>
      <c r="H52" s="50">
        <f t="shared" si="1"/>
        <v>-16.487311559269692</v>
      </c>
      <c r="I52" s="49">
        <f>VLOOKUP($A52,'Data shares'!$C:$FB,66)</f>
        <v>209709000</v>
      </c>
      <c r="J52" s="49">
        <f>VLOOKUP($A52,'Data shares'!$C:$FB,67)</f>
        <v>96545250</v>
      </c>
      <c r="K52" s="50">
        <f t="shared" si="2"/>
        <v>53.962276297154631</v>
      </c>
      <c r="L52" s="50">
        <f>VLOOKUP($A52,'Data shares'!$C:$FB,118)</f>
        <v>0.93</v>
      </c>
      <c r="M52" s="50">
        <f>VLOOKUP($A52,'Data shares'!$C:$FB,119)</f>
        <v>0.59</v>
      </c>
      <c r="N52" s="50">
        <f>VLOOKUP($A52,'Data shares'!$C:$FB,121)*100</f>
        <v>57.63</v>
      </c>
      <c r="O52" s="50">
        <f>VLOOKUP($A52,'Data shares'!$C:$FB,124)</f>
        <v>0.65</v>
      </c>
      <c r="P52" s="50">
        <f>VLOOKUP($A52,'Data shares'!$C:$FB,125)</f>
        <v>0.88</v>
      </c>
      <c r="Q52" s="50">
        <f>VLOOKUP($A52,'Data shares'!$C:$FB,127)*100</f>
        <v>-26.14</v>
      </c>
    </row>
    <row r="53" spans="1:17" x14ac:dyDescent="0.25">
      <c r="A53" s="97" t="str">
        <f>'Data Vlaue (Cr)'!C48</f>
        <v>COCHINSHIP</v>
      </c>
      <c r="B53" s="140">
        <f>VLOOKUP($A53,'Data shares'!$C:$FB,7)</f>
        <v>1526.2</v>
      </c>
      <c r="C53" s="140">
        <f>VLOOKUP($A53,'Data shares'!$C:$FB,3)</f>
        <v>1535</v>
      </c>
      <c r="D53" s="140">
        <f>VLOOKUP($A53,'Data shares'!$C:$FB,4)</f>
        <v>1521.7</v>
      </c>
      <c r="E53" s="50">
        <f t="shared" si="0"/>
        <v>0.87402247486363627</v>
      </c>
      <c r="F53" s="49">
        <f>VLOOKUP($A53,'Data shares'!$C:$FB,98)</f>
        <v>3996000</v>
      </c>
      <c r="G53" s="49">
        <f>VLOOKUP($A53,'Data shares'!$C:$FB,99)</f>
        <v>6454800</v>
      </c>
      <c r="H53" s="50">
        <f t="shared" si="1"/>
        <v>-38.092582264361411</v>
      </c>
      <c r="I53" s="49">
        <f>VLOOKUP($A53,'Data shares'!$C:$FB,66)</f>
        <v>4875200</v>
      </c>
      <c r="J53" s="49">
        <f>VLOOKUP($A53,'Data shares'!$C:$FB,67)</f>
        <v>5309200</v>
      </c>
      <c r="K53" s="50">
        <f t="shared" si="2"/>
        <v>-8.9021988841483424</v>
      </c>
      <c r="L53" s="50">
        <f>VLOOKUP($A53,'Data shares'!$C:$FB,118)</f>
        <v>0.71</v>
      </c>
      <c r="M53" s="50">
        <f>VLOOKUP($A53,'Data shares'!$C:$FB,119)</f>
        <v>0.53</v>
      </c>
      <c r="N53" s="50">
        <f>VLOOKUP($A53,'Data shares'!$C:$FB,121)*100</f>
        <v>33.96</v>
      </c>
      <c r="O53" s="50">
        <f>VLOOKUP($A53,'Data shares'!$C:$FB,124)</f>
        <v>0.44</v>
      </c>
      <c r="P53" s="50">
        <f>VLOOKUP($A53,'Data shares'!$C:$FB,125)</f>
        <v>0.46</v>
      </c>
      <c r="Q53" s="50">
        <f>VLOOKUP($A53,'Data shares'!$C:$FB,127)*100</f>
        <v>-4.3499999999999996</v>
      </c>
    </row>
    <row r="54" spans="1:17" x14ac:dyDescent="0.25">
      <c r="A54" s="97" t="str">
        <f>'Data Vlaue (Cr)'!C49</f>
        <v>COFORGE</v>
      </c>
      <c r="B54" s="140">
        <f>VLOOKUP($A54,'Data shares'!$C:$FB,7)</f>
        <v>1422.8</v>
      </c>
      <c r="C54" s="140">
        <f>VLOOKUP($A54,'Data shares'!$C:$FB,3)</f>
        <v>1424.1</v>
      </c>
      <c r="D54" s="140">
        <f>VLOOKUP($A54,'Data shares'!$C:$FB,4)</f>
        <v>1408.3</v>
      </c>
      <c r="E54" s="50">
        <f t="shared" si="0"/>
        <v>1.1219200454448595</v>
      </c>
      <c r="F54" s="49">
        <f>VLOOKUP($A54,'Data shares'!$C:$FB,98)</f>
        <v>21243400</v>
      </c>
      <c r="G54" s="49">
        <f>VLOOKUP($A54,'Data shares'!$C:$FB,99)</f>
        <v>37172150</v>
      </c>
      <c r="H54" s="50">
        <f t="shared" si="1"/>
        <v>-42.851301310255124</v>
      </c>
      <c r="I54" s="49">
        <f>VLOOKUP($A54,'Data shares'!$C:$FB,66)</f>
        <v>22863375</v>
      </c>
      <c r="J54" s="49">
        <f>VLOOKUP($A54,'Data shares'!$C:$FB,67)</f>
        <v>42708000</v>
      </c>
      <c r="K54" s="50">
        <f t="shared" si="2"/>
        <v>-86.796568748052294</v>
      </c>
      <c r="L54" s="50">
        <f>VLOOKUP($A54,'Data shares'!$C:$FB,118)</f>
        <v>0.57999999999999996</v>
      </c>
      <c r="M54" s="50">
        <f>VLOOKUP($A54,'Data shares'!$C:$FB,119)</f>
        <v>0.81</v>
      </c>
      <c r="N54" s="50">
        <f>VLOOKUP($A54,'Data shares'!$C:$FB,121)*100</f>
        <v>-28.4</v>
      </c>
      <c r="O54" s="50">
        <f>VLOOKUP($A54,'Data shares'!$C:$FB,124)</f>
        <v>0.51</v>
      </c>
      <c r="P54" s="50">
        <f>VLOOKUP($A54,'Data shares'!$C:$FB,125)</f>
        <v>0.53</v>
      </c>
      <c r="Q54" s="50">
        <f>VLOOKUP($A54,'Data shares'!$C:$FB,127)*100</f>
        <v>-3.7699999999999996</v>
      </c>
    </row>
    <row r="55" spans="1:17" x14ac:dyDescent="0.25">
      <c r="A55" s="97" t="str">
        <f>'Data Vlaue (Cr)'!C50</f>
        <v>COLPAL</v>
      </c>
      <c r="B55" s="140">
        <f>VLOOKUP($A55,'Data shares'!$C:$FB,7)</f>
        <v>2077.1</v>
      </c>
      <c r="C55" s="140">
        <f>VLOOKUP($A55,'Data shares'!$C:$FB,3)</f>
        <v>2072.1999999999998</v>
      </c>
      <c r="D55" s="140">
        <f>VLOOKUP($A55,'Data shares'!$C:$FB,4)</f>
        <v>2088.1</v>
      </c>
      <c r="E55" s="50">
        <f t="shared" si="0"/>
        <v>-0.76145778458886504</v>
      </c>
      <c r="F55" s="49">
        <f>VLOOKUP($A55,'Data shares'!$C:$FB,98)</f>
        <v>7238950</v>
      </c>
      <c r="G55" s="49">
        <f>VLOOKUP($A55,'Data shares'!$C:$FB,99)</f>
        <v>8279850</v>
      </c>
      <c r="H55" s="50">
        <f t="shared" si="1"/>
        <v>-12.571483782918772</v>
      </c>
      <c r="I55" s="49">
        <f>VLOOKUP($A55,'Data shares'!$C:$FB,66)</f>
        <v>8379000</v>
      </c>
      <c r="J55" s="49">
        <f>VLOOKUP($A55,'Data shares'!$C:$FB,67)</f>
        <v>28669050</v>
      </c>
      <c r="K55" s="50">
        <f t="shared" si="2"/>
        <v>-242.15359828141786</v>
      </c>
      <c r="L55" s="50">
        <f>VLOOKUP($A55,'Data shares'!$C:$FB,118)</f>
        <v>0.66</v>
      </c>
      <c r="M55" s="50">
        <f>VLOOKUP($A55,'Data shares'!$C:$FB,119)</f>
        <v>0.54</v>
      </c>
      <c r="N55" s="50">
        <f>VLOOKUP($A55,'Data shares'!$C:$FB,121)*100</f>
        <v>22.220000000000002</v>
      </c>
      <c r="O55" s="50">
        <f>VLOOKUP($A55,'Data shares'!$C:$FB,124)</f>
        <v>0.55000000000000004</v>
      </c>
      <c r="P55" s="50">
        <f>VLOOKUP($A55,'Data shares'!$C:$FB,125)</f>
        <v>0.82</v>
      </c>
      <c r="Q55" s="50">
        <f>VLOOKUP($A55,'Data shares'!$C:$FB,127)*100</f>
        <v>-32.93</v>
      </c>
    </row>
    <row r="56" spans="1:17" x14ac:dyDescent="0.25">
      <c r="A56" s="97" t="str">
        <f>'Data Vlaue (Cr)'!C51</f>
        <v>CONCOR</v>
      </c>
      <c r="B56" s="140">
        <f>VLOOKUP($A56,'Data shares'!$C:$FB,7)</f>
        <v>475.9</v>
      </c>
      <c r="C56" s="140">
        <f>VLOOKUP($A56,'Data shares'!$C:$FB,3)</f>
        <v>479</v>
      </c>
      <c r="D56" s="140">
        <f>VLOOKUP($A56,'Data shares'!$C:$FB,4)</f>
        <v>515.6</v>
      </c>
      <c r="E56" s="50">
        <f t="shared" si="0"/>
        <v>-7.0985259891388708</v>
      </c>
      <c r="F56" s="49">
        <f>VLOOKUP($A56,'Data shares'!$C:$FB,98)</f>
        <v>38237500</v>
      </c>
      <c r="G56" s="49">
        <f>VLOOKUP($A56,'Data shares'!$C:$FB,99)</f>
        <v>35181250</v>
      </c>
      <c r="H56" s="50">
        <f t="shared" si="1"/>
        <v>8.687155800319772</v>
      </c>
      <c r="I56" s="49">
        <f>VLOOKUP($A56,'Data shares'!$C:$FB,66)</f>
        <v>78946250</v>
      </c>
      <c r="J56" s="49">
        <f>VLOOKUP($A56,'Data shares'!$C:$FB,67)</f>
        <v>30945000</v>
      </c>
      <c r="K56" s="50">
        <f t="shared" si="2"/>
        <v>60.80244470129994</v>
      </c>
      <c r="L56" s="50">
        <f>VLOOKUP($A56,'Data shares'!$C:$FB,118)</f>
        <v>0.73</v>
      </c>
      <c r="M56" s="50">
        <f>VLOOKUP($A56,'Data shares'!$C:$FB,119)</f>
        <v>0.91</v>
      </c>
      <c r="N56" s="50">
        <f>VLOOKUP($A56,'Data shares'!$C:$FB,121)*100</f>
        <v>-19.78</v>
      </c>
      <c r="O56" s="50">
        <f>VLOOKUP($A56,'Data shares'!$C:$FB,124)</f>
        <v>0.82</v>
      </c>
      <c r="P56" s="50">
        <f>VLOOKUP($A56,'Data shares'!$C:$FB,125)</f>
        <v>0.74</v>
      </c>
      <c r="Q56" s="50">
        <f>VLOOKUP($A56,'Data shares'!$C:$FB,127)*100</f>
        <v>10.81</v>
      </c>
    </row>
    <row r="57" spans="1:17" x14ac:dyDescent="0.25">
      <c r="A57" s="97" t="str">
        <f>'Data Vlaue (Cr)'!C52</f>
        <v>CROMPTON</v>
      </c>
      <c r="B57" s="140">
        <f>VLOOKUP($A57,'Data shares'!$C:$FB,7)</f>
        <v>289.05</v>
      </c>
      <c r="C57" s="140">
        <f>VLOOKUP($A57,'Data shares'!$C:$FB,3)</f>
        <v>290.55</v>
      </c>
      <c r="D57" s="140">
        <f>VLOOKUP($A57,'Data shares'!$C:$FB,4)</f>
        <v>295.60000000000002</v>
      </c>
      <c r="E57" s="50">
        <f t="shared" si="0"/>
        <v>-1.7083897158322097</v>
      </c>
      <c r="F57" s="49">
        <f>VLOOKUP($A57,'Data shares'!$C:$FB,98)</f>
        <v>61068900</v>
      </c>
      <c r="G57" s="49">
        <f>VLOOKUP($A57,'Data shares'!$C:$FB,99)</f>
        <v>85668700</v>
      </c>
      <c r="H57" s="50">
        <f t="shared" si="1"/>
        <v>-28.715038281192545</v>
      </c>
      <c r="I57" s="49">
        <f>VLOOKUP($A57,'Data shares'!$C:$FB,66)</f>
        <v>34972200</v>
      </c>
      <c r="J57" s="49">
        <f>VLOOKUP($A57,'Data shares'!$C:$FB,67)</f>
        <v>49581000</v>
      </c>
      <c r="K57" s="50">
        <f t="shared" si="2"/>
        <v>-41.772607957177414</v>
      </c>
      <c r="L57" s="50">
        <f>VLOOKUP($A57,'Data shares'!$C:$FB,118)</f>
        <v>0.4</v>
      </c>
      <c r="M57" s="50">
        <f>VLOOKUP($A57,'Data shares'!$C:$FB,119)</f>
        <v>0.56999999999999995</v>
      </c>
      <c r="N57" s="50">
        <f>VLOOKUP($A57,'Data shares'!$C:$FB,121)*100</f>
        <v>-29.82</v>
      </c>
      <c r="O57" s="50">
        <f>VLOOKUP($A57,'Data shares'!$C:$FB,124)</f>
        <v>0.48</v>
      </c>
      <c r="P57" s="50">
        <f>VLOOKUP($A57,'Data shares'!$C:$FB,125)</f>
        <v>0.44</v>
      </c>
      <c r="Q57" s="50">
        <f>VLOOKUP($A57,'Data shares'!$C:$FB,127)*100</f>
        <v>9.09</v>
      </c>
    </row>
    <row r="58" spans="1:17" x14ac:dyDescent="0.25">
      <c r="A58" s="97" t="str">
        <f>'Data Vlaue (Cr)'!C53</f>
        <v>CUMMINSIND</v>
      </c>
      <c r="B58" s="140">
        <f>VLOOKUP($A58,'Data shares'!$C:$FB,7)</f>
        <v>5418.5</v>
      </c>
      <c r="C58" s="140">
        <f>VLOOKUP($A58,'Data shares'!$C:$FB,3)</f>
        <v>5462</v>
      </c>
      <c r="D58" s="140">
        <f>VLOOKUP($A58,'Data shares'!$C:$FB,4)</f>
        <v>5413.5</v>
      </c>
      <c r="E58" s="50">
        <f t="shared" si="0"/>
        <v>0.89590837720513528</v>
      </c>
      <c r="F58" s="49">
        <f>VLOOKUP($A58,'Data shares'!$C:$FB,98)</f>
        <v>3998000</v>
      </c>
      <c r="G58" s="49">
        <f>VLOOKUP($A58,'Data shares'!$C:$FB,99)</f>
        <v>5166200</v>
      </c>
      <c r="H58" s="50">
        <f t="shared" si="1"/>
        <v>-22.61236498780535</v>
      </c>
      <c r="I58" s="49">
        <f>VLOOKUP($A58,'Data shares'!$C:$FB,66)</f>
        <v>3562000</v>
      </c>
      <c r="J58" s="49">
        <f>VLOOKUP($A58,'Data shares'!$C:$FB,67)</f>
        <v>4527000</v>
      </c>
      <c r="K58" s="50">
        <f t="shared" si="2"/>
        <v>-27.091521617069063</v>
      </c>
      <c r="L58" s="50">
        <f>VLOOKUP($A58,'Data shares'!$C:$FB,118)</f>
        <v>0.85</v>
      </c>
      <c r="M58" s="50">
        <f>VLOOKUP($A58,'Data shares'!$C:$FB,119)</f>
        <v>0.78</v>
      </c>
      <c r="N58" s="50">
        <f>VLOOKUP($A58,'Data shares'!$C:$FB,121)*100</f>
        <v>8.9700000000000006</v>
      </c>
      <c r="O58" s="50">
        <f>VLOOKUP($A58,'Data shares'!$C:$FB,124)</f>
        <v>0.66</v>
      </c>
      <c r="P58" s="50">
        <f>VLOOKUP($A58,'Data shares'!$C:$FB,125)</f>
        <v>0.57999999999999996</v>
      </c>
      <c r="Q58" s="50">
        <f>VLOOKUP($A58,'Data shares'!$C:$FB,127)*100</f>
        <v>13.79</v>
      </c>
    </row>
    <row r="59" spans="1:17" x14ac:dyDescent="0.25">
      <c r="A59" s="97" t="str">
        <f>'Data Vlaue (Cr)'!C54</f>
        <v>DABUR</v>
      </c>
      <c r="B59" s="140">
        <f>VLOOKUP($A59,'Data shares'!$C:$FB,7)</f>
        <v>447.6</v>
      </c>
      <c r="C59" s="140">
        <f>VLOOKUP($A59,'Data shares'!$C:$FB,3)</f>
        <v>450.55</v>
      </c>
      <c r="D59" s="140">
        <f>VLOOKUP($A59,'Data shares'!$C:$FB,4)</f>
        <v>450</v>
      </c>
      <c r="E59" s="50">
        <f t="shared" si="0"/>
        <v>0.12222222222222476</v>
      </c>
      <c r="F59" s="49">
        <f>VLOOKUP($A59,'Data shares'!$C:$FB,98)</f>
        <v>28433750</v>
      </c>
      <c r="G59" s="49">
        <f>VLOOKUP($A59,'Data shares'!$C:$FB,99)</f>
        <v>43658750</v>
      </c>
      <c r="H59" s="50">
        <f t="shared" si="1"/>
        <v>-34.872734560655083</v>
      </c>
      <c r="I59" s="49">
        <f>VLOOKUP($A59,'Data shares'!$C:$FB,66)</f>
        <v>15545000</v>
      </c>
      <c r="J59" s="49">
        <f>VLOOKUP($A59,'Data shares'!$C:$FB,67)</f>
        <v>26571250</v>
      </c>
      <c r="K59" s="50">
        <f t="shared" si="2"/>
        <v>-70.931167577999361</v>
      </c>
      <c r="L59" s="50">
        <f>VLOOKUP($A59,'Data shares'!$C:$FB,118)</f>
        <v>0.74</v>
      </c>
      <c r="M59" s="50">
        <f>VLOOKUP($A59,'Data shares'!$C:$FB,119)</f>
        <v>0.68</v>
      </c>
      <c r="N59" s="50">
        <f>VLOOKUP($A59,'Data shares'!$C:$FB,121)*100</f>
        <v>8.82</v>
      </c>
      <c r="O59" s="50">
        <f>VLOOKUP($A59,'Data shares'!$C:$FB,124)</f>
        <v>0.79</v>
      </c>
      <c r="P59" s="50">
        <f>VLOOKUP($A59,'Data shares'!$C:$FB,125)</f>
        <v>0.45</v>
      </c>
      <c r="Q59" s="50">
        <f>VLOOKUP($A59,'Data shares'!$C:$FB,127)*100</f>
        <v>75.56</v>
      </c>
    </row>
    <row r="60" spans="1:17" x14ac:dyDescent="0.25">
      <c r="A60" s="97" t="str">
        <f>'Data Vlaue (Cr)'!C55</f>
        <v>DALBHARAT</v>
      </c>
      <c r="B60" s="140">
        <f>VLOOKUP($A60,'Data shares'!$C:$FB,7)</f>
        <v>1785.6</v>
      </c>
      <c r="C60" s="140">
        <f>VLOOKUP($A60,'Data shares'!$C:$FB,3)</f>
        <v>1794.3</v>
      </c>
      <c r="D60" s="140">
        <f>VLOOKUP($A60,'Data shares'!$C:$FB,4)</f>
        <v>1832</v>
      </c>
      <c r="E60" s="50">
        <f t="shared" si="0"/>
        <v>-2.0578602620087363</v>
      </c>
      <c r="F60" s="49">
        <f>VLOOKUP($A60,'Data shares'!$C:$FB,98)</f>
        <v>4264325</v>
      </c>
      <c r="G60" s="49">
        <f>VLOOKUP($A60,'Data shares'!$C:$FB,99)</f>
        <v>6932575</v>
      </c>
      <c r="H60" s="50">
        <f t="shared" si="1"/>
        <v>-38.488584688950354</v>
      </c>
      <c r="I60" s="49">
        <f>VLOOKUP($A60,'Data shares'!$C:$FB,66)</f>
        <v>3508700</v>
      </c>
      <c r="J60" s="49">
        <f>VLOOKUP($A60,'Data shares'!$C:$FB,67)</f>
        <v>9289475</v>
      </c>
      <c r="K60" s="50">
        <f t="shared" si="2"/>
        <v>-164.75546498703224</v>
      </c>
      <c r="L60" s="50">
        <f>VLOOKUP($A60,'Data shares'!$C:$FB,118)</f>
        <v>1.19</v>
      </c>
      <c r="M60" s="50">
        <f>VLOOKUP($A60,'Data shares'!$C:$FB,119)</f>
        <v>0.81</v>
      </c>
      <c r="N60" s="50">
        <f>VLOOKUP($A60,'Data shares'!$C:$FB,121)*100</f>
        <v>46.910000000000004</v>
      </c>
      <c r="O60" s="50">
        <f>VLOOKUP($A60,'Data shares'!$C:$FB,124)</f>
        <v>0.51</v>
      </c>
      <c r="P60" s="50">
        <f>VLOOKUP($A60,'Data shares'!$C:$FB,125)</f>
        <v>0.47</v>
      </c>
      <c r="Q60" s="50">
        <f>VLOOKUP($A60,'Data shares'!$C:$FB,127)*100</f>
        <v>8.51</v>
      </c>
    </row>
    <row r="61" spans="1:17" x14ac:dyDescent="0.25">
      <c r="A61" s="97" t="str">
        <f>'Data Vlaue (Cr)'!C56</f>
        <v>DELHIVERY</v>
      </c>
      <c r="B61" s="140">
        <f>VLOOKUP($A61,'Data shares'!$C:$FB,7)</f>
        <v>463.5</v>
      </c>
      <c r="C61" s="140">
        <f>VLOOKUP($A61,'Data shares'!$C:$FB,3)</f>
        <v>467.25</v>
      </c>
      <c r="D61" s="140">
        <f>VLOOKUP($A61,'Data shares'!$C:$FB,4)</f>
        <v>458.75</v>
      </c>
      <c r="E61" s="50">
        <f t="shared" si="0"/>
        <v>1.8528610354223434</v>
      </c>
      <c r="F61" s="49">
        <f>VLOOKUP($A61,'Data shares'!$C:$FB,98)</f>
        <v>34943000</v>
      </c>
      <c r="G61" s="49">
        <f>VLOOKUP($A61,'Data shares'!$C:$FB,99)</f>
        <v>46926125</v>
      </c>
      <c r="H61" s="50">
        <f t="shared" si="1"/>
        <v>-25.536148573955341</v>
      </c>
      <c r="I61" s="49">
        <f>VLOOKUP($A61,'Data shares'!$C:$FB,66)</f>
        <v>22225325</v>
      </c>
      <c r="J61" s="49">
        <f>VLOOKUP($A61,'Data shares'!$C:$FB,67)</f>
        <v>35912025</v>
      </c>
      <c r="K61" s="50">
        <f t="shared" si="2"/>
        <v>-61.581551675847258</v>
      </c>
      <c r="L61" s="50">
        <f>VLOOKUP($A61,'Data shares'!$C:$FB,118)</f>
        <v>0.49</v>
      </c>
      <c r="M61" s="50">
        <f>VLOOKUP($A61,'Data shares'!$C:$FB,119)</f>
        <v>0.41</v>
      </c>
      <c r="N61" s="50">
        <f>VLOOKUP($A61,'Data shares'!$C:$FB,121)*100</f>
        <v>19.509999999999998</v>
      </c>
      <c r="O61" s="50">
        <f>VLOOKUP($A61,'Data shares'!$C:$FB,124)</f>
        <v>0.41</v>
      </c>
      <c r="P61" s="50">
        <f>VLOOKUP($A61,'Data shares'!$C:$FB,125)</f>
        <v>0.45</v>
      </c>
      <c r="Q61" s="50">
        <f>VLOOKUP($A61,'Data shares'!$C:$FB,127)*100</f>
        <v>-8.89</v>
      </c>
    </row>
    <row r="62" spans="1:17" x14ac:dyDescent="0.25">
      <c r="A62" s="97" t="str">
        <f>'Data Vlaue (Cr)'!C57</f>
        <v>DIVISLAB</v>
      </c>
      <c r="B62" s="140">
        <f>VLOOKUP($A62,'Data shares'!$C:$FB,7)</f>
        <v>6753</v>
      </c>
      <c r="C62" s="140">
        <f>VLOOKUP($A62,'Data shares'!$C:$FB,3)</f>
        <v>6800.5</v>
      </c>
      <c r="D62" s="140">
        <f>VLOOKUP($A62,'Data shares'!$C:$FB,4)</f>
        <v>6815.5</v>
      </c>
      <c r="E62" s="50">
        <f t="shared" si="0"/>
        <v>-0.22008656738317073</v>
      </c>
      <c r="F62" s="49">
        <f>VLOOKUP($A62,'Data shares'!$C:$FB,98)</f>
        <v>3033300</v>
      </c>
      <c r="G62" s="49">
        <f>VLOOKUP($A62,'Data shares'!$C:$FB,99)</f>
        <v>4480700</v>
      </c>
      <c r="H62" s="50">
        <f t="shared" si="1"/>
        <v>-32.302988372352537</v>
      </c>
      <c r="I62" s="49">
        <f>VLOOKUP($A62,'Data shares'!$C:$FB,66)</f>
        <v>4204600</v>
      </c>
      <c r="J62" s="49">
        <f>VLOOKUP($A62,'Data shares'!$C:$FB,67)</f>
        <v>13992600</v>
      </c>
      <c r="K62" s="50">
        <f t="shared" si="2"/>
        <v>-232.79265566284545</v>
      </c>
      <c r="L62" s="50">
        <f>VLOOKUP($A62,'Data shares'!$C:$FB,118)</f>
        <v>0.53</v>
      </c>
      <c r="M62" s="50">
        <f>VLOOKUP($A62,'Data shares'!$C:$FB,119)</f>
        <v>0.71</v>
      </c>
      <c r="N62" s="50">
        <f>VLOOKUP($A62,'Data shares'!$C:$FB,121)*100</f>
        <v>-25.35</v>
      </c>
      <c r="O62" s="50">
        <f>VLOOKUP($A62,'Data shares'!$C:$FB,124)</f>
        <v>0.81</v>
      </c>
      <c r="P62" s="50">
        <f>VLOOKUP($A62,'Data shares'!$C:$FB,125)</f>
        <v>0.73</v>
      </c>
      <c r="Q62" s="50">
        <f>VLOOKUP($A62,'Data shares'!$C:$FB,127)*100</f>
        <v>10.96</v>
      </c>
    </row>
    <row r="63" spans="1:17" x14ac:dyDescent="0.25">
      <c r="A63" s="97" t="str">
        <f>'Data Vlaue (Cr)'!C58</f>
        <v>DIXON</v>
      </c>
      <c r="B63" s="140">
        <f>VLOOKUP($A63,'Data shares'!$C:$FB,7)</f>
        <v>11673</v>
      </c>
      <c r="C63" s="140">
        <f>VLOOKUP($A63,'Data shares'!$C:$FB,3)</f>
        <v>11632</v>
      </c>
      <c r="D63" s="140">
        <f>VLOOKUP($A63,'Data shares'!$C:$FB,4)</f>
        <v>11826</v>
      </c>
      <c r="E63" s="50">
        <f t="shared" si="0"/>
        <v>-1.6404532386267545</v>
      </c>
      <c r="F63" s="49">
        <f>VLOOKUP($A63,'Data shares'!$C:$FB,98)</f>
        <v>4097950</v>
      </c>
      <c r="G63" s="49">
        <f>VLOOKUP($A63,'Data shares'!$C:$FB,99)</f>
        <v>6321650</v>
      </c>
      <c r="H63" s="50">
        <f t="shared" si="1"/>
        <v>-35.175942989567602</v>
      </c>
      <c r="I63" s="49">
        <f>VLOOKUP($A63,'Data shares'!$C:$FB,66)</f>
        <v>6789550</v>
      </c>
      <c r="J63" s="49">
        <f>VLOOKUP($A63,'Data shares'!$C:$FB,67)</f>
        <v>15923500</v>
      </c>
      <c r="K63" s="50">
        <f t="shared" si="2"/>
        <v>-134.52953435794714</v>
      </c>
      <c r="L63" s="50">
        <f>VLOOKUP($A63,'Data shares'!$C:$FB,118)</f>
        <v>0.82</v>
      </c>
      <c r="M63" s="50">
        <f>VLOOKUP($A63,'Data shares'!$C:$FB,119)</f>
        <v>0.82</v>
      </c>
      <c r="N63" s="50">
        <f>VLOOKUP($A63,'Data shares'!$C:$FB,121)*100</f>
        <v>0</v>
      </c>
      <c r="O63" s="50">
        <f>VLOOKUP($A63,'Data shares'!$C:$FB,124)</f>
        <v>0.72</v>
      </c>
      <c r="P63" s="50">
        <f>VLOOKUP($A63,'Data shares'!$C:$FB,125)</f>
        <v>0.48</v>
      </c>
      <c r="Q63" s="50">
        <f>VLOOKUP($A63,'Data shares'!$C:$FB,127)*100</f>
        <v>50</v>
      </c>
    </row>
    <row r="64" spans="1:17" x14ac:dyDescent="0.25">
      <c r="A64" s="97" t="str">
        <f>'Data Vlaue (Cr)'!C59</f>
        <v>DLF</v>
      </c>
      <c r="B64" s="140">
        <f>VLOOKUP($A64,'Data shares'!$C:$FB,7)</f>
        <v>589.79999999999995</v>
      </c>
      <c r="C64" s="140">
        <f>VLOOKUP($A64,'Data shares'!$C:$FB,3)</f>
        <v>593.04999999999995</v>
      </c>
      <c r="D64" s="140">
        <f>VLOOKUP($A64,'Data shares'!$C:$FB,4)</f>
        <v>597</v>
      </c>
      <c r="E64" s="50">
        <f t="shared" si="0"/>
        <v>-0.66164154103853356</v>
      </c>
      <c r="F64" s="49">
        <f>VLOOKUP($A64,'Data shares'!$C:$FB,98)</f>
        <v>50459725</v>
      </c>
      <c r="G64" s="49">
        <f>VLOOKUP($A64,'Data shares'!$C:$FB,99)</f>
        <v>60086150</v>
      </c>
      <c r="H64" s="50">
        <f t="shared" si="1"/>
        <v>-16.021038126090623</v>
      </c>
      <c r="I64" s="49">
        <f>VLOOKUP($A64,'Data shares'!$C:$FB,66)</f>
        <v>30380625</v>
      </c>
      <c r="J64" s="49">
        <f>VLOOKUP($A64,'Data shares'!$C:$FB,67)</f>
        <v>40780575</v>
      </c>
      <c r="K64" s="50">
        <f t="shared" si="2"/>
        <v>-34.232179226069249</v>
      </c>
      <c r="L64" s="50">
        <f>VLOOKUP($A64,'Data shares'!$C:$FB,118)</f>
        <v>0.75</v>
      </c>
      <c r="M64" s="50">
        <f>VLOOKUP($A64,'Data shares'!$C:$FB,119)</f>
        <v>0.75</v>
      </c>
      <c r="N64" s="50">
        <f>VLOOKUP($A64,'Data shares'!$C:$FB,121)*100</f>
        <v>0</v>
      </c>
      <c r="O64" s="50">
        <f>VLOOKUP($A64,'Data shares'!$C:$FB,124)</f>
        <v>0.55000000000000004</v>
      </c>
      <c r="P64" s="50">
        <f>VLOOKUP($A64,'Data shares'!$C:$FB,125)</f>
        <v>0.59</v>
      </c>
      <c r="Q64" s="50">
        <f>VLOOKUP($A64,'Data shares'!$C:$FB,127)*100</f>
        <v>-6.78</v>
      </c>
    </row>
    <row r="65" spans="1:17" x14ac:dyDescent="0.25">
      <c r="A65" s="97" t="str">
        <f>'Data Vlaue (Cr)'!C60</f>
        <v>DMART</v>
      </c>
      <c r="B65" s="140">
        <f>VLOOKUP($A65,'Data shares'!$C:$FB,7)</f>
        <v>4103.6000000000004</v>
      </c>
      <c r="C65" s="140">
        <f>VLOOKUP($A65,'Data shares'!$C:$FB,3)</f>
        <v>4136.2</v>
      </c>
      <c r="D65" s="140">
        <f>VLOOKUP($A65,'Data shares'!$C:$FB,4)</f>
        <v>4114.3999999999996</v>
      </c>
      <c r="E65" s="50">
        <f t="shared" si="0"/>
        <v>0.52984639315575011</v>
      </c>
      <c r="F65" s="49">
        <f>VLOOKUP($A65,'Data shares'!$C:$FB,98)</f>
        <v>4727400</v>
      </c>
      <c r="G65" s="49">
        <f>VLOOKUP($A65,'Data shares'!$C:$FB,99)</f>
        <v>6956550</v>
      </c>
      <c r="H65" s="50">
        <f t="shared" si="1"/>
        <v>-32.043901071651895</v>
      </c>
      <c r="I65" s="49">
        <f>VLOOKUP($A65,'Data shares'!$C:$FB,66)</f>
        <v>4625550</v>
      </c>
      <c r="J65" s="49">
        <f>VLOOKUP($A65,'Data shares'!$C:$FB,67)</f>
        <v>5505300</v>
      </c>
      <c r="K65" s="50">
        <f t="shared" si="2"/>
        <v>-19.019359859908551</v>
      </c>
      <c r="L65" s="50">
        <f>VLOOKUP($A65,'Data shares'!$C:$FB,118)</f>
        <v>0.79</v>
      </c>
      <c r="M65" s="50">
        <f>VLOOKUP($A65,'Data shares'!$C:$FB,119)</f>
        <v>0.45</v>
      </c>
      <c r="N65" s="50">
        <f>VLOOKUP($A65,'Data shares'!$C:$FB,121)*100</f>
        <v>75.56</v>
      </c>
      <c r="O65" s="50">
        <f>VLOOKUP($A65,'Data shares'!$C:$FB,124)</f>
        <v>0.47</v>
      </c>
      <c r="P65" s="50">
        <f>VLOOKUP($A65,'Data shares'!$C:$FB,125)</f>
        <v>0.38</v>
      </c>
      <c r="Q65" s="50">
        <f>VLOOKUP($A65,'Data shares'!$C:$FB,127)*100</f>
        <v>23.68</v>
      </c>
    </row>
    <row r="66" spans="1:17" x14ac:dyDescent="0.25">
      <c r="A66" s="97" t="str">
        <f>'Data Vlaue (Cr)'!C61</f>
        <v>DRREDDY</v>
      </c>
      <c r="B66" s="140">
        <f>VLOOKUP($A66,'Data shares'!$C:$FB,7)</f>
        <v>1327.9</v>
      </c>
      <c r="C66" s="140">
        <f>VLOOKUP($A66,'Data shares'!$C:$FB,3)</f>
        <v>1326.5</v>
      </c>
      <c r="D66" s="140">
        <f>VLOOKUP($A66,'Data shares'!$C:$FB,4)</f>
        <v>1334.8</v>
      </c>
      <c r="E66" s="50">
        <f t="shared" si="0"/>
        <v>-0.62181600239735957</v>
      </c>
      <c r="F66" s="49">
        <f>VLOOKUP($A66,'Data shares'!$C:$FB,98)</f>
        <v>21895000</v>
      </c>
      <c r="G66" s="49">
        <f>VLOOKUP($A66,'Data shares'!$C:$FB,99)</f>
        <v>37230625</v>
      </c>
      <c r="H66" s="50">
        <f t="shared" si="1"/>
        <v>-41.190887877923082</v>
      </c>
      <c r="I66" s="49">
        <f>VLOOKUP($A66,'Data shares'!$C:$FB,66)</f>
        <v>21683750</v>
      </c>
      <c r="J66" s="49">
        <f>VLOOKUP($A66,'Data shares'!$C:$FB,67)</f>
        <v>36713750</v>
      </c>
      <c r="K66" s="50">
        <f t="shared" si="2"/>
        <v>-69.314578889721574</v>
      </c>
      <c r="L66" s="50">
        <f>VLOOKUP($A66,'Data shares'!$C:$FB,118)</f>
        <v>0.69</v>
      </c>
      <c r="M66" s="50">
        <f>VLOOKUP($A66,'Data shares'!$C:$FB,119)</f>
        <v>0.6</v>
      </c>
      <c r="N66" s="50">
        <f>VLOOKUP($A66,'Data shares'!$C:$FB,121)*100</f>
        <v>15</v>
      </c>
      <c r="O66" s="50">
        <f>VLOOKUP($A66,'Data shares'!$C:$FB,124)</f>
        <v>0.61</v>
      </c>
      <c r="P66" s="50">
        <f>VLOOKUP($A66,'Data shares'!$C:$FB,125)</f>
        <v>0.56999999999999995</v>
      </c>
      <c r="Q66" s="50">
        <f>VLOOKUP($A66,'Data shares'!$C:$FB,127)*100</f>
        <v>7.02</v>
      </c>
    </row>
    <row r="67" spans="1:17" x14ac:dyDescent="0.25">
      <c r="A67" s="97" t="str">
        <f>'Data Vlaue (Cr)'!C62</f>
        <v>EICHERMOT</v>
      </c>
      <c r="B67" s="140">
        <f>VLOOKUP($A67,'Data shares'!$C:$FB,7)</f>
        <v>7376</v>
      </c>
      <c r="C67" s="140">
        <f>VLOOKUP($A67,'Data shares'!$C:$FB,3)</f>
        <v>7412</v>
      </c>
      <c r="D67" s="140">
        <f>VLOOKUP($A67,'Data shares'!$C:$FB,4)</f>
        <v>7472</v>
      </c>
      <c r="E67" s="50">
        <f t="shared" si="0"/>
        <v>-0.80299785867237683</v>
      </c>
      <c r="F67" s="49">
        <f>VLOOKUP($A67,'Data shares'!$C:$FB,98)</f>
        <v>4953800</v>
      </c>
      <c r="G67" s="49">
        <f>VLOOKUP($A67,'Data shares'!$C:$FB,99)</f>
        <v>7303600</v>
      </c>
      <c r="H67" s="50">
        <f t="shared" si="1"/>
        <v>-32.173174872665534</v>
      </c>
      <c r="I67" s="49">
        <f>VLOOKUP($A67,'Data shares'!$C:$FB,66)</f>
        <v>7580800</v>
      </c>
      <c r="J67" s="49">
        <f>VLOOKUP($A67,'Data shares'!$C:$FB,67)</f>
        <v>30354800</v>
      </c>
      <c r="K67" s="50">
        <f t="shared" si="2"/>
        <v>-300.41684254959898</v>
      </c>
      <c r="L67" s="50">
        <f>VLOOKUP($A67,'Data shares'!$C:$FB,118)</f>
        <v>0.72</v>
      </c>
      <c r="M67" s="50">
        <f>VLOOKUP($A67,'Data shares'!$C:$FB,119)</f>
        <v>0.78</v>
      </c>
      <c r="N67" s="50">
        <f>VLOOKUP($A67,'Data shares'!$C:$FB,121)*100</f>
        <v>-7.6899999999999995</v>
      </c>
      <c r="O67" s="50">
        <f>VLOOKUP($A67,'Data shares'!$C:$FB,124)</f>
        <v>0.42</v>
      </c>
      <c r="P67" s="50">
        <f>VLOOKUP($A67,'Data shares'!$C:$FB,125)</f>
        <v>0.41</v>
      </c>
      <c r="Q67" s="50">
        <f>VLOOKUP($A67,'Data shares'!$C:$FB,127)*100</f>
        <v>2.44</v>
      </c>
    </row>
    <row r="68" spans="1:17" x14ac:dyDescent="0.25">
      <c r="A68" s="97" t="str">
        <f>'Data Vlaue (Cr)'!C63</f>
        <v>ETERNAL</v>
      </c>
      <c r="B68" s="140">
        <f>VLOOKUP($A68,'Data shares'!$C:$FB,7)</f>
        <v>250.17</v>
      </c>
      <c r="C68" s="140">
        <f>VLOOKUP($A68,'Data shares'!$C:$FB,3)</f>
        <v>252.4</v>
      </c>
      <c r="D68" s="140">
        <f>VLOOKUP($A68,'Data shares'!$C:$FB,4)</f>
        <v>249.62</v>
      </c>
      <c r="E68" s="50">
        <f t="shared" si="0"/>
        <v>1.1136928130758756</v>
      </c>
      <c r="F68" s="49">
        <f>VLOOKUP($A68,'Data shares'!$C:$FB,98)</f>
        <v>242856475</v>
      </c>
      <c r="G68" s="49">
        <f>VLOOKUP($A68,'Data shares'!$C:$FB,99)</f>
        <v>315208775</v>
      </c>
      <c r="H68" s="50">
        <f t="shared" si="1"/>
        <v>-22.953770877730165</v>
      </c>
      <c r="I68" s="49">
        <f>VLOOKUP($A68,'Data shares'!$C:$FB,66)</f>
        <v>227574125</v>
      </c>
      <c r="J68" s="49">
        <f>VLOOKUP($A68,'Data shares'!$C:$FB,67)</f>
        <v>273932850</v>
      </c>
      <c r="K68" s="50">
        <f t="shared" si="2"/>
        <v>-20.370824231445468</v>
      </c>
      <c r="L68" s="50">
        <f>VLOOKUP($A68,'Data shares'!$C:$FB,118)</f>
        <v>1.07</v>
      </c>
      <c r="M68" s="50">
        <f>VLOOKUP($A68,'Data shares'!$C:$FB,119)</f>
        <v>0.56999999999999995</v>
      </c>
      <c r="N68" s="50">
        <f>VLOOKUP($A68,'Data shares'!$C:$FB,121)*100</f>
        <v>87.72</v>
      </c>
      <c r="O68" s="50">
        <f>VLOOKUP($A68,'Data shares'!$C:$FB,124)</f>
        <v>0.55000000000000004</v>
      </c>
      <c r="P68" s="50">
        <f>VLOOKUP($A68,'Data shares'!$C:$FB,125)</f>
        <v>0.64</v>
      </c>
      <c r="Q68" s="50">
        <f>VLOOKUP($A68,'Data shares'!$C:$FB,127)*100</f>
        <v>-14.06</v>
      </c>
    </row>
    <row r="69" spans="1:17" x14ac:dyDescent="0.25">
      <c r="A69" s="97" t="str">
        <f>'Data Vlaue (Cr)'!C64</f>
        <v>EXIDEIND</v>
      </c>
      <c r="B69" s="140">
        <f>VLOOKUP($A69,'Data shares'!$C:$FB,7)</f>
        <v>366.25</v>
      </c>
      <c r="C69" s="140">
        <f>VLOOKUP($A69,'Data shares'!$C:$FB,3)</f>
        <v>368.15</v>
      </c>
      <c r="D69" s="140">
        <f>VLOOKUP($A69,'Data shares'!$C:$FB,4)</f>
        <v>349.5</v>
      </c>
      <c r="E69" s="50">
        <f t="shared" si="0"/>
        <v>5.3361945636623682</v>
      </c>
      <c r="F69" s="49">
        <f>VLOOKUP($A69,'Data shares'!$C:$FB,98)</f>
        <v>34927200</v>
      </c>
      <c r="G69" s="49">
        <f>VLOOKUP($A69,'Data shares'!$C:$FB,99)</f>
        <v>49757400</v>
      </c>
      <c r="H69" s="50">
        <f t="shared" si="1"/>
        <v>-29.805013927576603</v>
      </c>
      <c r="I69" s="49">
        <f>VLOOKUP($A69,'Data shares'!$C:$FB,66)</f>
        <v>64323000</v>
      </c>
      <c r="J69" s="49">
        <f>VLOOKUP($A69,'Data shares'!$C:$FB,67)</f>
        <v>29608200</v>
      </c>
      <c r="K69" s="50">
        <f t="shared" si="2"/>
        <v>53.969497691339022</v>
      </c>
      <c r="L69" s="50">
        <f>VLOOKUP($A69,'Data shares'!$C:$FB,118)</f>
        <v>0.68</v>
      </c>
      <c r="M69" s="50">
        <f>VLOOKUP($A69,'Data shares'!$C:$FB,119)</f>
        <v>0.6</v>
      </c>
      <c r="N69" s="50">
        <f>VLOOKUP($A69,'Data shares'!$C:$FB,121)*100</f>
        <v>13.33</v>
      </c>
      <c r="O69" s="50">
        <f>VLOOKUP($A69,'Data shares'!$C:$FB,124)</f>
        <v>0.28999999999999998</v>
      </c>
      <c r="P69" s="50">
        <f>VLOOKUP($A69,'Data shares'!$C:$FB,125)</f>
        <v>0.5</v>
      </c>
      <c r="Q69" s="50">
        <f>VLOOKUP($A69,'Data shares'!$C:$FB,127)*100</f>
        <v>-42</v>
      </c>
    </row>
    <row r="70" spans="1:17" x14ac:dyDescent="0.25">
      <c r="A70" s="97" t="str">
        <f>'Data Vlaue (Cr)'!C65</f>
        <v>FEDERALBNK</v>
      </c>
      <c r="B70" s="140">
        <f>VLOOKUP($A70,'Data shares'!$C:$FB,7)</f>
        <v>290.2</v>
      </c>
      <c r="C70" s="140">
        <f>VLOOKUP($A70,'Data shares'!$C:$FB,3)</f>
        <v>291.55</v>
      </c>
      <c r="D70" s="140">
        <f>VLOOKUP($A70,'Data shares'!$C:$FB,4)</f>
        <v>291</v>
      </c>
      <c r="E70" s="50">
        <f t="shared" si="0"/>
        <v>0.18900343642612075</v>
      </c>
      <c r="F70" s="49">
        <f>VLOOKUP($A70,'Data shares'!$C:$FB,98)</f>
        <v>98252500</v>
      </c>
      <c r="G70" s="49">
        <f>VLOOKUP($A70,'Data shares'!$C:$FB,99)</f>
        <v>135120000</v>
      </c>
      <c r="H70" s="50">
        <f t="shared" si="1"/>
        <v>-27.285005920663114</v>
      </c>
      <c r="I70" s="49">
        <f>VLOOKUP($A70,'Data shares'!$C:$FB,66)</f>
        <v>61937500</v>
      </c>
      <c r="J70" s="49">
        <f>VLOOKUP($A70,'Data shares'!$C:$FB,67)</f>
        <v>93445000</v>
      </c>
      <c r="K70" s="50">
        <f t="shared" si="2"/>
        <v>-50.869828456104948</v>
      </c>
      <c r="L70" s="50">
        <f>VLOOKUP($A70,'Data shares'!$C:$FB,118)</f>
        <v>0.76</v>
      </c>
      <c r="M70" s="50">
        <f>VLOOKUP($A70,'Data shares'!$C:$FB,119)</f>
        <v>0.6</v>
      </c>
      <c r="N70" s="50">
        <f>VLOOKUP($A70,'Data shares'!$C:$FB,121)*100</f>
        <v>26.669999999999998</v>
      </c>
      <c r="O70" s="50">
        <f>VLOOKUP($A70,'Data shares'!$C:$FB,124)</f>
        <v>0.49</v>
      </c>
      <c r="P70" s="50">
        <f>VLOOKUP($A70,'Data shares'!$C:$FB,125)</f>
        <v>0.47</v>
      </c>
      <c r="Q70" s="50">
        <f>VLOOKUP($A70,'Data shares'!$C:$FB,127)*100</f>
        <v>4.26</v>
      </c>
    </row>
    <row r="71" spans="1:17" x14ac:dyDescent="0.25">
      <c r="A71" s="97" t="str">
        <f>'Data Vlaue (Cr)'!C66</f>
        <v>FINNIFTY</v>
      </c>
      <c r="B71" s="140">
        <f>VLOOKUP($A71,'Data shares'!$C:$FB,7)</f>
        <v>25932.25</v>
      </c>
      <c r="C71" s="140">
        <f>VLOOKUP($A71,'Data shares'!$C:$FB,3)</f>
        <v>26061.8</v>
      </c>
      <c r="D71" s="140">
        <f>VLOOKUP($A71,'Data shares'!$C:$FB,4)</f>
        <v>26277.4</v>
      </c>
      <c r="E71" s="50">
        <f t="shared" si="0"/>
        <v>-0.82047691171882375</v>
      </c>
      <c r="F71" s="49">
        <f>VLOOKUP($A71,'Data shares'!$C:$FB,98)</f>
        <v>31980</v>
      </c>
      <c r="G71" s="49">
        <f>VLOOKUP($A71,'Data shares'!$C:$FB,99)</f>
        <v>2058720</v>
      </c>
      <c r="H71" s="50">
        <f t="shared" si="1"/>
        <v>-98.446607600839357</v>
      </c>
      <c r="I71" s="49">
        <f>VLOOKUP($A71,'Data shares'!$C:$FB,66)</f>
        <v>167187960</v>
      </c>
      <c r="J71" s="49">
        <f>VLOOKUP($A71,'Data shares'!$C:$FB,67)</f>
        <v>19117200</v>
      </c>
      <c r="K71" s="50">
        <f t="shared" si="2"/>
        <v>88.565444545169399</v>
      </c>
      <c r="L71" s="50">
        <f>VLOOKUP($A71,'Data shares'!$C:$FB,118)</f>
        <v>0.78</v>
      </c>
      <c r="M71" s="50">
        <f>VLOOKUP($A71,'Data shares'!$C:$FB,119)</f>
        <v>0.95</v>
      </c>
      <c r="N71" s="50">
        <f>VLOOKUP($A71,'Data shares'!$C:$FB,121)*100</f>
        <v>-17.89</v>
      </c>
      <c r="O71" s="50">
        <f>VLOOKUP($A71,'Data shares'!$C:$FB,124)</f>
        <v>1.1299999999999999</v>
      </c>
      <c r="P71" s="50">
        <f>VLOOKUP($A71,'Data shares'!$C:$FB,125)</f>
        <v>0.98</v>
      </c>
      <c r="Q71" s="50">
        <f>VLOOKUP($A71,'Data shares'!$C:$FB,127)*100</f>
        <v>15.310000000000002</v>
      </c>
    </row>
    <row r="72" spans="1:17" x14ac:dyDescent="0.25">
      <c r="A72" s="97" t="str">
        <f>'Data Vlaue (Cr)'!C67</f>
        <v>FORCEMOT</v>
      </c>
      <c r="B72" s="140">
        <f>VLOOKUP($A72,'Data shares'!$C:$FB,7)</f>
        <v>19833</v>
      </c>
      <c r="C72" s="140">
        <f>VLOOKUP($A72,'Data shares'!$C:$FB,3)</f>
        <v>19900</v>
      </c>
      <c r="D72" s="140">
        <f>VLOOKUP($A72,'Data shares'!$C:$FB,4)</f>
        <v>20089</v>
      </c>
      <c r="E72" s="50">
        <f t="shared" ref="E72:E135" si="3">(C72-D72)/D72*100</f>
        <v>-0.9408133804569665</v>
      </c>
      <c r="F72" s="49">
        <f>VLOOKUP($A72,'Data shares'!$C:$FB,98)</f>
        <v>264550</v>
      </c>
      <c r="G72" s="49">
        <f>VLOOKUP($A72,'Data shares'!$C:$FB,99)</f>
        <v>515625</v>
      </c>
      <c r="H72" s="50">
        <f t="shared" ref="H72:H135" si="4">(F72-G72)/G72*100</f>
        <v>-48.693333333333335</v>
      </c>
      <c r="I72" s="49">
        <f>VLOOKUP($A72,'Data shares'!$C:$FB,66)</f>
        <v>634300</v>
      </c>
      <c r="J72" s="49">
        <f>VLOOKUP($A72,'Data shares'!$C:$FB,67)</f>
        <v>2847075</v>
      </c>
      <c r="K72" s="50">
        <f t="shared" ref="K72:K135" si="5">(I72-J72)/I72*100</f>
        <v>-348.85306637237903</v>
      </c>
      <c r="L72" s="50">
        <f>VLOOKUP($A72,'Data shares'!$C:$FB,118)</f>
        <v>0.27</v>
      </c>
      <c r="M72" s="50">
        <f>VLOOKUP($A72,'Data shares'!$C:$FB,119)</f>
        <v>0.32</v>
      </c>
      <c r="N72" s="50">
        <f>VLOOKUP($A72,'Data shares'!$C:$FB,121)*100</f>
        <v>-15.620000000000001</v>
      </c>
      <c r="O72" s="50">
        <f>VLOOKUP($A72,'Data shares'!$C:$FB,124)</f>
        <v>0.22</v>
      </c>
      <c r="P72" s="50">
        <f>VLOOKUP($A72,'Data shares'!$C:$FB,125)</f>
        <v>0.28999999999999998</v>
      </c>
      <c r="Q72" s="50">
        <f>VLOOKUP($A72,'Data shares'!$C:$FB,127)*100</f>
        <v>-24.14</v>
      </c>
    </row>
    <row r="73" spans="1:17" x14ac:dyDescent="0.25">
      <c r="A73" s="97" t="str">
        <f>'Data Vlaue (Cr)'!C68</f>
        <v>FORTIS</v>
      </c>
      <c r="B73" s="140">
        <f>VLOOKUP($A73,'Data shares'!$C:$FB,7)</f>
        <v>966.6</v>
      </c>
      <c r="C73" s="140">
        <f>VLOOKUP($A73,'Data shares'!$C:$FB,3)</f>
        <v>974.2</v>
      </c>
      <c r="D73" s="140">
        <f>VLOOKUP($A73,'Data shares'!$C:$FB,4)</f>
        <v>978.3</v>
      </c>
      <c r="E73" s="50">
        <f t="shared" si="3"/>
        <v>-0.41909434733720835</v>
      </c>
      <c r="F73" s="49">
        <f>VLOOKUP($A73,'Data shares'!$C:$FB,98)</f>
        <v>11261525</v>
      </c>
      <c r="G73" s="49">
        <f>VLOOKUP($A73,'Data shares'!$C:$FB,99)</f>
        <v>13930625</v>
      </c>
      <c r="H73" s="50">
        <f t="shared" si="4"/>
        <v>-19.159944367176635</v>
      </c>
      <c r="I73" s="49">
        <f>VLOOKUP($A73,'Data shares'!$C:$FB,66)</f>
        <v>6658800</v>
      </c>
      <c r="J73" s="49">
        <f>VLOOKUP($A73,'Data shares'!$C:$FB,67)</f>
        <v>26250800</v>
      </c>
      <c r="K73" s="50">
        <f t="shared" si="5"/>
        <v>-294.22718808193667</v>
      </c>
      <c r="L73" s="50">
        <f>VLOOKUP($A73,'Data shares'!$C:$FB,118)</f>
        <v>0.52</v>
      </c>
      <c r="M73" s="50">
        <f>VLOOKUP($A73,'Data shares'!$C:$FB,119)</f>
        <v>0.64</v>
      </c>
      <c r="N73" s="50">
        <f>VLOOKUP($A73,'Data shares'!$C:$FB,121)*100</f>
        <v>-18.75</v>
      </c>
      <c r="O73" s="50">
        <f>VLOOKUP($A73,'Data shares'!$C:$FB,124)</f>
        <v>0.43</v>
      </c>
      <c r="P73" s="50">
        <f>VLOOKUP($A73,'Data shares'!$C:$FB,125)</f>
        <v>0.45</v>
      </c>
      <c r="Q73" s="50">
        <f>VLOOKUP($A73,'Data shares'!$C:$FB,127)*100</f>
        <v>-4.4400000000000004</v>
      </c>
    </row>
    <row r="74" spans="1:17" x14ac:dyDescent="0.25">
      <c r="A74" s="97" t="str">
        <f>'Data Vlaue (Cr)'!C69</f>
        <v>GAIL</v>
      </c>
      <c r="B74" s="140">
        <f>VLOOKUP($A74,'Data shares'!$C:$FB,7)</f>
        <v>167.63</v>
      </c>
      <c r="C74" s="140">
        <f>VLOOKUP($A74,'Data shares'!$C:$FB,3)</f>
        <v>168.94</v>
      </c>
      <c r="D74" s="140">
        <f>VLOOKUP($A74,'Data shares'!$C:$FB,4)</f>
        <v>169.4</v>
      </c>
      <c r="E74" s="50">
        <f t="shared" si="3"/>
        <v>-0.27154663518300348</v>
      </c>
      <c r="F74" s="49">
        <f>VLOOKUP($A74,'Data shares'!$C:$FB,98)</f>
        <v>110052900</v>
      </c>
      <c r="G74" s="49">
        <f>VLOOKUP($A74,'Data shares'!$C:$FB,99)</f>
        <v>152305200</v>
      </c>
      <c r="H74" s="50">
        <f t="shared" si="4"/>
        <v>-27.741863048668069</v>
      </c>
      <c r="I74" s="49">
        <f>VLOOKUP($A74,'Data shares'!$C:$FB,66)</f>
        <v>92124900</v>
      </c>
      <c r="J74" s="49">
        <f>VLOOKUP($A74,'Data shares'!$C:$FB,67)</f>
        <v>369050850</v>
      </c>
      <c r="K74" s="50">
        <f t="shared" si="5"/>
        <v>-300.59837242699859</v>
      </c>
      <c r="L74" s="50">
        <f>VLOOKUP($A74,'Data shares'!$C:$FB,118)</f>
        <v>0.87</v>
      </c>
      <c r="M74" s="50">
        <f>VLOOKUP($A74,'Data shares'!$C:$FB,119)</f>
        <v>0.97</v>
      </c>
      <c r="N74" s="50">
        <f>VLOOKUP($A74,'Data shares'!$C:$FB,121)*100</f>
        <v>-10.31</v>
      </c>
      <c r="O74" s="50">
        <f>VLOOKUP($A74,'Data shares'!$C:$FB,124)</f>
        <v>0.72</v>
      </c>
      <c r="P74" s="50">
        <f>VLOOKUP($A74,'Data shares'!$C:$FB,125)</f>
        <v>0.44</v>
      </c>
      <c r="Q74" s="50">
        <f>VLOOKUP($A74,'Data shares'!$C:$FB,127)*100</f>
        <v>63.639999999999993</v>
      </c>
    </row>
    <row r="75" spans="1:17" x14ac:dyDescent="0.25">
      <c r="A75" s="97" t="str">
        <f>'Data Vlaue (Cr)'!C70</f>
        <v>GLENMARK</v>
      </c>
      <c r="B75" s="140">
        <f>VLOOKUP($A75,'Data shares'!$C:$FB,7)</f>
        <v>2351.4</v>
      </c>
      <c r="C75" s="140">
        <f>VLOOKUP($A75,'Data shares'!$C:$FB,3)</f>
        <v>2372.1999999999998</v>
      </c>
      <c r="D75" s="140">
        <f>VLOOKUP($A75,'Data shares'!$C:$FB,4)</f>
        <v>2355.9</v>
      </c>
      <c r="E75" s="50">
        <f t="shared" si="3"/>
        <v>0.69187996094909487</v>
      </c>
      <c r="F75" s="49">
        <f>VLOOKUP($A75,'Data shares'!$C:$FB,98)</f>
        <v>13962375</v>
      </c>
      <c r="G75" s="49">
        <f>VLOOKUP($A75,'Data shares'!$C:$FB,99)</f>
        <v>16407375</v>
      </c>
      <c r="H75" s="50">
        <f t="shared" si="4"/>
        <v>-14.9018353027221</v>
      </c>
      <c r="I75" s="49">
        <f>VLOOKUP($A75,'Data shares'!$C:$FB,66)</f>
        <v>10188000</v>
      </c>
      <c r="J75" s="49">
        <f>VLOOKUP($A75,'Data shares'!$C:$FB,67)</f>
        <v>28813500</v>
      </c>
      <c r="K75" s="50">
        <f t="shared" si="5"/>
        <v>-182.81802120141342</v>
      </c>
      <c r="L75" s="50">
        <f>VLOOKUP($A75,'Data shares'!$C:$FB,118)</f>
        <v>0.71</v>
      </c>
      <c r="M75" s="50">
        <f>VLOOKUP($A75,'Data shares'!$C:$FB,119)</f>
        <v>0.59</v>
      </c>
      <c r="N75" s="50">
        <f>VLOOKUP($A75,'Data shares'!$C:$FB,121)*100</f>
        <v>20.34</v>
      </c>
      <c r="O75" s="50">
        <f>VLOOKUP($A75,'Data shares'!$C:$FB,124)</f>
        <v>0.68</v>
      </c>
      <c r="P75" s="50">
        <f>VLOOKUP($A75,'Data shares'!$C:$FB,125)</f>
        <v>0.48</v>
      </c>
      <c r="Q75" s="50">
        <f>VLOOKUP($A75,'Data shares'!$C:$FB,127)*100</f>
        <v>41.67</v>
      </c>
    </row>
    <row r="76" spans="1:17" x14ac:dyDescent="0.25">
      <c r="A76" s="97" t="str">
        <f>'Data Vlaue (Cr)'!C71</f>
        <v>GMRAIRPORT</v>
      </c>
      <c r="B76" s="140">
        <f>VLOOKUP($A76,'Data shares'!$C:$FB,7)</f>
        <v>96.23</v>
      </c>
      <c r="C76" s="140">
        <f>VLOOKUP($A76,'Data shares'!$C:$FB,3)</f>
        <v>96.88</v>
      </c>
      <c r="D76" s="140">
        <f>VLOOKUP($A76,'Data shares'!$C:$FB,4)</f>
        <v>97.6</v>
      </c>
      <c r="E76" s="50">
        <f t="shared" si="3"/>
        <v>-0.73770491803278582</v>
      </c>
      <c r="F76" s="49">
        <f>VLOOKUP($A76,'Data shares'!$C:$FB,98)</f>
        <v>157586175</v>
      </c>
      <c r="G76" s="49">
        <f>VLOOKUP($A76,'Data shares'!$C:$FB,99)</f>
        <v>215109000</v>
      </c>
      <c r="H76" s="50">
        <f t="shared" si="4"/>
        <v>-26.74124513618677</v>
      </c>
      <c r="I76" s="49">
        <f>VLOOKUP($A76,'Data shares'!$C:$FB,66)</f>
        <v>108914625</v>
      </c>
      <c r="J76" s="49">
        <f>VLOOKUP($A76,'Data shares'!$C:$FB,67)</f>
        <v>111662775</v>
      </c>
      <c r="K76" s="50">
        <f t="shared" si="5"/>
        <v>-2.5232148575088056</v>
      </c>
      <c r="L76" s="50">
        <f>VLOOKUP($A76,'Data shares'!$C:$FB,118)</f>
        <v>0.68</v>
      </c>
      <c r="M76" s="50">
        <f>VLOOKUP($A76,'Data shares'!$C:$FB,119)</f>
        <v>0.66</v>
      </c>
      <c r="N76" s="50">
        <f>VLOOKUP($A76,'Data shares'!$C:$FB,121)*100</f>
        <v>3.0300000000000002</v>
      </c>
      <c r="O76" s="50">
        <f>VLOOKUP($A76,'Data shares'!$C:$FB,124)</f>
        <v>0.35</v>
      </c>
      <c r="P76" s="50">
        <f>VLOOKUP($A76,'Data shares'!$C:$FB,125)</f>
        <v>0.47</v>
      </c>
      <c r="Q76" s="50">
        <f>VLOOKUP($A76,'Data shares'!$C:$FB,127)*100</f>
        <v>-25.53</v>
      </c>
    </row>
    <row r="77" spans="1:17" x14ac:dyDescent="0.25">
      <c r="A77" s="97" t="str">
        <f>'Data Vlaue (Cr)'!C72</f>
        <v>GODFRYPHLP</v>
      </c>
      <c r="B77" s="140">
        <f>VLOOKUP($A77,'Data shares'!$C:$FB,7)</f>
        <v>2298.4</v>
      </c>
      <c r="C77" s="140">
        <f>VLOOKUP($A77,'Data shares'!$C:$FB,3)</f>
        <v>2310.9</v>
      </c>
      <c r="D77" s="140">
        <f>VLOOKUP($A77,'Data shares'!$C:$FB,4)</f>
        <v>2293.3000000000002</v>
      </c>
      <c r="E77" s="50">
        <f t="shared" si="3"/>
        <v>0.76745301530545096</v>
      </c>
      <c r="F77" s="49">
        <f>VLOOKUP($A77,'Data shares'!$C:$FB,98)</f>
        <v>3301925</v>
      </c>
      <c r="G77" s="49">
        <f>VLOOKUP($A77,'Data shares'!$C:$FB,99)</f>
        <v>4886475</v>
      </c>
      <c r="H77" s="50">
        <f t="shared" si="4"/>
        <v>-32.427260960099048</v>
      </c>
      <c r="I77" s="49">
        <f>VLOOKUP($A77,'Data shares'!$C:$FB,66)</f>
        <v>5966950</v>
      </c>
      <c r="J77" s="49">
        <f>VLOOKUP($A77,'Data shares'!$C:$FB,67)</f>
        <v>8840425</v>
      </c>
      <c r="K77" s="50">
        <f t="shared" si="5"/>
        <v>-48.156512120932803</v>
      </c>
      <c r="L77" s="50">
        <f>VLOOKUP($A77,'Data shares'!$C:$FB,118)</f>
        <v>0.34</v>
      </c>
      <c r="M77" s="50">
        <f>VLOOKUP($A77,'Data shares'!$C:$FB,119)</f>
        <v>0.5</v>
      </c>
      <c r="N77" s="50">
        <f>VLOOKUP($A77,'Data shares'!$C:$FB,121)*100</f>
        <v>-32</v>
      </c>
      <c r="O77" s="50">
        <f>VLOOKUP($A77,'Data shares'!$C:$FB,124)</f>
        <v>0.54</v>
      </c>
      <c r="P77" s="50">
        <f>VLOOKUP($A77,'Data shares'!$C:$FB,125)</f>
        <v>0.28999999999999998</v>
      </c>
      <c r="Q77" s="50">
        <f>VLOOKUP($A77,'Data shares'!$C:$FB,127)*100</f>
        <v>86.21</v>
      </c>
    </row>
    <row r="78" spans="1:17" x14ac:dyDescent="0.25">
      <c r="A78" s="97" t="str">
        <f>'Data Vlaue (Cr)'!C73</f>
        <v>GODREJCP</v>
      </c>
      <c r="B78" s="140">
        <f>VLOOKUP($A78,'Data shares'!$C:$FB,7)</f>
        <v>1031.8</v>
      </c>
      <c r="C78" s="140">
        <f>VLOOKUP($A78,'Data shares'!$C:$FB,3)</f>
        <v>1037.2</v>
      </c>
      <c r="D78" s="140">
        <f>VLOOKUP($A78,'Data shares'!$C:$FB,4)</f>
        <v>1027</v>
      </c>
      <c r="E78" s="50">
        <f t="shared" si="3"/>
        <v>0.99318403115871912</v>
      </c>
      <c r="F78" s="49">
        <f>VLOOKUP($A78,'Data shares'!$C:$FB,98)</f>
        <v>13128500</v>
      </c>
      <c r="G78" s="49">
        <f>VLOOKUP($A78,'Data shares'!$C:$FB,99)</f>
        <v>18969000</v>
      </c>
      <c r="H78" s="50">
        <f t="shared" si="4"/>
        <v>-30.789709526068847</v>
      </c>
      <c r="I78" s="49">
        <f>VLOOKUP($A78,'Data shares'!$C:$FB,66)</f>
        <v>6682000</v>
      </c>
      <c r="J78" s="49">
        <f>VLOOKUP($A78,'Data shares'!$C:$FB,67)</f>
        <v>14110000</v>
      </c>
      <c r="K78" s="50">
        <f t="shared" si="5"/>
        <v>-111.1643220592637</v>
      </c>
      <c r="L78" s="50">
        <f>VLOOKUP($A78,'Data shares'!$C:$FB,118)</f>
        <v>0.73</v>
      </c>
      <c r="M78" s="50">
        <f>VLOOKUP($A78,'Data shares'!$C:$FB,119)</f>
        <v>0.63</v>
      </c>
      <c r="N78" s="50">
        <f>VLOOKUP($A78,'Data shares'!$C:$FB,121)*100</f>
        <v>15.870000000000001</v>
      </c>
      <c r="O78" s="50">
        <f>VLOOKUP($A78,'Data shares'!$C:$FB,124)</f>
        <v>0.65</v>
      </c>
      <c r="P78" s="50">
        <f>VLOOKUP($A78,'Data shares'!$C:$FB,125)</f>
        <v>0.45</v>
      </c>
      <c r="Q78" s="50">
        <f>VLOOKUP($A78,'Data shares'!$C:$FB,127)*100</f>
        <v>44.440000000000005</v>
      </c>
    </row>
    <row r="79" spans="1:17" x14ac:dyDescent="0.25">
      <c r="A79" s="97" t="str">
        <f>'Data Vlaue (Cr)'!C74</f>
        <v>GODREJPROP</v>
      </c>
      <c r="B79" s="140">
        <f>VLOOKUP($A79,'Data shares'!$C:$FB,7)</f>
        <v>1760.2</v>
      </c>
      <c r="C79" s="140">
        <f>VLOOKUP($A79,'Data shares'!$C:$FB,3)</f>
        <v>1771.7</v>
      </c>
      <c r="D79" s="140">
        <f>VLOOKUP($A79,'Data shares'!$C:$FB,4)</f>
        <v>1779.7</v>
      </c>
      <c r="E79" s="50">
        <f t="shared" si="3"/>
        <v>-0.44951396302747648</v>
      </c>
      <c r="F79" s="49">
        <f>VLOOKUP($A79,'Data shares'!$C:$FB,98)</f>
        <v>10055250</v>
      </c>
      <c r="G79" s="49">
        <f>VLOOKUP($A79,'Data shares'!$C:$FB,99)</f>
        <v>13320700</v>
      </c>
      <c r="H79" s="50">
        <f t="shared" si="4"/>
        <v>-24.514102111750883</v>
      </c>
      <c r="I79" s="49">
        <f>VLOOKUP($A79,'Data shares'!$C:$FB,66)</f>
        <v>7513550</v>
      </c>
      <c r="J79" s="49">
        <f>VLOOKUP($A79,'Data shares'!$C:$FB,67)</f>
        <v>12365925</v>
      </c>
      <c r="K79" s="50">
        <f t="shared" si="5"/>
        <v>-64.581655808505971</v>
      </c>
      <c r="L79" s="50">
        <f>VLOOKUP($A79,'Data shares'!$C:$FB,118)</f>
        <v>0.67</v>
      </c>
      <c r="M79" s="50">
        <f>VLOOKUP($A79,'Data shares'!$C:$FB,119)</f>
        <v>0.69</v>
      </c>
      <c r="N79" s="50">
        <f>VLOOKUP($A79,'Data shares'!$C:$FB,121)*100</f>
        <v>-2.9000000000000004</v>
      </c>
      <c r="O79" s="50">
        <f>VLOOKUP($A79,'Data shares'!$C:$FB,124)</f>
        <v>0.65</v>
      </c>
      <c r="P79" s="50">
        <f>VLOOKUP($A79,'Data shares'!$C:$FB,125)</f>
        <v>0.73</v>
      </c>
      <c r="Q79" s="50">
        <f>VLOOKUP($A79,'Data shares'!$C:$FB,127)*100</f>
        <v>-10.96</v>
      </c>
    </row>
    <row r="80" spans="1:17" x14ac:dyDescent="0.25">
      <c r="A80" s="97" t="str">
        <f>'Data Vlaue (Cr)'!C75</f>
        <v>GRASIM</v>
      </c>
      <c r="B80" s="140">
        <f>VLOOKUP($A80,'Data shares'!$C:$FB,7)</f>
        <v>3165</v>
      </c>
      <c r="C80" s="140">
        <f>VLOOKUP($A80,'Data shares'!$C:$FB,3)</f>
        <v>3187.3</v>
      </c>
      <c r="D80" s="140">
        <f>VLOOKUP($A80,'Data shares'!$C:$FB,4)</f>
        <v>3192.2</v>
      </c>
      <c r="E80" s="50">
        <f t="shared" si="3"/>
        <v>-0.15349915418832266</v>
      </c>
      <c r="F80" s="49">
        <f>VLOOKUP($A80,'Data shares'!$C:$FB,98)</f>
        <v>16942500</v>
      </c>
      <c r="G80" s="49">
        <f>VLOOKUP($A80,'Data shares'!$C:$FB,99)</f>
        <v>21216000</v>
      </c>
      <c r="H80" s="50">
        <f t="shared" si="4"/>
        <v>-20.14281674208145</v>
      </c>
      <c r="I80" s="49">
        <f>VLOOKUP($A80,'Data shares'!$C:$FB,66)</f>
        <v>9102750</v>
      </c>
      <c r="J80" s="49">
        <f>VLOOKUP($A80,'Data shares'!$C:$FB,67)</f>
        <v>14635250</v>
      </c>
      <c r="K80" s="50">
        <f t="shared" si="5"/>
        <v>-60.778336217077253</v>
      </c>
      <c r="L80" s="50">
        <f>VLOOKUP($A80,'Data shares'!$C:$FB,118)</f>
        <v>1.08</v>
      </c>
      <c r="M80" s="50">
        <f>VLOOKUP($A80,'Data shares'!$C:$FB,119)</f>
        <v>1.1200000000000001</v>
      </c>
      <c r="N80" s="50">
        <f>VLOOKUP($A80,'Data shares'!$C:$FB,121)*100</f>
        <v>-3.5700000000000003</v>
      </c>
      <c r="O80" s="50">
        <f>VLOOKUP($A80,'Data shares'!$C:$FB,124)</f>
        <v>0.72</v>
      </c>
      <c r="P80" s="50">
        <f>VLOOKUP($A80,'Data shares'!$C:$FB,125)</f>
        <v>0.84</v>
      </c>
      <c r="Q80" s="50">
        <f>VLOOKUP($A80,'Data shares'!$C:$FB,127)*100</f>
        <v>-14.29</v>
      </c>
    </row>
    <row r="81" spans="1:17" x14ac:dyDescent="0.25">
      <c r="A81" s="97" t="str">
        <f>'Data Vlaue (Cr)'!C76</f>
        <v>HAL</v>
      </c>
      <c r="B81" s="140">
        <f>VLOOKUP($A81,'Data shares'!$C:$FB,7)</f>
        <v>4427.7</v>
      </c>
      <c r="C81" s="140">
        <f>VLOOKUP($A81,'Data shares'!$C:$FB,3)</f>
        <v>4460.3999999999996</v>
      </c>
      <c r="D81" s="140">
        <f>VLOOKUP($A81,'Data shares'!$C:$FB,4)</f>
        <v>4451.2</v>
      </c>
      <c r="E81" s="50">
        <f t="shared" si="3"/>
        <v>0.20668583752695494</v>
      </c>
      <c r="F81" s="49">
        <f>VLOOKUP($A81,'Data shares'!$C:$FB,98)</f>
        <v>9368250</v>
      </c>
      <c r="G81" s="49">
        <f>VLOOKUP($A81,'Data shares'!$C:$FB,99)</f>
        <v>13917900</v>
      </c>
      <c r="H81" s="50">
        <f t="shared" si="4"/>
        <v>-32.689198801543334</v>
      </c>
      <c r="I81" s="49">
        <f>VLOOKUP($A81,'Data shares'!$C:$FB,66)</f>
        <v>9536850</v>
      </c>
      <c r="J81" s="49">
        <f>VLOOKUP($A81,'Data shares'!$C:$FB,67)</f>
        <v>16068300</v>
      </c>
      <c r="K81" s="50">
        <f t="shared" si="5"/>
        <v>-68.486449928435491</v>
      </c>
      <c r="L81" s="50">
        <f>VLOOKUP($A81,'Data shares'!$C:$FB,118)</f>
        <v>0.81</v>
      </c>
      <c r="M81" s="50">
        <f>VLOOKUP($A81,'Data shares'!$C:$FB,119)</f>
        <v>0.64</v>
      </c>
      <c r="N81" s="50">
        <f>VLOOKUP($A81,'Data shares'!$C:$FB,121)*100</f>
        <v>26.56</v>
      </c>
      <c r="O81" s="50">
        <f>VLOOKUP($A81,'Data shares'!$C:$FB,124)</f>
        <v>0.56000000000000005</v>
      </c>
      <c r="P81" s="50">
        <f>VLOOKUP($A81,'Data shares'!$C:$FB,125)</f>
        <v>0.47</v>
      </c>
      <c r="Q81" s="50">
        <f>VLOOKUP($A81,'Data shares'!$C:$FB,127)*100</f>
        <v>19.149999999999999</v>
      </c>
    </row>
    <row r="82" spans="1:17" x14ac:dyDescent="0.25">
      <c r="A82" s="97" t="str">
        <f>'Data Vlaue (Cr)'!C77</f>
        <v>HAVELLS</v>
      </c>
      <c r="B82" s="140">
        <f>VLOOKUP($A82,'Data shares'!$C:$FB,7)</f>
        <v>1201</v>
      </c>
      <c r="C82" s="140">
        <f>VLOOKUP($A82,'Data shares'!$C:$FB,3)</f>
        <v>1211</v>
      </c>
      <c r="D82" s="140">
        <f>VLOOKUP($A82,'Data shares'!$C:$FB,4)</f>
        <v>1212.7</v>
      </c>
      <c r="E82" s="50">
        <f t="shared" si="3"/>
        <v>-0.14018306258761815</v>
      </c>
      <c r="F82" s="49">
        <f>VLOOKUP($A82,'Data shares'!$C:$FB,98)</f>
        <v>11775500</v>
      </c>
      <c r="G82" s="49">
        <f>VLOOKUP($A82,'Data shares'!$C:$FB,99)</f>
        <v>17417500</v>
      </c>
      <c r="H82" s="50">
        <f t="shared" si="4"/>
        <v>-32.392708482847709</v>
      </c>
      <c r="I82" s="49">
        <f>VLOOKUP($A82,'Data shares'!$C:$FB,66)</f>
        <v>10769500</v>
      </c>
      <c r="J82" s="49">
        <f>VLOOKUP($A82,'Data shares'!$C:$FB,67)</f>
        <v>8173000</v>
      </c>
      <c r="K82" s="50">
        <f t="shared" si="5"/>
        <v>24.109754398997168</v>
      </c>
      <c r="L82" s="50">
        <f>VLOOKUP($A82,'Data shares'!$C:$FB,118)</f>
        <v>0.74</v>
      </c>
      <c r="M82" s="50">
        <f>VLOOKUP($A82,'Data shares'!$C:$FB,119)</f>
        <v>0.47</v>
      </c>
      <c r="N82" s="50">
        <f>VLOOKUP($A82,'Data shares'!$C:$FB,121)*100</f>
        <v>57.45</v>
      </c>
      <c r="O82" s="50">
        <f>VLOOKUP($A82,'Data shares'!$C:$FB,124)</f>
        <v>1.37</v>
      </c>
      <c r="P82" s="50">
        <f>VLOOKUP($A82,'Data shares'!$C:$FB,125)</f>
        <v>0.38</v>
      </c>
      <c r="Q82" s="50">
        <f>VLOOKUP($A82,'Data shares'!$C:$FB,127)*100</f>
        <v>260.53000000000003</v>
      </c>
    </row>
    <row r="83" spans="1:17" x14ac:dyDescent="0.25">
      <c r="A83" s="97" t="str">
        <f>'Data Vlaue (Cr)'!C78</f>
        <v>HCLTECH</v>
      </c>
      <c r="B83" s="140">
        <f>VLOOKUP($A83,'Data shares'!$C:$FB,7)</f>
        <v>1161.9000000000001</v>
      </c>
      <c r="C83" s="140">
        <f>VLOOKUP($A83,'Data shares'!$C:$FB,3)</f>
        <v>1161.3</v>
      </c>
      <c r="D83" s="140">
        <f>VLOOKUP($A83,'Data shares'!$C:$FB,4)</f>
        <v>1154.3</v>
      </c>
      <c r="E83" s="50">
        <f t="shared" si="3"/>
        <v>0.60642813826561559</v>
      </c>
      <c r="F83" s="49">
        <f>VLOOKUP($A83,'Data shares'!$C:$FB,98)</f>
        <v>47429400</v>
      </c>
      <c r="G83" s="49">
        <f>VLOOKUP($A83,'Data shares'!$C:$FB,99)</f>
        <v>78039050</v>
      </c>
      <c r="H83" s="50">
        <f t="shared" si="4"/>
        <v>-39.223504130303994</v>
      </c>
      <c r="I83" s="49">
        <f>VLOOKUP($A83,'Data shares'!$C:$FB,66)</f>
        <v>26512150</v>
      </c>
      <c r="J83" s="49">
        <f>VLOOKUP($A83,'Data shares'!$C:$FB,67)</f>
        <v>57250550</v>
      </c>
      <c r="K83" s="50">
        <f t="shared" si="5"/>
        <v>-115.94080449906929</v>
      </c>
      <c r="L83" s="50">
        <f>VLOOKUP($A83,'Data shares'!$C:$FB,118)</f>
        <v>0.75</v>
      </c>
      <c r="M83" s="50">
        <f>VLOOKUP($A83,'Data shares'!$C:$FB,119)</f>
        <v>0.43</v>
      </c>
      <c r="N83" s="50">
        <f>VLOOKUP($A83,'Data shares'!$C:$FB,121)*100</f>
        <v>74.42</v>
      </c>
      <c r="O83" s="50">
        <f>VLOOKUP($A83,'Data shares'!$C:$FB,124)</f>
        <v>0.47</v>
      </c>
      <c r="P83" s="50">
        <f>VLOOKUP($A83,'Data shares'!$C:$FB,125)</f>
        <v>0.52</v>
      </c>
      <c r="Q83" s="50">
        <f>VLOOKUP($A83,'Data shares'!$C:$FB,127)*100</f>
        <v>-9.6199999999999992</v>
      </c>
    </row>
    <row r="84" spans="1:17" x14ac:dyDescent="0.25">
      <c r="A84" s="97" t="str">
        <f>'Data Vlaue (Cr)'!C79</f>
        <v>HDFCAMC</v>
      </c>
      <c r="B84" s="140">
        <f>VLOOKUP($A84,'Data shares'!$C:$FB,7)</f>
        <v>2739.8</v>
      </c>
      <c r="C84" s="140">
        <f>VLOOKUP($A84,'Data shares'!$C:$FB,3)</f>
        <v>2755.1</v>
      </c>
      <c r="D84" s="140">
        <f>VLOOKUP($A84,'Data shares'!$C:$FB,4)</f>
        <v>2780.7</v>
      </c>
      <c r="E84" s="50">
        <f t="shared" si="3"/>
        <v>-0.92063149566655555</v>
      </c>
      <c r="F84" s="49">
        <f>VLOOKUP($A84,'Data shares'!$C:$FB,98)</f>
        <v>7494600</v>
      </c>
      <c r="G84" s="49">
        <f>VLOOKUP($A84,'Data shares'!$C:$FB,99)</f>
        <v>9938700</v>
      </c>
      <c r="H84" s="50">
        <f t="shared" si="4"/>
        <v>-24.591747411633314</v>
      </c>
      <c r="I84" s="49">
        <f>VLOOKUP($A84,'Data shares'!$C:$FB,66)</f>
        <v>3793500</v>
      </c>
      <c r="J84" s="49">
        <f>VLOOKUP($A84,'Data shares'!$C:$FB,67)</f>
        <v>10470600</v>
      </c>
      <c r="K84" s="50">
        <f t="shared" si="5"/>
        <v>-176.01423487544483</v>
      </c>
      <c r="L84" s="50">
        <f>VLOOKUP($A84,'Data shares'!$C:$FB,118)</f>
        <v>0.65</v>
      </c>
      <c r="M84" s="50">
        <f>VLOOKUP($A84,'Data shares'!$C:$FB,119)</f>
        <v>0.67</v>
      </c>
      <c r="N84" s="50">
        <f>VLOOKUP($A84,'Data shares'!$C:$FB,121)*100</f>
        <v>-2.9899999999999998</v>
      </c>
      <c r="O84" s="50">
        <f>VLOOKUP($A84,'Data shares'!$C:$FB,124)</f>
        <v>0.55000000000000004</v>
      </c>
      <c r="P84" s="50">
        <f>VLOOKUP($A84,'Data shares'!$C:$FB,125)</f>
        <v>0.16</v>
      </c>
      <c r="Q84" s="50">
        <f>VLOOKUP($A84,'Data shares'!$C:$FB,127)*100</f>
        <v>243.75</v>
      </c>
    </row>
    <row r="85" spans="1:17" x14ac:dyDescent="0.25">
      <c r="A85" s="97" t="str">
        <f>'Data Vlaue (Cr)'!C80</f>
        <v>HDFCBANK</v>
      </c>
      <c r="B85" s="140">
        <f>VLOOKUP($A85,'Data shares'!$C:$FB,7)</f>
        <v>778.9</v>
      </c>
      <c r="C85" s="140">
        <f>VLOOKUP($A85,'Data shares'!$C:$FB,3)</f>
        <v>771.85</v>
      </c>
      <c r="D85" s="140">
        <f>VLOOKUP($A85,'Data shares'!$C:$FB,4)</f>
        <v>779.45</v>
      </c>
      <c r="E85" s="50">
        <f t="shared" si="3"/>
        <v>-0.9750465071524822</v>
      </c>
      <c r="F85" s="49">
        <f>VLOOKUP($A85,'Data shares'!$C:$FB,98)</f>
        <v>427880700</v>
      </c>
      <c r="G85" s="49">
        <f>VLOOKUP($A85,'Data shares'!$C:$FB,99)</f>
        <v>490120000</v>
      </c>
      <c r="H85" s="50">
        <f t="shared" si="4"/>
        <v>-12.698788051905655</v>
      </c>
      <c r="I85" s="49">
        <f>VLOOKUP($A85,'Data shares'!$C:$FB,66)</f>
        <v>185354400</v>
      </c>
      <c r="J85" s="49">
        <f>VLOOKUP($A85,'Data shares'!$C:$FB,67)</f>
        <v>333091000</v>
      </c>
      <c r="K85" s="50">
        <f t="shared" si="5"/>
        <v>-79.704932820585867</v>
      </c>
      <c r="L85" s="50">
        <f>VLOOKUP($A85,'Data shares'!$C:$FB,118)</f>
        <v>0.62</v>
      </c>
      <c r="M85" s="50">
        <f>VLOOKUP($A85,'Data shares'!$C:$FB,119)</f>
        <v>0.67</v>
      </c>
      <c r="N85" s="50">
        <f>VLOOKUP($A85,'Data shares'!$C:$FB,121)*100</f>
        <v>-7.46</v>
      </c>
      <c r="O85" s="50">
        <f>VLOOKUP($A85,'Data shares'!$C:$FB,124)</f>
        <v>0.55000000000000004</v>
      </c>
      <c r="P85" s="50">
        <f>VLOOKUP($A85,'Data shares'!$C:$FB,125)</f>
        <v>0.56000000000000005</v>
      </c>
      <c r="Q85" s="50">
        <f>VLOOKUP($A85,'Data shares'!$C:$FB,127)*100</f>
        <v>-1.79</v>
      </c>
    </row>
    <row r="86" spans="1:17" x14ac:dyDescent="0.25">
      <c r="A86" s="97" t="str">
        <f>'Data Vlaue (Cr)'!C81</f>
        <v>HDFCLIFE</v>
      </c>
      <c r="B86" s="140">
        <f>VLOOKUP($A86,'Data shares'!$C:$FB,7)</f>
        <v>618.85</v>
      </c>
      <c r="C86" s="140">
        <f>VLOOKUP($A86,'Data shares'!$C:$FB,3)</f>
        <v>620.25</v>
      </c>
      <c r="D86" s="140">
        <f>VLOOKUP($A86,'Data shares'!$C:$FB,4)</f>
        <v>621.54999999999995</v>
      </c>
      <c r="E86" s="50">
        <f t="shared" si="3"/>
        <v>-0.20915453302227568</v>
      </c>
      <c r="F86" s="49">
        <f>VLOOKUP($A86,'Data shares'!$C:$FB,98)</f>
        <v>63605300</v>
      </c>
      <c r="G86" s="49">
        <f>VLOOKUP($A86,'Data shares'!$C:$FB,99)</f>
        <v>93242600</v>
      </c>
      <c r="H86" s="50">
        <f t="shared" si="4"/>
        <v>-31.785149706250149</v>
      </c>
      <c r="I86" s="49">
        <f>VLOOKUP($A86,'Data shares'!$C:$FB,66)</f>
        <v>29825400</v>
      </c>
      <c r="J86" s="49">
        <f>VLOOKUP($A86,'Data shares'!$C:$FB,67)</f>
        <v>46563000</v>
      </c>
      <c r="K86" s="50">
        <f t="shared" si="5"/>
        <v>-56.118610312015939</v>
      </c>
      <c r="L86" s="50">
        <f>VLOOKUP($A86,'Data shares'!$C:$FB,118)</f>
        <v>0.75</v>
      </c>
      <c r="M86" s="50">
        <f>VLOOKUP($A86,'Data shares'!$C:$FB,119)</f>
        <v>0.7</v>
      </c>
      <c r="N86" s="50">
        <f>VLOOKUP($A86,'Data shares'!$C:$FB,121)*100</f>
        <v>7.1400000000000006</v>
      </c>
      <c r="O86" s="50">
        <f>VLOOKUP($A86,'Data shares'!$C:$FB,124)</f>
        <v>0.51</v>
      </c>
      <c r="P86" s="50">
        <f>VLOOKUP($A86,'Data shares'!$C:$FB,125)</f>
        <v>0.59</v>
      </c>
      <c r="Q86" s="50">
        <f>VLOOKUP($A86,'Data shares'!$C:$FB,127)*100</f>
        <v>-13.56</v>
      </c>
    </row>
    <row r="87" spans="1:17" x14ac:dyDescent="0.25">
      <c r="A87" s="97" t="str">
        <f>'Data Vlaue (Cr)'!C82</f>
        <v>HEROMOTOCO</v>
      </c>
      <c r="B87" s="140">
        <f>VLOOKUP($A87,'Data shares'!$C:$FB,7)</f>
        <v>4983</v>
      </c>
      <c r="C87" s="140">
        <f>VLOOKUP($A87,'Data shares'!$C:$FB,3)</f>
        <v>5014</v>
      </c>
      <c r="D87" s="140">
        <f>VLOOKUP($A87,'Data shares'!$C:$FB,4)</f>
        <v>5018</v>
      </c>
      <c r="E87" s="50">
        <f t="shared" si="3"/>
        <v>-7.9713033080908727E-2</v>
      </c>
      <c r="F87" s="49">
        <f>VLOOKUP($A87,'Data shares'!$C:$FB,98)</f>
        <v>5807850</v>
      </c>
      <c r="G87" s="49">
        <f>VLOOKUP($A87,'Data shares'!$C:$FB,99)</f>
        <v>9136650</v>
      </c>
      <c r="H87" s="50">
        <f t="shared" si="4"/>
        <v>-36.433484920621886</v>
      </c>
      <c r="I87" s="49">
        <f>VLOOKUP($A87,'Data shares'!$C:$FB,66)</f>
        <v>6553200</v>
      </c>
      <c r="J87" s="49">
        <f>VLOOKUP($A87,'Data shares'!$C:$FB,67)</f>
        <v>9382350</v>
      </c>
      <c r="K87" s="50">
        <f t="shared" si="5"/>
        <v>-43.172038088262219</v>
      </c>
      <c r="L87" s="50">
        <f>VLOOKUP($A87,'Data shares'!$C:$FB,118)</f>
        <v>0.54</v>
      </c>
      <c r="M87" s="50">
        <f>VLOOKUP($A87,'Data shares'!$C:$FB,119)</f>
        <v>0.59</v>
      </c>
      <c r="N87" s="50">
        <f>VLOOKUP($A87,'Data shares'!$C:$FB,121)*100</f>
        <v>-8.4699999999999989</v>
      </c>
      <c r="O87" s="50">
        <f>VLOOKUP($A87,'Data shares'!$C:$FB,124)</f>
        <v>0.32</v>
      </c>
      <c r="P87" s="50">
        <f>VLOOKUP($A87,'Data shares'!$C:$FB,125)</f>
        <v>0.33</v>
      </c>
      <c r="Q87" s="50">
        <f>VLOOKUP($A87,'Data shares'!$C:$FB,127)*100</f>
        <v>-3.0300000000000002</v>
      </c>
    </row>
    <row r="88" spans="1:17" x14ac:dyDescent="0.25">
      <c r="A88" s="97" t="str">
        <f>'Data Vlaue (Cr)'!C83</f>
        <v>HINDALCO</v>
      </c>
      <c r="B88" s="140">
        <f>VLOOKUP($A88,'Data shares'!$C:$FB,7)</f>
        <v>1103.8</v>
      </c>
      <c r="C88" s="140">
        <f>VLOOKUP($A88,'Data shares'!$C:$FB,3)</f>
        <v>1114</v>
      </c>
      <c r="D88" s="140">
        <f>VLOOKUP($A88,'Data shares'!$C:$FB,4)</f>
        <v>1105.4000000000001</v>
      </c>
      <c r="E88" s="50">
        <f t="shared" si="3"/>
        <v>0.77799891442011115</v>
      </c>
      <c r="F88" s="140">
        <f>VLOOKUP($A88,'Data shares'!$C:$FB,98)</f>
        <v>42738500</v>
      </c>
      <c r="G88" s="140">
        <f>VLOOKUP($A88,'Data shares'!$C:$FB,99)</f>
        <v>56735700</v>
      </c>
      <c r="H88" s="50">
        <f t="shared" si="4"/>
        <v>-24.670886232125451</v>
      </c>
      <c r="I88" s="49">
        <f>VLOOKUP($A88,'Data shares'!$C:$FB,66)</f>
        <v>42972300</v>
      </c>
      <c r="J88" s="49">
        <f>VLOOKUP($A88,'Data shares'!$C:$FB,67)</f>
        <v>123297300</v>
      </c>
      <c r="K88" s="50">
        <f t="shared" si="5"/>
        <v>-186.92273860137809</v>
      </c>
      <c r="L88" s="50">
        <f>VLOOKUP($A88,'Data shares'!$C:$FB,118)</f>
        <v>0.64</v>
      </c>
      <c r="M88" s="50">
        <f>VLOOKUP($A88,'Data shares'!$C:$FB,119)</f>
        <v>0.86</v>
      </c>
      <c r="N88" s="50">
        <f>VLOOKUP($A88,'Data shares'!$C:$FB,121)*100</f>
        <v>-25.580000000000002</v>
      </c>
      <c r="O88" s="50">
        <f>VLOOKUP($A88,'Data shares'!$C:$FB,124)</f>
        <v>0.56999999999999995</v>
      </c>
      <c r="P88" s="50">
        <f>VLOOKUP($A88,'Data shares'!$C:$FB,125)</f>
        <v>0.57999999999999996</v>
      </c>
      <c r="Q88" s="50">
        <f>VLOOKUP($A88,'Data shares'!$C:$FB,127)*100</f>
        <v>-1.72</v>
      </c>
    </row>
    <row r="89" spans="1:17" x14ac:dyDescent="0.25">
      <c r="A89" s="97" t="str">
        <f>'Data Vlaue (Cr)'!C84</f>
        <v>HINDPETRO</v>
      </c>
      <c r="B89" s="140">
        <f>VLOOKUP($A89,'Data shares'!$C:$FB,7)</f>
        <v>398</v>
      </c>
      <c r="C89" s="140">
        <f>VLOOKUP($A89,'Data shares'!$C:$FB,3)</f>
        <v>400.55</v>
      </c>
      <c r="D89" s="140">
        <f>VLOOKUP($A89,'Data shares'!$C:$FB,4)</f>
        <v>406.4</v>
      </c>
      <c r="E89" s="50">
        <f t="shared" si="3"/>
        <v>-1.4394685039369997</v>
      </c>
      <c r="F89" s="49">
        <f>VLOOKUP($A89,'Data shares'!$C:$FB,98)</f>
        <v>46921275</v>
      </c>
      <c r="G89" s="49">
        <f>VLOOKUP($A89,'Data shares'!$C:$FB,99)</f>
        <v>69370425</v>
      </c>
      <c r="H89" s="50">
        <f t="shared" si="4"/>
        <v>-32.361269229646496</v>
      </c>
      <c r="I89" s="49">
        <f>VLOOKUP($A89,'Data shares'!$C:$FB,66)</f>
        <v>34556625</v>
      </c>
      <c r="J89" s="49">
        <f>VLOOKUP($A89,'Data shares'!$C:$FB,67)</f>
        <v>115520175</v>
      </c>
      <c r="K89" s="50">
        <f t="shared" si="5"/>
        <v>-234.29241136829768</v>
      </c>
      <c r="L89" s="50">
        <f>VLOOKUP($A89,'Data shares'!$C:$FB,118)</f>
        <v>0.75</v>
      </c>
      <c r="M89" s="50">
        <f>VLOOKUP($A89,'Data shares'!$C:$FB,119)</f>
        <v>0.86</v>
      </c>
      <c r="N89" s="50">
        <f>VLOOKUP($A89,'Data shares'!$C:$FB,121)*100</f>
        <v>-12.790000000000001</v>
      </c>
      <c r="O89" s="50">
        <f>VLOOKUP($A89,'Data shares'!$C:$FB,124)</f>
        <v>0.74</v>
      </c>
      <c r="P89" s="50">
        <f>VLOOKUP($A89,'Data shares'!$C:$FB,125)</f>
        <v>0.41</v>
      </c>
      <c r="Q89" s="50">
        <f>VLOOKUP($A89,'Data shares'!$C:$FB,127)*100</f>
        <v>80.489999999999995</v>
      </c>
    </row>
    <row r="90" spans="1:17" x14ac:dyDescent="0.25">
      <c r="A90" s="97" t="str">
        <f>'Data Vlaue (Cr)'!C85</f>
        <v>HINDUNILVR</v>
      </c>
      <c r="B90" s="140">
        <f>VLOOKUP($A90,'Data shares'!$C:$FB,7)</f>
        <v>2209.4</v>
      </c>
      <c r="C90" s="140">
        <f>VLOOKUP($A90,'Data shares'!$C:$FB,3)</f>
        <v>2195.1</v>
      </c>
      <c r="D90" s="140">
        <f>VLOOKUP($A90,'Data shares'!$C:$FB,4)</f>
        <v>2193</v>
      </c>
      <c r="E90" s="50">
        <f t="shared" si="3"/>
        <v>9.5759233926124454E-2</v>
      </c>
      <c r="F90" s="49">
        <f>VLOOKUP($A90,'Data shares'!$C:$FB,98)</f>
        <v>21510300</v>
      </c>
      <c r="G90" s="49">
        <f>VLOOKUP($A90,'Data shares'!$C:$FB,99)</f>
        <v>33523800</v>
      </c>
      <c r="H90" s="50">
        <f t="shared" si="4"/>
        <v>-35.835734612424609</v>
      </c>
      <c r="I90" s="49">
        <f>VLOOKUP($A90,'Data shares'!$C:$FB,66)</f>
        <v>14543400</v>
      </c>
      <c r="J90" s="49">
        <f>VLOOKUP($A90,'Data shares'!$C:$FB,67)</f>
        <v>20222700</v>
      </c>
      <c r="K90" s="50">
        <f t="shared" si="5"/>
        <v>-39.050703411856922</v>
      </c>
      <c r="L90" s="50">
        <f>VLOOKUP($A90,'Data shares'!$C:$FB,118)</f>
        <v>0.55000000000000004</v>
      </c>
      <c r="M90" s="50">
        <f>VLOOKUP($A90,'Data shares'!$C:$FB,119)</f>
        <v>0.48</v>
      </c>
      <c r="N90" s="50">
        <f>VLOOKUP($A90,'Data shares'!$C:$FB,121)*100</f>
        <v>14.580000000000002</v>
      </c>
      <c r="O90" s="50">
        <f>VLOOKUP($A90,'Data shares'!$C:$FB,124)</f>
        <v>0.6</v>
      </c>
      <c r="P90" s="50">
        <f>VLOOKUP($A90,'Data shares'!$C:$FB,125)</f>
        <v>0.53</v>
      </c>
      <c r="Q90" s="50">
        <f>VLOOKUP($A90,'Data shares'!$C:$FB,127)*100</f>
        <v>13.209999999999999</v>
      </c>
    </row>
    <row r="91" spans="1:17" x14ac:dyDescent="0.25">
      <c r="A91" s="97" t="str">
        <f>'Data Vlaue (Cr)'!C86</f>
        <v>HINDZINC</v>
      </c>
      <c r="B91" s="140">
        <f>VLOOKUP($A91,'Data shares'!$C:$FB,7)</f>
        <v>647.4</v>
      </c>
      <c r="C91" s="140">
        <f>VLOOKUP($A91,'Data shares'!$C:$FB,3)</f>
        <v>650.70000000000005</v>
      </c>
      <c r="D91" s="140">
        <f>VLOOKUP($A91,'Data shares'!$C:$FB,4)</f>
        <v>639.79999999999995</v>
      </c>
      <c r="E91" s="50">
        <f t="shared" si="3"/>
        <v>1.7036573929353067</v>
      </c>
      <c r="F91" s="49">
        <f>VLOOKUP($A91,'Data shares'!$C:$FB,98)</f>
        <v>50928150</v>
      </c>
      <c r="G91" s="49">
        <f>VLOOKUP($A91,'Data shares'!$C:$FB,99)</f>
        <v>75042275</v>
      </c>
      <c r="H91" s="50">
        <f t="shared" si="4"/>
        <v>-32.134053771690688</v>
      </c>
      <c r="I91" s="49">
        <f>VLOOKUP($A91,'Data shares'!$C:$FB,66)</f>
        <v>62138125</v>
      </c>
      <c r="J91" s="49">
        <f>VLOOKUP($A91,'Data shares'!$C:$FB,67)</f>
        <v>74755625</v>
      </c>
      <c r="K91" s="50">
        <f t="shared" si="5"/>
        <v>-20.305569245933956</v>
      </c>
      <c r="L91" s="50">
        <f>VLOOKUP($A91,'Data shares'!$C:$FB,118)</f>
        <v>0.7</v>
      </c>
      <c r="M91" s="50">
        <f>VLOOKUP($A91,'Data shares'!$C:$FB,119)</f>
        <v>0.73</v>
      </c>
      <c r="N91" s="50">
        <f>VLOOKUP($A91,'Data shares'!$C:$FB,121)*100</f>
        <v>-4.1099999999999994</v>
      </c>
      <c r="O91" s="50">
        <f>VLOOKUP($A91,'Data shares'!$C:$FB,124)</f>
        <v>0.49</v>
      </c>
      <c r="P91" s="50">
        <f>VLOOKUP($A91,'Data shares'!$C:$FB,125)</f>
        <v>0.34</v>
      </c>
      <c r="Q91" s="50">
        <f>VLOOKUP($A91,'Data shares'!$C:$FB,127)*100</f>
        <v>44.12</v>
      </c>
    </row>
    <row r="92" spans="1:17" x14ac:dyDescent="0.25">
      <c r="A92" s="97" t="str">
        <f>'Data Vlaue (Cr)'!C87</f>
        <v>HYUNDAI</v>
      </c>
      <c r="B92" s="140">
        <f>VLOOKUP($A92,'Data shares'!$C:$FB,7)</f>
        <v>1884</v>
      </c>
      <c r="C92" s="140">
        <f>VLOOKUP($A92,'Data shares'!$C:$FB,3)</f>
        <v>1897.4</v>
      </c>
      <c r="D92" s="140">
        <f>VLOOKUP($A92,'Data shares'!$C:$FB,4)</f>
        <v>1891.2</v>
      </c>
      <c r="E92" s="50">
        <f t="shared" si="3"/>
        <v>0.32783417935702441</v>
      </c>
      <c r="F92" s="49">
        <f>VLOOKUP($A92,'Data shares'!$C:$FB,98)</f>
        <v>11388025</v>
      </c>
      <c r="G92" s="49">
        <f>VLOOKUP($A92,'Data shares'!$C:$FB,99)</f>
        <v>14183125</v>
      </c>
      <c r="H92" s="50">
        <f t="shared" si="4"/>
        <v>-19.707222491517207</v>
      </c>
      <c r="I92" s="49">
        <f>VLOOKUP($A92,'Data shares'!$C:$FB,66)</f>
        <v>4778950</v>
      </c>
      <c r="J92" s="49">
        <f>VLOOKUP($A92,'Data shares'!$C:$FB,67)</f>
        <v>13413125</v>
      </c>
      <c r="K92" s="50">
        <f t="shared" si="5"/>
        <v>-180.67096328691449</v>
      </c>
      <c r="L92" s="50">
        <f>VLOOKUP($A92,'Data shares'!$C:$FB,118)</f>
        <v>0.73</v>
      </c>
      <c r="M92" s="50">
        <f>VLOOKUP($A92,'Data shares'!$C:$FB,119)</f>
        <v>0.76</v>
      </c>
      <c r="N92" s="50">
        <f>VLOOKUP($A92,'Data shares'!$C:$FB,121)*100</f>
        <v>-3.95</v>
      </c>
      <c r="O92" s="50">
        <f>VLOOKUP($A92,'Data shares'!$C:$FB,124)</f>
        <v>0.36</v>
      </c>
      <c r="P92" s="50">
        <f>VLOOKUP($A92,'Data shares'!$C:$FB,125)</f>
        <v>0.31</v>
      </c>
      <c r="Q92" s="50">
        <f>VLOOKUP($A92,'Data shares'!$C:$FB,127)*100</f>
        <v>16.13</v>
      </c>
    </row>
    <row r="93" spans="1:17" x14ac:dyDescent="0.25">
      <c r="A93" s="97" t="str">
        <f>'Data Vlaue (Cr)'!C88</f>
        <v>ICICIBANK</v>
      </c>
      <c r="B93" s="140">
        <f>VLOOKUP($A93,'Data shares'!$C:$FB,7)</f>
        <v>1279.0999999999999</v>
      </c>
      <c r="C93" s="140">
        <f>VLOOKUP($A93,'Data shares'!$C:$FB,3)</f>
        <v>1290.2</v>
      </c>
      <c r="D93" s="140">
        <f>VLOOKUP($A93,'Data shares'!$C:$FB,4)</f>
        <v>1300.3</v>
      </c>
      <c r="E93" s="50">
        <f t="shared" si="3"/>
        <v>-0.77674382834729749</v>
      </c>
      <c r="F93" s="49">
        <f>VLOOKUP($A93,'Data shares'!$C:$FB,98)</f>
        <v>184001300</v>
      </c>
      <c r="G93" s="49">
        <f>VLOOKUP($A93,'Data shares'!$C:$FB,99)</f>
        <v>225451100</v>
      </c>
      <c r="H93" s="50">
        <f t="shared" si="4"/>
        <v>-18.385272903968978</v>
      </c>
      <c r="I93" s="49">
        <f>VLOOKUP($A93,'Data shares'!$C:$FB,66)</f>
        <v>117523700</v>
      </c>
      <c r="J93" s="49">
        <f>VLOOKUP($A93,'Data shares'!$C:$FB,67)</f>
        <v>190026200</v>
      </c>
      <c r="K93" s="50">
        <f t="shared" si="5"/>
        <v>-61.691811949419559</v>
      </c>
      <c r="L93" s="50">
        <f>VLOOKUP($A93,'Data shares'!$C:$FB,118)</f>
        <v>1.07</v>
      </c>
      <c r="M93" s="50">
        <f>VLOOKUP($A93,'Data shares'!$C:$FB,119)</f>
        <v>0.76</v>
      </c>
      <c r="N93" s="50">
        <f>VLOOKUP($A93,'Data shares'!$C:$FB,121)*100</f>
        <v>40.79</v>
      </c>
      <c r="O93" s="50">
        <f>VLOOKUP($A93,'Data shares'!$C:$FB,124)</f>
        <v>0.68</v>
      </c>
      <c r="P93" s="50">
        <f>VLOOKUP($A93,'Data shares'!$C:$FB,125)</f>
        <v>0.59</v>
      </c>
      <c r="Q93" s="50">
        <f>VLOOKUP($A93,'Data shares'!$C:$FB,127)*100</f>
        <v>15.25</v>
      </c>
    </row>
    <row r="94" spans="1:17" x14ac:dyDescent="0.25">
      <c r="A94" s="97" t="str">
        <f>'Data Vlaue (Cr)'!C89</f>
        <v>ICICIGI</v>
      </c>
      <c r="B94" s="140">
        <f>VLOOKUP($A94,'Data shares'!$C:$FB,7)</f>
        <v>1860.3</v>
      </c>
      <c r="C94" s="140">
        <f>VLOOKUP($A94,'Data shares'!$C:$FB,3)</f>
        <v>1866.6</v>
      </c>
      <c r="D94" s="140">
        <f>VLOOKUP($A94,'Data shares'!$C:$FB,4)</f>
        <v>1862.9</v>
      </c>
      <c r="E94" s="50">
        <f t="shared" si="3"/>
        <v>0.19861506253689507</v>
      </c>
      <c r="F94" s="49">
        <f>VLOOKUP($A94,'Data shares'!$C:$FB,98)</f>
        <v>5092100</v>
      </c>
      <c r="G94" s="49">
        <f>VLOOKUP($A94,'Data shares'!$C:$FB,99)</f>
        <v>6505850</v>
      </c>
      <c r="H94" s="50">
        <f t="shared" si="4"/>
        <v>-21.730442601658506</v>
      </c>
      <c r="I94" s="49">
        <f>VLOOKUP($A94,'Data shares'!$C:$FB,66)</f>
        <v>4391400</v>
      </c>
      <c r="J94" s="49">
        <f>VLOOKUP($A94,'Data shares'!$C:$FB,67)</f>
        <v>3858400</v>
      </c>
      <c r="K94" s="50">
        <f t="shared" si="5"/>
        <v>12.137359384251036</v>
      </c>
      <c r="L94" s="50">
        <f>VLOOKUP($A94,'Data shares'!$C:$FB,118)</f>
        <v>0.64</v>
      </c>
      <c r="M94" s="50">
        <f>VLOOKUP($A94,'Data shares'!$C:$FB,119)</f>
        <v>0.43</v>
      </c>
      <c r="N94" s="50">
        <f>VLOOKUP($A94,'Data shares'!$C:$FB,121)*100</f>
        <v>48.84</v>
      </c>
      <c r="O94" s="50">
        <f>VLOOKUP($A94,'Data shares'!$C:$FB,124)</f>
        <v>0.4</v>
      </c>
      <c r="P94" s="50">
        <f>VLOOKUP($A94,'Data shares'!$C:$FB,125)</f>
        <v>0.2</v>
      </c>
      <c r="Q94" s="50">
        <f>VLOOKUP($A94,'Data shares'!$C:$FB,127)*100</f>
        <v>100</v>
      </c>
    </row>
    <row r="95" spans="1:17" x14ac:dyDescent="0.25">
      <c r="A95" s="97" t="str">
        <f>'Data Vlaue (Cr)'!C90</f>
        <v>ICICIPRULI</v>
      </c>
      <c r="B95" s="140">
        <f>VLOOKUP($A95,'Data shares'!$C:$FB,7)</f>
        <v>522.70000000000005</v>
      </c>
      <c r="C95" s="140">
        <f>VLOOKUP($A95,'Data shares'!$C:$FB,3)</f>
        <v>524.1</v>
      </c>
      <c r="D95" s="140">
        <f>VLOOKUP($A95,'Data shares'!$C:$FB,4)</f>
        <v>528.54999999999995</v>
      </c>
      <c r="E95" s="50">
        <f t="shared" si="3"/>
        <v>-0.84192602402798822</v>
      </c>
      <c r="F95" s="49">
        <f>VLOOKUP($A95,'Data shares'!$C:$FB,98)</f>
        <v>18364025</v>
      </c>
      <c r="G95" s="49">
        <f>VLOOKUP($A95,'Data shares'!$C:$FB,99)</f>
        <v>31239100</v>
      </c>
      <c r="H95" s="50">
        <f t="shared" si="4"/>
        <v>-41.214615657941486</v>
      </c>
      <c r="I95" s="49">
        <f>VLOOKUP($A95,'Data shares'!$C:$FB,66)</f>
        <v>7864350</v>
      </c>
      <c r="J95" s="49">
        <f>VLOOKUP($A95,'Data shares'!$C:$FB,67)</f>
        <v>16047825</v>
      </c>
      <c r="K95" s="50">
        <f t="shared" si="5"/>
        <v>-104.05786873676782</v>
      </c>
      <c r="L95" s="50">
        <f>VLOOKUP($A95,'Data shares'!$C:$FB,118)</f>
        <v>1.02</v>
      </c>
      <c r="M95" s="50">
        <f>VLOOKUP($A95,'Data shares'!$C:$FB,119)</f>
        <v>0.89</v>
      </c>
      <c r="N95" s="50">
        <f>VLOOKUP($A95,'Data shares'!$C:$FB,121)*100</f>
        <v>14.610000000000001</v>
      </c>
      <c r="O95" s="50">
        <f>VLOOKUP($A95,'Data shares'!$C:$FB,124)</f>
        <v>0.85</v>
      </c>
      <c r="P95" s="50">
        <f>VLOOKUP($A95,'Data shares'!$C:$FB,125)</f>
        <v>0.5</v>
      </c>
      <c r="Q95" s="50">
        <f>VLOOKUP($A95,'Data shares'!$C:$FB,127)*100</f>
        <v>70</v>
      </c>
    </row>
    <row r="96" spans="1:17" x14ac:dyDescent="0.25">
      <c r="A96" s="97" t="str">
        <f>'Data Vlaue (Cr)'!C91</f>
        <v>IDEA</v>
      </c>
      <c r="B96" s="140">
        <f>VLOOKUP($A96,'Data shares'!$C:$FB,7)</f>
        <v>14.14</v>
      </c>
      <c r="C96" s="140">
        <f>VLOOKUP($A96,'Data shares'!$C:$FB,3)</f>
        <v>14.22</v>
      </c>
      <c r="D96" s="140">
        <f>VLOOKUP($A96,'Data shares'!$C:$FB,4)</f>
        <v>14.17</v>
      </c>
      <c r="E96" s="50">
        <f t="shared" si="3"/>
        <v>0.35285815102329365</v>
      </c>
      <c r="F96" s="49">
        <f>VLOOKUP($A96,'Data shares'!$C:$FB,98)</f>
        <v>7328117325</v>
      </c>
      <c r="G96" s="49">
        <f>VLOOKUP($A96,'Data shares'!$C:$FB,99)</f>
        <v>8865044250</v>
      </c>
      <c r="H96" s="50">
        <f t="shared" si="4"/>
        <v>-17.336934612593726</v>
      </c>
      <c r="I96" s="49">
        <f>VLOOKUP($A96,'Data shares'!$C:$FB,66)</f>
        <v>4721495550</v>
      </c>
      <c r="J96" s="49">
        <f>VLOOKUP($A96,'Data shares'!$C:$FB,67)</f>
        <v>5455043475</v>
      </c>
      <c r="K96" s="50">
        <f t="shared" si="5"/>
        <v>-15.536346846710467</v>
      </c>
      <c r="L96" s="50">
        <f>VLOOKUP($A96,'Data shares'!$C:$FB,118)</f>
        <v>0.44</v>
      </c>
      <c r="M96" s="50">
        <f>VLOOKUP($A96,'Data shares'!$C:$FB,119)</f>
        <v>0.62</v>
      </c>
      <c r="N96" s="50">
        <f>VLOOKUP($A96,'Data shares'!$C:$FB,121)*100</f>
        <v>-29.03</v>
      </c>
      <c r="O96" s="50">
        <f>VLOOKUP($A96,'Data shares'!$C:$FB,124)</f>
        <v>0.36</v>
      </c>
      <c r="P96" s="50">
        <f>VLOOKUP($A96,'Data shares'!$C:$FB,125)</f>
        <v>0.36</v>
      </c>
      <c r="Q96" s="50">
        <f>VLOOKUP($A96,'Data shares'!$C:$FB,127)*100</f>
        <v>0</v>
      </c>
    </row>
    <row r="97" spans="1:17" x14ac:dyDescent="0.25">
      <c r="A97" s="97" t="str">
        <f>'Data Vlaue (Cr)'!C92</f>
        <v>IDFCFIRSTB</v>
      </c>
      <c r="B97" s="140">
        <f>VLOOKUP($A97,'Data shares'!$C:$FB,7)</f>
        <v>70.22</v>
      </c>
      <c r="C97" s="140">
        <f>VLOOKUP($A97,'Data shares'!$C:$FB,3)</f>
        <v>70.650000000000006</v>
      </c>
      <c r="D97" s="140">
        <f>VLOOKUP($A97,'Data shares'!$C:$FB,4)</f>
        <v>70.06</v>
      </c>
      <c r="E97" s="50">
        <f t="shared" si="3"/>
        <v>0.84213531258921415</v>
      </c>
      <c r="F97" s="49">
        <f>VLOOKUP($A97,'Data shares'!$C:$FB,98)</f>
        <v>519409275</v>
      </c>
      <c r="G97" s="49">
        <f>VLOOKUP($A97,'Data shares'!$C:$FB,99)</f>
        <v>640039925</v>
      </c>
      <c r="H97" s="50">
        <f t="shared" si="4"/>
        <v>-18.847363310968451</v>
      </c>
      <c r="I97" s="49">
        <f>VLOOKUP($A97,'Data shares'!$C:$FB,66)</f>
        <v>295853950</v>
      </c>
      <c r="J97" s="49">
        <f>VLOOKUP($A97,'Data shares'!$C:$FB,67)</f>
        <v>368746175</v>
      </c>
      <c r="K97" s="50">
        <f t="shared" si="5"/>
        <v>-24.637908332810834</v>
      </c>
      <c r="L97" s="50">
        <f>VLOOKUP($A97,'Data shares'!$C:$FB,118)</f>
        <v>1.01</v>
      </c>
      <c r="M97" s="50">
        <f>VLOOKUP($A97,'Data shares'!$C:$FB,119)</f>
        <v>0.89</v>
      </c>
      <c r="N97" s="50">
        <f>VLOOKUP($A97,'Data shares'!$C:$FB,121)*100</f>
        <v>13.48</v>
      </c>
      <c r="O97" s="50">
        <f>VLOOKUP($A97,'Data shares'!$C:$FB,124)</f>
        <v>0.64</v>
      </c>
      <c r="P97" s="50">
        <f>VLOOKUP($A97,'Data shares'!$C:$FB,125)</f>
        <v>0.86</v>
      </c>
      <c r="Q97" s="50">
        <f>VLOOKUP($A97,'Data shares'!$C:$FB,127)*100</f>
        <v>-25.580000000000002</v>
      </c>
    </row>
    <row r="98" spans="1:17" x14ac:dyDescent="0.25">
      <c r="A98" s="97" t="str">
        <f>'Data Vlaue (Cr)'!C93</f>
        <v>IEX</v>
      </c>
      <c r="B98" s="140">
        <f>VLOOKUP($A98,'Data shares'!$C:$FB,7)</f>
        <v>127.47</v>
      </c>
      <c r="C98" s="140">
        <f>VLOOKUP($A98,'Data shares'!$C:$FB,3)</f>
        <v>128.47</v>
      </c>
      <c r="D98" s="140">
        <f>VLOOKUP($A98,'Data shares'!$C:$FB,4)</f>
        <v>128.65</v>
      </c>
      <c r="E98" s="50">
        <f t="shared" si="3"/>
        <v>-0.13991449669646858</v>
      </c>
      <c r="F98" s="49">
        <f>VLOOKUP($A98,'Data shares'!$C:$FB,98)</f>
        <v>97936800</v>
      </c>
      <c r="G98" s="49">
        <f>VLOOKUP($A98,'Data shares'!$C:$FB,99)</f>
        <v>127933650</v>
      </c>
      <c r="H98" s="50">
        <f t="shared" si="4"/>
        <v>-23.447193134878898</v>
      </c>
      <c r="I98" s="49">
        <f>VLOOKUP($A98,'Data shares'!$C:$FB,66)</f>
        <v>77043750</v>
      </c>
      <c r="J98" s="49">
        <f>VLOOKUP($A98,'Data shares'!$C:$FB,67)</f>
        <v>109481250</v>
      </c>
      <c r="K98" s="50">
        <f t="shared" si="5"/>
        <v>-42.102701387198834</v>
      </c>
      <c r="L98" s="50">
        <f>VLOOKUP($A98,'Data shares'!$C:$FB,118)</f>
        <v>0.76</v>
      </c>
      <c r="M98" s="50">
        <f>VLOOKUP($A98,'Data shares'!$C:$FB,119)</f>
        <v>0.6</v>
      </c>
      <c r="N98" s="50">
        <f>VLOOKUP($A98,'Data shares'!$C:$FB,121)*100</f>
        <v>26.669999999999998</v>
      </c>
      <c r="O98" s="50">
        <f>VLOOKUP($A98,'Data shares'!$C:$FB,124)</f>
        <v>0.3</v>
      </c>
      <c r="P98" s="50">
        <f>VLOOKUP($A98,'Data shares'!$C:$FB,125)</f>
        <v>0.39</v>
      </c>
      <c r="Q98" s="50">
        <f>VLOOKUP($A98,'Data shares'!$C:$FB,127)*100</f>
        <v>-23.080000000000002</v>
      </c>
    </row>
    <row r="99" spans="1:17" x14ac:dyDescent="0.25">
      <c r="A99" s="97" t="str">
        <f>'Data Vlaue (Cr)'!C94</f>
        <v>INDHOTEL</v>
      </c>
      <c r="B99" s="140">
        <f>VLOOKUP($A99,'Data shares'!$C:$FB,7)</f>
        <v>657.15</v>
      </c>
      <c r="C99" s="140">
        <f>VLOOKUP($A99,'Data shares'!$C:$FB,3)</f>
        <v>659.3</v>
      </c>
      <c r="D99" s="140">
        <f>VLOOKUP($A99,'Data shares'!$C:$FB,4)</f>
        <v>665.15</v>
      </c>
      <c r="E99" s="50">
        <f t="shared" si="3"/>
        <v>-0.8795008644666652</v>
      </c>
      <c r="F99" s="49">
        <f>VLOOKUP($A99,'Data shares'!$C:$FB,98)</f>
        <v>29621000</v>
      </c>
      <c r="G99" s="49">
        <f>VLOOKUP($A99,'Data shares'!$C:$FB,99)</f>
        <v>36194000</v>
      </c>
      <c r="H99" s="50">
        <f t="shared" si="4"/>
        <v>-18.160468585953474</v>
      </c>
      <c r="I99" s="49">
        <f>VLOOKUP($A99,'Data shares'!$C:$FB,66)</f>
        <v>14141000</v>
      </c>
      <c r="J99" s="49">
        <f>VLOOKUP($A99,'Data shares'!$C:$FB,67)</f>
        <v>22960000</v>
      </c>
      <c r="K99" s="50">
        <f t="shared" si="5"/>
        <v>-62.364754967824055</v>
      </c>
      <c r="L99" s="50">
        <f>VLOOKUP($A99,'Data shares'!$C:$FB,118)</f>
        <v>1.08</v>
      </c>
      <c r="M99" s="50">
        <f>VLOOKUP($A99,'Data shares'!$C:$FB,119)</f>
        <v>0.85</v>
      </c>
      <c r="N99" s="50">
        <f>VLOOKUP($A99,'Data shares'!$C:$FB,121)*100</f>
        <v>27.060000000000002</v>
      </c>
      <c r="O99" s="50">
        <f>VLOOKUP($A99,'Data shares'!$C:$FB,124)</f>
        <v>0.57999999999999996</v>
      </c>
      <c r="P99" s="50">
        <f>VLOOKUP($A99,'Data shares'!$C:$FB,125)</f>
        <v>0.68</v>
      </c>
      <c r="Q99" s="50">
        <f>VLOOKUP($A99,'Data shares'!$C:$FB,127)*100</f>
        <v>-14.71</v>
      </c>
    </row>
    <row r="100" spans="1:17" x14ac:dyDescent="0.25">
      <c r="A100" s="97" t="str">
        <f>'Data Vlaue (Cr)'!C95</f>
        <v>INDIANB</v>
      </c>
      <c r="B100" s="140">
        <f>VLOOKUP($A100,'Data shares'!$C:$FB,7)</f>
        <v>833.55</v>
      </c>
      <c r="C100" s="140">
        <f>VLOOKUP($A100,'Data shares'!$C:$FB,3)</f>
        <v>838.05</v>
      </c>
      <c r="D100" s="140">
        <f>VLOOKUP($A100,'Data shares'!$C:$FB,4)</f>
        <v>843.65</v>
      </c>
      <c r="E100" s="50">
        <f t="shared" si="3"/>
        <v>-0.66378237420731623</v>
      </c>
      <c r="F100" s="49">
        <f>VLOOKUP($A100,'Data shares'!$C:$FB,98)</f>
        <v>15137000</v>
      </c>
      <c r="G100" s="49">
        <f>VLOOKUP($A100,'Data shares'!$C:$FB,99)</f>
        <v>23046000</v>
      </c>
      <c r="H100" s="50">
        <f t="shared" si="4"/>
        <v>-34.318319881975178</v>
      </c>
      <c r="I100" s="49">
        <f>VLOOKUP($A100,'Data shares'!$C:$FB,66)</f>
        <v>12659000</v>
      </c>
      <c r="J100" s="49">
        <f>VLOOKUP($A100,'Data shares'!$C:$FB,67)</f>
        <v>22969000</v>
      </c>
      <c r="K100" s="50">
        <f t="shared" si="5"/>
        <v>-81.444031914053241</v>
      </c>
      <c r="L100" s="50">
        <f>VLOOKUP($A100,'Data shares'!$C:$FB,118)</f>
        <v>0.85</v>
      </c>
      <c r="M100" s="50">
        <f>VLOOKUP($A100,'Data shares'!$C:$FB,119)</f>
        <v>0.68</v>
      </c>
      <c r="N100" s="50">
        <f>VLOOKUP($A100,'Data shares'!$C:$FB,121)*100</f>
        <v>25</v>
      </c>
      <c r="O100" s="50">
        <f>VLOOKUP($A100,'Data shares'!$C:$FB,124)</f>
        <v>0.53</v>
      </c>
      <c r="P100" s="50">
        <f>VLOOKUP($A100,'Data shares'!$C:$FB,125)</f>
        <v>0.4</v>
      </c>
      <c r="Q100" s="50">
        <f>VLOOKUP($A100,'Data shares'!$C:$FB,127)*100</f>
        <v>32.5</v>
      </c>
    </row>
    <row r="101" spans="1:17" x14ac:dyDescent="0.25">
      <c r="A101" s="97" t="str">
        <f>'Data Vlaue (Cr)'!C96</f>
        <v>INDIAVIX</v>
      </c>
      <c r="B101" s="140">
        <f>VLOOKUP($A101,'Data shares'!$C:$FB,7)</f>
        <v>16.13</v>
      </c>
      <c r="C101" s="140">
        <f>VLOOKUP($A101,'Data shares'!$C:$FB,3)</f>
        <v>0</v>
      </c>
      <c r="D101" s="140">
        <f>VLOOKUP($A101,'Data shares'!$C:$FB,4)</f>
        <v>0</v>
      </c>
      <c r="E101" s="50" t="e">
        <f t="shared" si="3"/>
        <v>#DIV/0!</v>
      </c>
      <c r="F101" s="49">
        <f>VLOOKUP($A101,'Data shares'!$C:$FB,98)</f>
        <v>0</v>
      </c>
      <c r="G101" s="49">
        <f>VLOOKUP($A101,'Data shares'!$C:$FB,99)</f>
        <v>0</v>
      </c>
      <c r="H101" s="50" t="e">
        <f t="shared" si="4"/>
        <v>#DIV/0!</v>
      </c>
      <c r="I101" s="49">
        <f>VLOOKUP($A101,'Data shares'!$C:$FB,66)</f>
        <v>0</v>
      </c>
      <c r="J101" s="49">
        <f>VLOOKUP($A101,'Data shares'!$C:$FB,67)</f>
        <v>0</v>
      </c>
      <c r="K101" s="50" t="e">
        <f t="shared" si="5"/>
        <v>#DIV/0!</v>
      </c>
      <c r="L101" s="50">
        <f>VLOOKUP($A101,'Data shares'!$C:$FB,118)</f>
        <v>0</v>
      </c>
      <c r="M101" s="50">
        <f>VLOOKUP($A101,'Data shares'!$C:$FB,119)</f>
        <v>0</v>
      </c>
      <c r="N101" s="50">
        <f>VLOOKUP($A101,'Data shares'!$C:$FB,121)*100</f>
        <v>0</v>
      </c>
      <c r="O101" s="50">
        <f>VLOOKUP($A101,'Data shares'!$C:$FB,124)</f>
        <v>0</v>
      </c>
      <c r="P101" s="50">
        <f>VLOOKUP($A101,'Data shares'!$C:$FB,125)</f>
        <v>0</v>
      </c>
      <c r="Q101" s="50">
        <f>VLOOKUP($A101,'Data shares'!$C:$FB,127)*100</f>
        <v>0</v>
      </c>
    </row>
    <row r="102" spans="1:17" x14ac:dyDescent="0.25">
      <c r="A102" s="97" t="str">
        <f>'Data Vlaue (Cr)'!C97</f>
        <v>INDIGO</v>
      </c>
      <c r="B102" s="140">
        <f>VLOOKUP($A102,'Data shares'!$C:$FB,7)</f>
        <v>4480.8</v>
      </c>
      <c r="C102" s="140">
        <f>VLOOKUP($A102,'Data shares'!$C:$FB,3)</f>
        <v>4507.3</v>
      </c>
      <c r="D102" s="140">
        <f>VLOOKUP($A102,'Data shares'!$C:$FB,4)</f>
        <v>4518</v>
      </c>
      <c r="E102" s="50">
        <f t="shared" si="3"/>
        <v>-0.23683045595395791</v>
      </c>
      <c r="F102" s="49">
        <f>VLOOKUP($A102,'Data shares'!$C:$FB,98)</f>
        <v>10363500</v>
      </c>
      <c r="G102" s="49">
        <f>VLOOKUP($A102,'Data shares'!$C:$FB,99)</f>
        <v>17481450</v>
      </c>
      <c r="H102" s="50">
        <f t="shared" si="4"/>
        <v>-40.717160189801191</v>
      </c>
      <c r="I102" s="49">
        <f>VLOOKUP($A102,'Data shares'!$C:$FB,66)</f>
        <v>16052250</v>
      </c>
      <c r="J102" s="49">
        <f>VLOOKUP($A102,'Data shares'!$C:$FB,67)</f>
        <v>55756350</v>
      </c>
      <c r="K102" s="50">
        <f t="shared" si="5"/>
        <v>-247.34289585572117</v>
      </c>
      <c r="L102" s="50">
        <f>VLOOKUP($A102,'Data shares'!$C:$FB,118)</f>
        <v>0.97</v>
      </c>
      <c r="M102" s="50">
        <f>VLOOKUP($A102,'Data shares'!$C:$FB,119)</f>
        <v>0.63</v>
      </c>
      <c r="N102" s="50">
        <f>VLOOKUP($A102,'Data shares'!$C:$FB,121)*100</f>
        <v>53.97</v>
      </c>
      <c r="O102" s="50">
        <f>VLOOKUP($A102,'Data shares'!$C:$FB,124)</f>
        <v>0.64</v>
      </c>
      <c r="P102" s="50">
        <f>VLOOKUP($A102,'Data shares'!$C:$FB,125)</f>
        <v>1.39</v>
      </c>
      <c r="Q102" s="50">
        <f>VLOOKUP($A102,'Data shares'!$C:$FB,127)*100</f>
        <v>-53.959999999999994</v>
      </c>
    </row>
    <row r="103" spans="1:17" x14ac:dyDescent="0.25">
      <c r="A103" s="97" t="str">
        <f>'Data Vlaue (Cr)'!C98</f>
        <v>INDUSINDBK</v>
      </c>
      <c r="B103" s="140">
        <f>VLOOKUP($A103,'Data shares'!$C:$FB,7)</f>
        <v>932.3</v>
      </c>
      <c r="C103" s="140">
        <f>VLOOKUP($A103,'Data shares'!$C:$FB,3)</f>
        <v>937.35</v>
      </c>
      <c r="D103" s="140">
        <f>VLOOKUP($A103,'Data shares'!$C:$FB,4)</f>
        <v>930.55</v>
      </c>
      <c r="E103" s="50">
        <f t="shared" si="3"/>
        <v>0.7307506313470602</v>
      </c>
      <c r="F103" s="49">
        <f>VLOOKUP($A103,'Data shares'!$C:$FB,98)</f>
        <v>41481300</v>
      </c>
      <c r="G103" s="49">
        <f>VLOOKUP($A103,'Data shares'!$C:$FB,99)</f>
        <v>49921200</v>
      </c>
      <c r="H103" s="50">
        <f t="shared" si="4"/>
        <v>-16.906444556621235</v>
      </c>
      <c r="I103" s="49">
        <f>VLOOKUP($A103,'Data shares'!$C:$FB,66)</f>
        <v>16401000</v>
      </c>
      <c r="J103" s="49">
        <f>VLOOKUP($A103,'Data shares'!$C:$FB,67)</f>
        <v>36265600</v>
      </c>
      <c r="K103" s="50">
        <f t="shared" si="5"/>
        <v>-121.11822449850619</v>
      </c>
      <c r="L103" s="50">
        <f>VLOOKUP($A103,'Data shares'!$C:$FB,118)</f>
        <v>1.03</v>
      </c>
      <c r="M103" s="50">
        <f>VLOOKUP($A103,'Data shares'!$C:$FB,119)</f>
        <v>0.81</v>
      </c>
      <c r="N103" s="50">
        <f>VLOOKUP($A103,'Data shares'!$C:$FB,121)*100</f>
        <v>27.16</v>
      </c>
      <c r="O103" s="50">
        <f>VLOOKUP($A103,'Data shares'!$C:$FB,124)</f>
        <v>0.6</v>
      </c>
      <c r="P103" s="50">
        <f>VLOOKUP($A103,'Data shares'!$C:$FB,125)</f>
        <v>0.56999999999999995</v>
      </c>
      <c r="Q103" s="50">
        <f>VLOOKUP($A103,'Data shares'!$C:$FB,127)*100</f>
        <v>5.26</v>
      </c>
    </row>
    <row r="104" spans="1:17" x14ac:dyDescent="0.25">
      <c r="A104" s="97" t="str">
        <f>'Data Vlaue (Cr)'!C99</f>
        <v>INDUSTOWER</v>
      </c>
      <c r="B104" s="140">
        <f>VLOOKUP($A104,'Data shares'!$C:$FB,7)</f>
        <v>433.25</v>
      </c>
      <c r="C104" s="140">
        <f>VLOOKUP($A104,'Data shares'!$C:$FB,3)</f>
        <v>437.05</v>
      </c>
      <c r="D104" s="140">
        <f>VLOOKUP($A104,'Data shares'!$C:$FB,4)</f>
        <v>442.55</v>
      </c>
      <c r="E104" s="50">
        <f t="shared" si="3"/>
        <v>-1.2427974240198847</v>
      </c>
      <c r="F104" s="49">
        <f>VLOOKUP($A104,'Data shares'!$C:$FB,98)</f>
        <v>122554700</v>
      </c>
      <c r="G104" s="49">
        <f>VLOOKUP($A104,'Data shares'!$C:$FB,99)</f>
        <v>153069700</v>
      </c>
      <c r="H104" s="50">
        <f t="shared" si="4"/>
        <v>-19.935362779178377</v>
      </c>
      <c r="I104" s="49">
        <f>VLOOKUP($A104,'Data shares'!$C:$FB,66)</f>
        <v>107212200</v>
      </c>
      <c r="J104" s="49">
        <f>VLOOKUP($A104,'Data shares'!$C:$FB,67)</f>
        <v>89836500</v>
      </c>
      <c r="K104" s="50">
        <f t="shared" si="5"/>
        <v>16.206830939016267</v>
      </c>
      <c r="L104" s="50">
        <f>VLOOKUP($A104,'Data shares'!$C:$FB,118)</f>
        <v>1.06</v>
      </c>
      <c r="M104" s="50">
        <f>VLOOKUP($A104,'Data shares'!$C:$FB,119)</f>
        <v>0.91</v>
      </c>
      <c r="N104" s="50">
        <f>VLOOKUP($A104,'Data shares'!$C:$FB,121)*100</f>
        <v>16.48</v>
      </c>
      <c r="O104" s="50">
        <f>VLOOKUP($A104,'Data shares'!$C:$FB,124)</f>
        <v>0.5</v>
      </c>
      <c r="P104" s="50">
        <f>VLOOKUP($A104,'Data shares'!$C:$FB,125)</f>
        <v>0.49</v>
      </c>
      <c r="Q104" s="50">
        <f>VLOOKUP($A104,'Data shares'!$C:$FB,127)*100</f>
        <v>2.04</v>
      </c>
    </row>
    <row r="105" spans="1:17" x14ac:dyDescent="0.25">
      <c r="A105" s="97" t="str">
        <f>'Data Vlaue (Cr)'!C100</f>
        <v>INFY</v>
      </c>
      <c r="B105" s="140">
        <f>VLOOKUP($A105,'Data shares'!$C:$FB,7)</f>
        <v>1167.7</v>
      </c>
      <c r="C105" s="140">
        <f>VLOOKUP($A105,'Data shares'!$C:$FB,3)</f>
        <v>1166</v>
      </c>
      <c r="D105" s="140">
        <f>VLOOKUP($A105,'Data shares'!$C:$FB,4)</f>
        <v>1158.5999999999999</v>
      </c>
      <c r="E105" s="50">
        <f t="shared" si="3"/>
        <v>0.63870188158122665</v>
      </c>
      <c r="F105" s="49">
        <f>VLOOKUP($A105,'Data shares'!$C:$FB,98)</f>
        <v>117598000</v>
      </c>
      <c r="G105" s="49">
        <f>VLOOKUP($A105,'Data shares'!$C:$FB,99)</f>
        <v>163788000</v>
      </c>
      <c r="H105" s="50">
        <f t="shared" si="4"/>
        <v>-28.201089212884948</v>
      </c>
      <c r="I105" s="49">
        <f>VLOOKUP($A105,'Data shares'!$C:$FB,66)</f>
        <v>74278400</v>
      </c>
      <c r="J105" s="49">
        <f>VLOOKUP($A105,'Data shares'!$C:$FB,67)</f>
        <v>134382000</v>
      </c>
      <c r="K105" s="50">
        <f t="shared" si="5"/>
        <v>-80.916659486472525</v>
      </c>
      <c r="L105" s="50">
        <f>VLOOKUP($A105,'Data shares'!$C:$FB,118)</f>
        <v>0.91</v>
      </c>
      <c r="M105" s="50">
        <f>VLOOKUP($A105,'Data shares'!$C:$FB,119)</f>
        <v>0.67</v>
      </c>
      <c r="N105" s="50">
        <f>VLOOKUP($A105,'Data shares'!$C:$FB,121)*100</f>
        <v>35.82</v>
      </c>
      <c r="O105" s="50">
        <f>VLOOKUP($A105,'Data shares'!$C:$FB,124)</f>
        <v>0.6</v>
      </c>
      <c r="P105" s="50">
        <f>VLOOKUP($A105,'Data shares'!$C:$FB,125)</f>
        <v>0.61</v>
      </c>
      <c r="Q105" s="50">
        <f>VLOOKUP($A105,'Data shares'!$C:$FB,127)*100</f>
        <v>-1.6400000000000001</v>
      </c>
    </row>
    <row r="106" spans="1:17" x14ac:dyDescent="0.25">
      <c r="A106" s="97" t="str">
        <f>'Data Vlaue (Cr)'!C101</f>
        <v>INOXWIND</v>
      </c>
      <c r="B106" s="140">
        <f>VLOOKUP($A106,'Data shares'!$C:$FB,7)</f>
        <v>96.22</v>
      </c>
      <c r="C106" s="140">
        <f>VLOOKUP($A106,'Data shares'!$C:$FB,3)</f>
        <v>96.95</v>
      </c>
      <c r="D106" s="140">
        <f>VLOOKUP($A106,'Data shares'!$C:$FB,4)</f>
        <v>97.79</v>
      </c>
      <c r="E106" s="50">
        <f t="shared" si="3"/>
        <v>-0.85898353614889378</v>
      </c>
      <c r="F106" s="49">
        <f>VLOOKUP($A106,'Data shares'!$C:$FB,98)</f>
        <v>99647250</v>
      </c>
      <c r="G106" s="49">
        <f>VLOOKUP($A106,'Data shares'!$C:$FB,99)</f>
        <v>126573550</v>
      </c>
      <c r="H106" s="50">
        <f t="shared" si="4"/>
        <v>-21.273243896532883</v>
      </c>
      <c r="I106" s="49">
        <f>VLOOKUP($A106,'Data shares'!$C:$FB,66)</f>
        <v>121138875</v>
      </c>
      <c r="J106" s="49">
        <f>VLOOKUP($A106,'Data shares'!$C:$FB,67)</f>
        <v>115458200</v>
      </c>
      <c r="K106" s="50">
        <f t="shared" si="5"/>
        <v>4.6893905858049285</v>
      </c>
      <c r="L106" s="50">
        <f>VLOOKUP($A106,'Data shares'!$C:$FB,118)</f>
        <v>0.48</v>
      </c>
      <c r="M106" s="50">
        <f>VLOOKUP($A106,'Data shares'!$C:$FB,119)</f>
        <v>0.45</v>
      </c>
      <c r="N106" s="50">
        <f>VLOOKUP($A106,'Data shares'!$C:$FB,121)*100</f>
        <v>6.67</v>
      </c>
      <c r="O106" s="50">
        <f>VLOOKUP($A106,'Data shares'!$C:$FB,124)</f>
        <v>0.23</v>
      </c>
      <c r="P106" s="50">
        <f>VLOOKUP($A106,'Data shares'!$C:$FB,125)</f>
        <v>0.36</v>
      </c>
      <c r="Q106" s="50">
        <f>VLOOKUP($A106,'Data shares'!$C:$FB,127)*100</f>
        <v>-36.11</v>
      </c>
    </row>
    <row r="107" spans="1:17" x14ac:dyDescent="0.25">
      <c r="A107" s="97" t="str">
        <f>'Data Vlaue (Cr)'!C102</f>
        <v>IOC</v>
      </c>
      <c r="B107" s="140">
        <f>VLOOKUP($A107,'Data shares'!$C:$FB,7)</f>
        <v>142.38</v>
      </c>
      <c r="C107" s="140">
        <f>VLOOKUP($A107,'Data shares'!$C:$FB,3)</f>
        <v>143.44</v>
      </c>
      <c r="D107" s="140">
        <f>VLOOKUP($A107,'Data shares'!$C:$FB,4)</f>
        <v>145.12</v>
      </c>
      <c r="E107" s="50">
        <f t="shared" si="3"/>
        <v>-1.1576626240352859</v>
      </c>
      <c r="F107" s="49">
        <f>VLOOKUP($A107,'Data shares'!$C:$FB,98)</f>
        <v>161333250</v>
      </c>
      <c r="G107" s="49">
        <f>VLOOKUP($A107,'Data shares'!$C:$FB,99)</f>
        <v>220398750</v>
      </c>
      <c r="H107" s="50">
        <f t="shared" si="4"/>
        <v>-26.799380667993805</v>
      </c>
      <c r="I107" s="49">
        <f>VLOOKUP($A107,'Data shares'!$C:$FB,66)</f>
        <v>126964500</v>
      </c>
      <c r="J107" s="49">
        <f>VLOOKUP($A107,'Data shares'!$C:$FB,67)</f>
        <v>299632125</v>
      </c>
      <c r="K107" s="50">
        <f t="shared" si="5"/>
        <v>-135.99677468898787</v>
      </c>
      <c r="L107" s="50">
        <f>VLOOKUP($A107,'Data shares'!$C:$FB,118)</f>
        <v>0.98</v>
      </c>
      <c r="M107" s="50">
        <f>VLOOKUP($A107,'Data shares'!$C:$FB,119)</f>
        <v>0.76</v>
      </c>
      <c r="N107" s="50">
        <f>VLOOKUP($A107,'Data shares'!$C:$FB,121)*100</f>
        <v>28.95</v>
      </c>
      <c r="O107" s="50">
        <f>VLOOKUP($A107,'Data shares'!$C:$FB,124)</f>
        <v>0.73</v>
      </c>
      <c r="P107" s="50">
        <f>VLOOKUP($A107,'Data shares'!$C:$FB,125)</f>
        <v>0.55000000000000004</v>
      </c>
      <c r="Q107" s="50">
        <f>VLOOKUP($A107,'Data shares'!$C:$FB,127)*100</f>
        <v>32.729999999999997</v>
      </c>
    </row>
    <row r="108" spans="1:17" x14ac:dyDescent="0.25">
      <c r="A108" s="97" t="str">
        <f>'Data Vlaue (Cr)'!C103</f>
        <v>IREDA</v>
      </c>
      <c r="B108" s="140">
        <f>VLOOKUP($A108,'Data shares'!$C:$FB,7)</f>
        <v>129.54</v>
      </c>
      <c r="C108" s="140">
        <f>VLOOKUP($A108,'Data shares'!$C:$FB,3)</f>
        <v>127.33</v>
      </c>
      <c r="D108" s="140">
        <f>VLOOKUP($A108,'Data shares'!$C:$FB,4)</f>
        <v>126.77</v>
      </c>
      <c r="E108" s="50">
        <f t="shared" si="3"/>
        <v>0.44174489232468428</v>
      </c>
      <c r="F108" s="49">
        <f>VLOOKUP($A108,'Data shares'!$C:$FB,98)</f>
        <v>71951325</v>
      </c>
      <c r="G108" s="49">
        <f>VLOOKUP($A108,'Data shares'!$C:$FB,99)</f>
        <v>96279675</v>
      </c>
      <c r="H108" s="50">
        <f t="shared" si="4"/>
        <v>-25.268417243826384</v>
      </c>
      <c r="I108" s="49">
        <f>VLOOKUP($A108,'Data shares'!$C:$FB,66)</f>
        <v>37094400</v>
      </c>
      <c r="J108" s="49">
        <f>VLOOKUP($A108,'Data shares'!$C:$FB,67)</f>
        <v>85646250</v>
      </c>
      <c r="K108" s="50">
        <f t="shared" si="5"/>
        <v>-130.88727678571428</v>
      </c>
      <c r="L108" s="50">
        <f>VLOOKUP($A108,'Data shares'!$C:$FB,118)</f>
        <v>0.9</v>
      </c>
      <c r="M108" s="50">
        <f>VLOOKUP($A108,'Data shares'!$C:$FB,119)</f>
        <v>0.73</v>
      </c>
      <c r="N108" s="50">
        <f>VLOOKUP($A108,'Data shares'!$C:$FB,121)*100</f>
        <v>23.29</v>
      </c>
      <c r="O108" s="50">
        <f>VLOOKUP($A108,'Data shares'!$C:$FB,124)</f>
        <v>0.5</v>
      </c>
      <c r="P108" s="50">
        <f>VLOOKUP($A108,'Data shares'!$C:$FB,125)</f>
        <v>0.45</v>
      </c>
      <c r="Q108" s="50">
        <f>VLOOKUP($A108,'Data shares'!$C:$FB,127)*100</f>
        <v>11.110000000000001</v>
      </c>
    </row>
    <row r="109" spans="1:17" x14ac:dyDescent="0.25">
      <c r="A109" s="97" t="str">
        <f>'Data Vlaue (Cr)'!C104</f>
        <v>IRFC</v>
      </c>
      <c r="B109" s="140">
        <f>VLOOKUP($A109,'Data shares'!$C:$FB,7)</f>
        <v>99.28</v>
      </c>
      <c r="C109" s="140">
        <f>VLOOKUP($A109,'Data shares'!$C:$FB,3)</f>
        <v>98.64</v>
      </c>
      <c r="D109" s="140">
        <f>VLOOKUP($A109,'Data shares'!$C:$FB,4)</f>
        <v>100.42</v>
      </c>
      <c r="E109" s="50">
        <f t="shared" si="3"/>
        <v>-1.7725552678749263</v>
      </c>
      <c r="F109" s="49">
        <f>VLOOKUP($A109,'Data shares'!$C:$FB,98)</f>
        <v>98467700</v>
      </c>
      <c r="G109" s="49">
        <f>VLOOKUP($A109,'Data shares'!$C:$FB,99)</f>
        <v>137694275</v>
      </c>
      <c r="H109" s="50">
        <f t="shared" si="4"/>
        <v>-28.488166991692282</v>
      </c>
      <c r="I109" s="49">
        <f>VLOOKUP($A109,'Data shares'!$C:$FB,66)</f>
        <v>80890250</v>
      </c>
      <c r="J109" s="49">
        <f>VLOOKUP($A109,'Data shares'!$C:$FB,67)</f>
        <v>131112500</v>
      </c>
      <c r="K109" s="50">
        <f t="shared" si="5"/>
        <v>-62.08690169705249</v>
      </c>
      <c r="L109" s="50">
        <f>VLOOKUP($A109,'Data shares'!$C:$FB,118)</f>
        <v>0.88</v>
      </c>
      <c r="M109" s="50">
        <f>VLOOKUP($A109,'Data shares'!$C:$FB,119)</f>
        <v>0.71</v>
      </c>
      <c r="N109" s="50">
        <f>VLOOKUP($A109,'Data shares'!$C:$FB,121)*100</f>
        <v>23.94</v>
      </c>
      <c r="O109" s="50">
        <f>VLOOKUP($A109,'Data shares'!$C:$FB,124)</f>
        <v>0.35</v>
      </c>
      <c r="P109" s="50">
        <f>VLOOKUP($A109,'Data shares'!$C:$FB,125)</f>
        <v>0.28000000000000003</v>
      </c>
      <c r="Q109" s="50">
        <f>VLOOKUP($A109,'Data shares'!$C:$FB,127)*100</f>
        <v>25</v>
      </c>
    </row>
    <row r="110" spans="1:17" x14ac:dyDescent="0.25">
      <c r="A110" s="97" t="str">
        <f>'Data Vlaue (Cr)'!C105</f>
        <v>ITC</v>
      </c>
      <c r="B110" s="140">
        <f>VLOOKUP($A110,'Data shares'!$C:$FB,7)</f>
        <v>301.64999999999998</v>
      </c>
      <c r="C110" s="140">
        <f>VLOOKUP($A110,'Data shares'!$C:$FB,3)</f>
        <v>303.14999999999998</v>
      </c>
      <c r="D110" s="140">
        <f>VLOOKUP($A110,'Data shares'!$C:$FB,4)</f>
        <v>305.8</v>
      </c>
      <c r="E110" s="50">
        <f t="shared" si="3"/>
        <v>-0.86657946370177696</v>
      </c>
      <c r="F110" s="49">
        <f>VLOOKUP($A110,'Data shares'!$C:$FB,98)</f>
        <v>246056000</v>
      </c>
      <c r="G110" s="49">
        <f>VLOOKUP($A110,'Data shares'!$C:$FB,99)</f>
        <v>370706150</v>
      </c>
      <c r="H110" s="50">
        <f t="shared" si="4"/>
        <v>-33.625055856235456</v>
      </c>
      <c r="I110" s="49">
        <f>VLOOKUP($A110,'Data shares'!$C:$FB,66)</f>
        <v>176608000</v>
      </c>
      <c r="J110" s="49">
        <f>VLOOKUP($A110,'Data shares'!$C:$FB,67)</f>
        <v>210030400</v>
      </c>
      <c r="K110" s="50">
        <f t="shared" si="5"/>
        <v>-18.924624026091681</v>
      </c>
      <c r="L110" s="50">
        <f>VLOOKUP($A110,'Data shares'!$C:$FB,118)</f>
        <v>0.68</v>
      </c>
      <c r="M110" s="50">
        <f>VLOOKUP($A110,'Data shares'!$C:$FB,119)</f>
        <v>0.35</v>
      </c>
      <c r="N110" s="50">
        <f>VLOOKUP($A110,'Data shares'!$C:$FB,121)*100</f>
        <v>94.289999999999992</v>
      </c>
      <c r="O110" s="50">
        <f>VLOOKUP($A110,'Data shares'!$C:$FB,124)</f>
        <v>0.64</v>
      </c>
      <c r="P110" s="50">
        <f>VLOOKUP($A110,'Data shares'!$C:$FB,125)</f>
        <v>0.6</v>
      </c>
      <c r="Q110" s="50">
        <f>VLOOKUP($A110,'Data shares'!$C:$FB,127)*100</f>
        <v>6.67</v>
      </c>
    </row>
    <row r="111" spans="1:17" x14ac:dyDescent="0.25">
      <c r="A111" s="97" t="str">
        <f>'Data Vlaue (Cr)'!C106</f>
        <v>JINDALSTEL</v>
      </c>
      <c r="B111" s="140">
        <f>VLOOKUP($A111,'Data shares'!$C:$FB,7)</f>
        <v>1222.9000000000001</v>
      </c>
      <c r="C111" s="140">
        <f>VLOOKUP($A111,'Data shares'!$C:$FB,3)</f>
        <v>1232</v>
      </c>
      <c r="D111" s="140">
        <f>VLOOKUP($A111,'Data shares'!$C:$FB,4)</f>
        <v>1221.5999999999999</v>
      </c>
      <c r="E111" s="50">
        <f t="shared" si="3"/>
        <v>0.8513425016372046</v>
      </c>
      <c r="F111" s="49">
        <f>VLOOKUP($A111,'Data shares'!$C:$FB,98)</f>
        <v>14073125</v>
      </c>
      <c r="G111" s="49">
        <f>VLOOKUP($A111,'Data shares'!$C:$FB,99)</f>
        <v>18951250</v>
      </c>
      <c r="H111" s="50">
        <f t="shared" si="4"/>
        <v>-25.74038651803971</v>
      </c>
      <c r="I111" s="49">
        <f>VLOOKUP($A111,'Data shares'!$C:$FB,66)</f>
        <v>12917500</v>
      </c>
      <c r="J111" s="49">
        <f>VLOOKUP($A111,'Data shares'!$C:$FB,67)</f>
        <v>10564375</v>
      </c>
      <c r="K111" s="50">
        <f t="shared" si="5"/>
        <v>18.21656667311786</v>
      </c>
      <c r="L111" s="50">
        <f>VLOOKUP($A111,'Data shares'!$C:$FB,118)</f>
        <v>1.55</v>
      </c>
      <c r="M111" s="50">
        <f>VLOOKUP($A111,'Data shares'!$C:$FB,119)</f>
        <v>0.75</v>
      </c>
      <c r="N111" s="50">
        <f>VLOOKUP($A111,'Data shares'!$C:$FB,121)*100</f>
        <v>106.67</v>
      </c>
      <c r="O111" s="50">
        <f>VLOOKUP($A111,'Data shares'!$C:$FB,124)</f>
        <v>0.51</v>
      </c>
      <c r="P111" s="50">
        <f>VLOOKUP($A111,'Data shares'!$C:$FB,125)</f>
        <v>0.65</v>
      </c>
      <c r="Q111" s="50">
        <f>VLOOKUP($A111,'Data shares'!$C:$FB,127)*100</f>
        <v>-21.54</v>
      </c>
    </row>
    <row r="112" spans="1:17" x14ac:dyDescent="0.25">
      <c r="A112" s="97" t="str">
        <f>'Data Vlaue (Cr)'!C107</f>
        <v>JIOFIN</v>
      </c>
      <c r="B112" s="140">
        <f>VLOOKUP($A112,'Data shares'!$C:$FB,7)</f>
        <v>240.67</v>
      </c>
      <c r="C112" s="140">
        <f>VLOOKUP($A112,'Data shares'!$C:$FB,3)</f>
        <v>242.09</v>
      </c>
      <c r="D112" s="140">
        <f>VLOOKUP($A112,'Data shares'!$C:$FB,4)</f>
        <v>243.37</v>
      </c>
      <c r="E112" s="50">
        <f t="shared" si="3"/>
        <v>-0.52594814480009899</v>
      </c>
      <c r="F112" s="49">
        <f>VLOOKUP($A112,'Data shares'!$C:$FB,98)</f>
        <v>224582450</v>
      </c>
      <c r="G112" s="49">
        <f>VLOOKUP($A112,'Data shares'!$C:$FB,99)</f>
        <v>288234550</v>
      </c>
      <c r="H112" s="50">
        <f t="shared" si="4"/>
        <v>-22.083438643979356</v>
      </c>
      <c r="I112" s="49">
        <f>VLOOKUP($A112,'Data shares'!$C:$FB,66)</f>
        <v>150407050</v>
      </c>
      <c r="J112" s="49">
        <f>VLOOKUP($A112,'Data shares'!$C:$FB,67)</f>
        <v>223275850</v>
      </c>
      <c r="K112" s="50">
        <f t="shared" si="5"/>
        <v>-48.447729012702531</v>
      </c>
      <c r="L112" s="50">
        <f>VLOOKUP($A112,'Data shares'!$C:$FB,118)</f>
        <v>0.95</v>
      </c>
      <c r="M112" s="50">
        <f>VLOOKUP($A112,'Data shares'!$C:$FB,119)</f>
        <v>0.73</v>
      </c>
      <c r="N112" s="50">
        <f>VLOOKUP($A112,'Data shares'!$C:$FB,121)*100</f>
        <v>30.14</v>
      </c>
      <c r="O112" s="50">
        <f>VLOOKUP($A112,'Data shares'!$C:$FB,124)</f>
        <v>0.57999999999999996</v>
      </c>
      <c r="P112" s="50">
        <f>VLOOKUP($A112,'Data shares'!$C:$FB,125)</f>
        <v>0.41</v>
      </c>
      <c r="Q112" s="50">
        <f>VLOOKUP($A112,'Data shares'!$C:$FB,127)*100</f>
        <v>41.46</v>
      </c>
    </row>
    <row r="113" spans="1:17" x14ac:dyDescent="0.25">
      <c r="A113" s="97" t="str">
        <f>'Data Vlaue (Cr)'!C108</f>
        <v>JSWENERGY</v>
      </c>
      <c r="B113" s="140">
        <f>VLOOKUP($A113,'Data shares'!$C:$FB,7)</f>
        <v>576</v>
      </c>
      <c r="C113" s="140">
        <f>VLOOKUP($A113,'Data shares'!$C:$FB,3)</f>
        <v>578.5</v>
      </c>
      <c r="D113" s="140">
        <f>VLOOKUP($A113,'Data shares'!$C:$FB,4)</f>
        <v>557.9</v>
      </c>
      <c r="E113" s="50">
        <f t="shared" si="3"/>
        <v>3.6924179960566454</v>
      </c>
      <c r="F113" s="49">
        <f>VLOOKUP($A113,'Data shares'!$C:$FB,98)</f>
        <v>27737975</v>
      </c>
      <c r="G113" s="49">
        <f>VLOOKUP($A113,'Data shares'!$C:$FB,99)</f>
        <v>40908125</v>
      </c>
      <c r="H113" s="50">
        <f t="shared" si="4"/>
        <v>-32.194460146975693</v>
      </c>
      <c r="I113" s="49">
        <f>VLOOKUP($A113,'Data shares'!$C:$FB,66)</f>
        <v>54301000</v>
      </c>
      <c r="J113" s="49">
        <f>VLOOKUP($A113,'Data shares'!$C:$FB,67)</f>
        <v>43549000</v>
      </c>
      <c r="K113" s="50">
        <f t="shared" si="5"/>
        <v>19.800740317857866</v>
      </c>
      <c r="L113" s="50">
        <f>VLOOKUP($A113,'Data shares'!$C:$FB,118)</f>
        <v>0.7</v>
      </c>
      <c r="M113" s="50">
        <f>VLOOKUP($A113,'Data shares'!$C:$FB,119)</f>
        <v>0.79</v>
      </c>
      <c r="N113" s="50">
        <f>VLOOKUP($A113,'Data shares'!$C:$FB,121)*100</f>
        <v>-11.39</v>
      </c>
      <c r="O113" s="50">
        <f>VLOOKUP($A113,'Data shares'!$C:$FB,124)</f>
        <v>0.28000000000000003</v>
      </c>
      <c r="P113" s="50">
        <f>VLOOKUP($A113,'Data shares'!$C:$FB,125)</f>
        <v>0.56999999999999995</v>
      </c>
      <c r="Q113" s="50">
        <f>VLOOKUP($A113,'Data shares'!$C:$FB,127)*100</f>
        <v>-50.88</v>
      </c>
    </row>
    <row r="114" spans="1:17" x14ac:dyDescent="0.25">
      <c r="A114" s="97" t="str">
        <f>'Data Vlaue (Cr)'!C109</f>
        <v>JSWSTEEL</v>
      </c>
      <c r="B114" s="140">
        <f>VLOOKUP($A114,'Data shares'!$C:$FB,7)</f>
        <v>1293.5999999999999</v>
      </c>
      <c r="C114" s="140">
        <f>VLOOKUP($A114,'Data shares'!$C:$FB,3)</f>
        <v>1301.2</v>
      </c>
      <c r="D114" s="140">
        <f>VLOOKUP($A114,'Data shares'!$C:$FB,4)</f>
        <v>1297.5999999999999</v>
      </c>
      <c r="E114" s="50">
        <f t="shared" si="3"/>
        <v>0.27743526510481942</v>
      </c>
      <c r="F114" s="49">
        <f>VLOOKUP($A114,'Data shares'!$C:$FB,98)</f>
        <v>47417400</v>
      </c>
      <c r="G114" s="49">
        <f>VLOOKUP($A114,'Data shares'!$C:$FB,99)</f>
        <v>58498200</v>
      </c>
      <c r="H114" s="50">
        <f t="shared" si="4"/>
        <v>-18.942121296039879</v>
      </c>
      <c r="I114" s="49">
        <f>VLOOKUP($A114,'Data shares'!$C:$FB,66)</f>
        <v>15776100</v>
      </c>
      <c r="J114" s="49">
        <f>VLOOKUP($A114,'Data shares'!$C:$FB,67)</f>
        <v>22428225</v>
      </c>
      <c r="K114" s="50">
        <f t="shared" si="5"/>
        <v>-42.165839466027727</v>
      </c>
      <c r="L114" s="50">
        <f>VLOOKUP($A114,'Data shares'!$C:$FB,118)</f>
        <v>0.69</v>
      </c>
      <c r="M114" s="50">
        <f>VLOOKUP($A114,'Data shares'!$C:$FB,119)</f>
        <v>0.63</v>
      </c>
      <c r="N114" s="50">
        <f>VLOOKUP($A114,'Data shares'!$C:$FB,121)*100</f>
        <v>9.5200000000000014</v>
      </c>
      <c r="O114" s="50">
        <f>VLOOKUP($A114,'Data shares'!$C:$FB,124)</f>
        <v>0.47</v>
      </c>
      <c r="P114" s="50">
        <f>VLOOKUP($A114,'Data shares'!$C:$FB,125)</f>
        <v>0.38</v>
      </c>
      <c r="Q114" s="50">
        <f>VLOOKUP($A114,'Data shares'!$C:$FB,127)*100</f>
        <v>23.68</v>
      </c>
    </row>
    <row r="115" spans="1:17" x14ac:dyDescent="0.25">
      <c r="A115" s="97" t="str">
        <f>'Data Vlaue (Cr)'!C110</f>
        <v>JUBLFOOD</v>
      </c>
      <c r="B115" s="140">
        <f>VLOOKUP($A115,'Data shares'!$C:$FB,7)</f>
        <v>430.05</v>
      </c>
      <c r="C115" s="140">
        <f>VLOOKUP($A115,'Data shares'!$C:$FB,3)</f>
        <v>430.55</v>
      </c>
      <c r="D115" s="140">
        <f>VLOOKUP($A115,'Data shares'!$C:$FB,4)</f>
        <v>437.5</v>
      </c>
      <c r="E115" s="50">
        <f t="shared" si="3"/>
        <v>-1.5885714285714261</v>
      </c>
      <c r="F115" s="49">
        <f>VLOOKUP($A115,'Data shares'!$C:$FB,98)</f>
        <v>44307500</v>
      </c>
      <c r="G115" s="49">
        <f>VLOOKUP($A115,'Data shares'!$C:$FB,99)</f>
        <v>59062500</v>
      </c>
      <c r="H115" s="50">
        <f t="shared" si="4"/>
        <v>-24.982010582010584</v>
      </c>
      <c r="I115" s="49">
        <f>VLOOKUP($A115,'Data shares'!$C:$FB,66)</f>
        <v>31022500</v>
      </c>
      <c r="J115" s="49">
        <f>VLOOKUP($A115,'Data shares'!$C:$FB,67)</f>
        <v>57786250</v>
      </c>
      <c r="K115" s="50">
        <f t="shared" si="5"/>
        <v>-86.272060601176577</v>
      </c>
      <c r="L115" s="50">
        <f>VLOOKUP($A115,'Data shares'!$C:$FB,118)</f>
        <v>0.79</v>
      </c>
      <c r="M115" s="50">
        <f>VLOOKUP($A115,'Data shares'!$C:$FB,119)</f>
        <v>0.65</v>
      </c>
      <c r="N115" s="50">
        <f>VLOOKUP($A115,'Data shares'!$C:$FB,121)*100</f>
        <v>21.54</v>
      </c>
      <c r="O115" s="50">
        <f>VLOOKUP($A115,'Data shares'!$C:$FB,124)</f>
        <v>0.56000000000000005</v>
      </c>
      <c r="P115" s="50">
        <f>VLOOKUP($A115,'Data shares'!$C:$FB,125)</f>
        <v>0.31</v>
      </c>
      <c r="Q115" s="50">
        <f>VLOOKUP($A115,'Data shares'!$C:$FB,127)*100</f>
        <v>80.650000000000006</v>
      </c>
    </row>
    <row r="116" spans="1:17" x14ac:dyDescent="0.25">
      <c r="A116" s="97" t="str">
        <f>'Data Vlaue (Cr)'!C111</f>
        <v>KALYANKJIL</v>
      </c>
      <c r="B116" s="140">
        <f>VLOOKUP($A116,'Data shares'!$C:$FB,7)</f>
        <v>355.45</v>
      </c>
      <c r="C116" s="140">
        <f>VLOOKUP($A116,'Data shares'!$C:$FB,3)</f>
        <v>358.2</v>
      </c>
      <c r="D116" s="140">
        <f>VLOOKUP($A116,'Data shares'!$C:$FB,4)</f>
        <v>360.95</v>
      </c>
      <c r="E116" s="50">
        <f t="shared" si="3"/>
        <v>-0.7618783765064413</v>
      </c>
      <c r="F116" s="49">
        <f>VLOOKUP($A116,'Data shares'!$C:$FB,98)</f>
        <v>43524375</v>
      </c>
      <c r="G116" s="49">
        <f>VLOOKUP($A116,'Data shares'!$C:$FB,99)</f>
        <v>70928750</v>
      </c>
      <c r="H116" s="50">
        <f t="shared" si="4"/>
        <v>-38.636483795358018</v>
      </c>
      <c r="I116" s="49">
        <f>VLOOKUP($A116,'Data shares'!$C:$FB,66)</f>
        <v>33612050</v>
      </c>
      <c r="J116" s="49">
        <f>VLOOKUP($A116,'Data shares'!$C:$FB,67)</f>
        <v>58712400</v>
      </c>
      <c r="K116" s="50">
        <f t="shared" si="5"/>
        <v>-74.676641264070469</v>
      </c>
      <c r="L116" s="50">
        <f>VLOOKUP($A116,'Data shares'!$C:$FB,118)</f>
        <v>0.64</v>
      </c>
      <c r="M116" s="50">
        <f>VLOOKUP($A116,'Data shares'!$C:$FB,119)</f>
        <v>0.55000000000000004</v>
      </c>
      <c r="N116" s="50">
        <f>VLOOKUP($A116,'Data shares'!$C:$FB,121)*100</f>
        <v>16.36</v>
      </c>
      <c r="O116" s="50">
        <f>VLOOKUP($A116,'Data shares'!$C:$FB,124)</f>
        <v>0.45</v>
      </c>
      <c r="P116" s="50">
        <f>VLOOKUP($A116,'Data shares'!$C:$FB,125)</f>
        <v>0.5</v>
      </c>
      <c r="Q116" s="50">
        <f>VLOOKUP($A116,'Data shares'!$C:$FB,127)*100</f>
        <v>-10</v>
      </c>
    </row>
    <row r="117" spans="1:17" x14ac:dyDescent="0.25">
      <c r="A117" s="97" t="str">
        <f>'Data Vlaue (Cr)'!C112</f>
        <v>KAYNES</v>
      </c>
      <c r="B117" s="140">
        <f>VLOOKUP($A117,'Data shares'!$C:$FB,7)</f>
        <v>3299</v>
      </c>
      <c r="C117" s="140">
        <f>VLOOKUP($A117,'Data shares'!$C:$FB,3)</f>
        <v>3212.1</v>
      </c>
      <c r="D117" s="140">
        <f>VLOOKUP($A117,'Data shares'!$C:$FB,4)</f>
        <v>3180.2</v>
      </c>
      <c r="E117" s="50">
        <f t="shared" si="3"/>
        <v>1.0030815671970346</v>
      </c>
      <c r="F117" s="49">
        <f>VLOOKUP($A117,'Data shares'!$C:$FB,98)</f>
        <v>5650050</v>
      </c>
      <c r="G117" s="49">
        <f>VLOOKUP($A117,'Data shares'!$C:$FB,99)</f>
        <v>9249650</v>
      </c>
      <c r="H117" s="50">
        <f t="shared" si="4"/>
        <v>-38.916067094430602</v>
      </c>
      <c r="I117" s="49">
        <f>VLOOKUP($A117,'Data shares'!$C:$FB,66)</f>
        <v>15797800</v>
      </c>
      <c r="J117" s="49">
        <f>VLOOKUP($A117,'Data shares'!$C:$FB,67)</f>
        <v>3342600</v>
      </c>
      <c r="K117" s="50">
        <f t="shared" si="5"/>
        <v>78.841357657395335</v>
      </c>
      <c r="L117" s="50">
        <f>VLOOKUP($A117,'Data shares'!$C:$FB,118)</f>
        <v>0.66</v>
      </c>
      <c r="M117" s="50">
        <f>VLOOKUP($A117,'Data shares'!$C:$FB,119)</f>
        <v>0.5</v>
      </c>
      <c r="N117" s="50">
        <f>VLOOKUP($A117,'Data shares'!$C:$FB,121)*100</f>
        <v>32</v>
      </c>
      <c r="O117" s="50">
        <f>VLOOKUP($A117,'Data shares'!$C:$FB,124)</f>
        <v>0.57999999999999996</v>
      </c>
      <c r="P117" s="50">
        <f>VLOOKUP($A117,'Data shares'!$C:$FB,125)</f>
        <v>0.49</v>
      </c>
      <c r="Q117" s="50">
        <f>VLOOKUP($A117,'Data shares'!$C:$FB,127)*100</f>
        <v>18.37</v>
      </c>
    </row>
    <row r="118" spans="1:17" x14ac:dyDescent="0.25">
      <c r="A118" s="97" t="str">
        <f>'Data Vlaue (Cr)'!C113</f>
        <v>KEI</v>
      </c>
      <c r="B118" s="140">
        <f>VLOOKUP($A118,'Data shares'!$C:$FB,7)</f>
        <v>5305.5</v>
      </c>
      <c r="C118" s="140">
        <f>VLOOKUP($A118,'Data shares'!$C:$FB,3)</f>
        <v>5338.2</v>
      </c>
      <c r="D118" s="140">
        <f>VLOOKUP($A118,'Data shares'!$C:$FB,4)</f>
        <v>5324.2</v>
      </c>
      <c r="E118" s="50">
        <f t="shared" si="3"/>
        <v>0.26295030239284778</v>
      </c>
      <c r="F118" s="49">
        <f>VLOOKUP($A118,'Data shares'!$C:$FB,98)</f>
        <v>1800050</v>
      </c>
      <c r="G118" s="49">
        <f>VLOOKUP($A118,'Data shares'!$C:$FB,99)</f>
        <v>3034325</v>
      </c>
      <c r="H118" s="50">
        <f t="shared" si="4"/>
        <v>-40.677086337159011</v>
      </c>
      <c r="I118" s="49">
        <f>VLOOKUP($A118,'Data shares'!$C:$FB,66)</f>
        <v>2447725</v>
      </c>
      <c r="J118" s="49">
        <f>VLOOKUP($A118,'Data shares'!$C:$FB,67)</f>
        <v>5268200</v>
      </c>
      <c r="K118" s="50">
        <f t="shared" si="5"/>
        <v>-115.22842639593908</v>
      </c>
      <c r="L118" s="50">
        <f>VLOOKUP($A118,'Data shares'!$C:$FB,118)</f>
        <v>0.57999999999999996</v>
      </c>
      <c r="M118" s="50">
        <f>VLOOKUP($A118,'Data shares'!$C:$FB,119)</f>
        <v>0.79</v>
      </c>
      <c r="N118" s="50">
        <f>VLOOKUP($A118,'Data shares'!$C:$FB,121)*100</f>
        <v>-26.58</v>
      </c>
      <c r="O118" s="50">
        <f>VLOOKUP($A118,'Data shares'!$C:$FB,124)</f>
        <v>1.53</v>
      </c>
      <c r="P118" s="50">
        <f>VLOOKUP($A118,'Data shares'!$C:$FB,125)</f>
        <v>1.54</v>
      </c>
      <c r="Q118" s="50">
        <f>VLOOKUP($A118,'Data shares'!$C:$FB,127)*100</f>
        <v>-0.65</v>
      </c>
    </row>
    <row r="119" spans="1:17" x14ac:dyDescent="0.25">
      <c r="A119" s="97" t="str">
        <f>'Data Vlaue (Cr)'!C114</f>
        <v>KFINTECH</v>
      </c>
      <c r="B119" s="140">
        <f>VLOOKUP($A119,'Data shares'!$C:$FB,7)</f>
        <v>837.05</v>
      </c>
      <c r="C119" s="140">
        <f>VLOOKUP($A119,'Data shares'!$C:$FB,3)</f>
        <v>841.55</v>
      </c>
      <c r="D119" s="140">
        <f>VLOOKUP($A119,'Data shares'!$C:$FB,4)</f>
        <v>828.05</v>
      </c>
      <c r="E119" s="50">
        <f t="shared" si="3"/>
        <v>1.6303363323470808</v>
      </c>
      <c r="F119" s="49">
        <f>VLOOKUP($A119,'Data shares'!$C:$FB,98)</f>
        <v>6042850</v>
      </c>
      <c r="G119" s="49">
        <f>VLOOKUP($A119,'Data shares'!$C:$FB,99)</f>
        <v>12206675</v>
      </c>
      <c r="H119" s="50">
        <f t="shared" si="4"/>
        <v>-50.495528061490944</v>
      </c>
      <c r="I119" s="49">
        <f>VLOOKUP($A119,'Data shares'!$C:$FB,66)</f>
        <v>5130500</v>
      </c>
      <c r="J119" s="49">
        <f>VLOOKUP($A119,'Data shares'!$C:$FB,67)</f>
        <v>8416000</v>
      </c>
      <c r="K119" s="50">
        <f t="shared" si="5"/>
        <v>-64.038592729753447</v>
      </c>
      <c r="L119" s="50">
        <f>VLOOKUP($A119,'Data shares'!$C:$FB,118)</f>
        <v>1.04</v>
      </c>
      <c r="M119" s="50">
        <f>VLOOKUP($A119,'Data shares'!$C:$FB,119)</f>
        <v>0.67</v>
      </c>
      <c r="N119" s="50">
        <f>VLOOKUP($A119,'Data shares'!$C:$FB,121)*100</f>
        <v>55.22</v>
      </c>
      <c r="O119" s="50">
        <f>VLOOKUP($A119,'Data shares'!$C:$FB,124)</f>
        <v>0.68</v>
      </c>
      <c r="P119" s="50">
        <f>VLOOKUP($A119,'Data shares'!$C:$FB,125)</f>
        <v>0.4</v>
      </c>
      <c r="Q119" s="50">
        <f>VLOOKUP($A119,'Data shares'!$C:$FB,127)*100</f>
        <v>70</v>
      </c>
    </row>
    <row r="120" spans="1:17" x14ac:dyDescent="0.25">
      <c r="A120" s="97" t="str">
        <f>'Data Vlaue (Cr)'!C115</f>
        <v>KOTAKBANK</v>
      </c>
      <c r="B120" s="140">
        <f>VLOOKUP($A120,'Data shares'!$C:$FB,7)</f>
        <v>388.65</v>
      </c>
      <c r="C120" s="140">
        <f>VLOOKUP($A120,'Data shares'!$C:$FB,3)</f>
        <v>390.9</v>
      </c>
      <c r="D120" s="140">
        <f>VLOOKUP($A120,'Data shares'!$C:$FB,4)</f>
        <v>396.2</v>
      </c>
      <c r="E120" s="50">
        <f t="shared" si="3"/>
        <v>-1.3377082281675949</v>
      </c>
      <c r="F120" s="49">
        <f>VLOOKUP($A120,'Data shares'!$C:$FB,98)</f>
        <v>216590000</v>
      </c>
      <c r="G120" s="49">
        <f>VLOOKUP($A120,'Data shares'!$C:$FB,99)</f>
        <v>270740000</v>
      </c>
      <c r="H120" s="50">
        <f t="shared" si="4"/>
        <v>-20.0007387161114</v>
      </c>
      <c r="I120" s="49">
        <f>VLOOKUP($A120,'Data shares'!$C:$FB,66)</f>
        <v>94764000</v>
      </c>
      <c r="J120" s="49">
        <f>VLOOKUP($A120,'Data shares'!$C:$FB,67)</f>
        <v>213106000</v>
      </c>
      <c r="K120" s="50">
        <f t="shared" si="5"/>
        <v>-124.88075640538601</v>
      </c>
      <c r="L120" s="50">
        <f>VLOOKUP($A120,'Data shares'!$C:$FB,118)</f>
        <v>0.85</v>
      </c>
      <c r="M120" s="50">
        <f>VLOOKUP($A120,'Data shares'!$C:$FB,119)</f>
        <v>0.82</v>
      </c>
      <c r="N120" s="50">
        <f>VLOOKUP($A120,'Data shares'!$C:$FB,121)*100</f>
        <v>3.66</v>
      </c>
      <c r="O120" s="50">
        <f>VLOOKUP($A120,'Data shares'!$C:$FB,124)</f>
        <v>0.67</v>
      </c>
      <c r="P120" s="50">
        <f>VLOOKUP($A120,'Data shares'!$C:$FB,125)</f>
        <v>0.45</v>
      </c>
      <c r="Q120" s="50">
        <f>VLOOKUP($A120,'Data shares'!$C:$FB,127)*100</f>
        <v>48.89</v>
      </c>
    </row>
    <row r="121" spans="1:17" x14ac:dyDescent="0.25">
      <c r="A121" s="97" t="str">
        <f>'Data Vlaue (Cr)'!C116</f>
        <v>KPITTECH</v>
      </c>
      <c r="B121" s="140">
        <f>VLOOKUP($A121,'Data shares'!$C:$FB,7)</f>
        <v>784.7</v>
      </c>
      <c r="C121" s="140">
        <f>VLOOKUP($A121,'Data shares'!$C:$FB,3)</f>
        <v>764.85</v>
      </c>
      <c r="D121" s="140">
        <f>VLOOKUP($A121,'Data shares'!$C:$FB,4)</f>
        <v>745.35</v>
      </c>
      <c r="E121" s="50">
        <f t="shared" si="3"/>
        <v>2.6162205675186154</v>
      </c>
      <c r="F121" s="49">
        <f>VLOOKUP($A121,'Data shares'!$C:$FB,98)</f>
        <v>11733575</v>
      </c>
      <c r="G121" s="49">
        <f>VLOOKUP($A121,'Data shares'!$C:$FB,99)</f>
        <v>18221700</v>
      </c>
      <c r="H121" s="50">
        <f t="shared" si="4"/>
        <v>-35.606584456993588</v>
      </c>
      <c r="I121" s="49">
        <f>VLOOKUP($A121,'Data shares'!$C:$FB,66)</f>
        <v>17383350</v>
      </c>
      <c r="J121" s="49">
        <f>VLOOKUP($A121,'Data shares'!$C:$FB,67)</f>
        <v>23528000</v>
      </c>
      <c r="K121" s="50">
        <f t="shared" si="5"/>
        <v>-35.347904747934088</v>
      </c>
      <c r="L121" s="50">
        <f>VLOOKUP($A121,'Data shares'!$C:$FB,118)</f>
        <v>0.64</v>
      </c>
      <c r="M121" s="50">
        <f>VLOOKUP($A121,'Data shares'!$C:$FB,119)</f>
        <v>0.55000000000000004</v>
      </c>
      <c r="N121" s="50">
        <f>VLOOKUP($A121,'Data shares'!$C:$FB,121)*100</f>
        <v>16.36</v>
      </c>
      <c r="O121" s="50">
        <f>VLOOKUP($A121,'Data shares'!$C:$FB,124)</f>
        <v>0.24</v>
      </c>
      <c r="P121" s="50">
        <f>VLOOKUP($A121,'Data shares'!$C:$FB,125)</f>
        <v>0.28000000000000003</v>
      </c>
      <c r="Q121" s="50">
        <f>VLOOKUP($A121,'Data shares'!$C:$FB,127)*100</f>
        <v>-14.29</v>
      </c>
    </row>
    <row r="122" spans="1:17" x14ac:dyDescent="0.25">
      <c r="A122" s="97" t="str">
        <f>'Data Vlaue (Cr)'!C117</f>
        <v>LAURUSLABS</v>
      </c>
      <c r="B122" s="140">
        <f>VLOOKUP($A122,'Data shares'!$C:$FB,7)</f>
        <v>1373.9</v>
      </c>
      <c r="C122" s="140">
        <f>VLOOKUP($A122,'Data shares'!$C:$FB,3)</f>
        <v>1381</v>
      </c>
      <c r="D122" s="140">
        <f>VLOOKUP($A122,'Data shares'!$C:$FB,4)</f>
        <v>1368.2</v>
      </c>
      <c r="E122" s="50">
        <f t="shared" si="3"/>
        <v>0.9355357403888287</v>
      </c>
      <c r="F122" s="49">
        <f>VLOOKUP($A122,'Data shares'!$C:$FB,98)</f>
        <v>24434100</v>
      </c>
      <c r="G122" s="49">
        <f>VLOOKUP($A122,'Data shares'!$C:$FB,99)</f>
        <v>34285600</v>
      </c>
      <c r="H122" s="50">
        <f t="shared" si="4"/>
        <v>-28.73363744545815</v>
      </c>
      <c r="I122" s="49">
        <f>VLOOKUP($A122,'Data shares'!$C:$FB,66)</f>
        <v>20734900</v>
      </c>
      <c r="J122" s="49">
        <f>VLOOKUP($A122,'Data shares'!$C:$FB,67)</f>
        <v>23915600</v>
      </c>
      <c r="K122" s="50">
        <f t="shared" si="5"/>
        <v>-15.339837664999589</v>
      </c>
      <c r="L122" s="50">
        <f>VLOOKUP($A122,'Data shares'!$C:$FB,118)</f>
        <v>1.02</v>
      </c>
      <c r="M122" s="50">
        <f>VLOOKUP($A122,'Data shares'!$C:$FB,119)</f>
        <v>1.05</v>
      </c>
      <c r="N122" s="50">
        <f>VLOOKUP($A122,'Data shares'!$C:$FB,121)*100</f>
        <v>-2.86</v>
      </c>
      <c r="O122" s="50">
        <f>VLOOKUP($A122,'Data shares'!$C:$FB,124)</f>
        <v>0.82</v>
      </c>
      <c r="P122" s="50">
        <f>VLOOKUP($A122,'Data shares'!$C:$FB,125)</f>
        <v>0.91</v>
      </c>
      <c r="Q122" s="50">
        <f>VLOOKUP($A122,'Data shares'!$C:$FB,127)*100</f>
        <v>-9.89</v>
      </c>
    </row>
    <row r="123" spans="1:17" x14ac:dyDescent="0.25">
      <c r="A123" s="97" t="str">
        <f>'Data Vlaue (Cr)'!C118</f>
        <v>LICHSGFIN</v>
      </c>
      <c r="B123" s="140">
        <f>VLOOKUP($A123,'Data shares'!$C:$FB,7)</f>
        <v>544.15</v>
      </c>
      <c r="C123" s="140">
        <f>VLOOKUP($A123,'Data shares'!$C:$FB,3)</f>
        <v>548.45000000000005</v>
      </c>
      <c r="D123" s="140">
        <f>VLOOKUP($A123,'Data shares'!$C:$FB,4)</f>
        <v>547.15</v>
      </c>
      <c r="E123" s="50">
        <f t="shared" si="3"/>
        <v>0.23759480946725181</v>
      </c>
      <c r="F123" s="49">
        <f>VLOOKUP($A123,'Data shares'!$C:$FB,98)</f>
        <v>35593000</v>
      </c>
      <c r="G123" s="49">
        <f>VLOOKUP($A123,'Data shares'!$C:$FB,99)</f>
        <v>45027000</v>
      </c>
      <c r="H123" s="50">
        <f t="shared" si="4"/>
        <v>-20.951873320452172</v>
      </c>
      <c r="I123" s="49">
        <f>VLOOKUP($A123,'Data shares'!$C:$FB,66)</f>
        <v>17419000</v>
      </c>
      <c r="J123" s="49">
        <f>VLOOKUP($A123,'Data shares'!$C:$FB,67)</f>
        <v>36248000</v>
      </c>
      <c r="K123" s="50">
        <f t="shared" si="5"/>
        <v>-108.0946093346346</v>
      </c>
      <c r="L123" s="50">
        <f>VLOOKUP($A123,'Data shares'!$C:$FB,118)</f>
        <v>0.99</v>
      </c>
      <c r="M123" s="50">
        <f>VLOOKUP($A123,'Data shares'!$C:$FB,119)</f>
        <v>0.66</v>
      </c>
      <c r="N123" s="50">
        <f>VLOOKUP($A123,'Data shares'!$C:$FB,121)*100</f>
        <v>50</v>
      </c>
      <c r="O123" s="50">
        <f>VLOOKUP($A123,'Data shares'!$C:$FB,124)</f>
        <v>0.68</v>
      </c>
      <c r="P123" s="50">
        <f>VLOOKUP($A123,'Data shares'!$C:$FB,125)</f>
        <v>0.52</v>
      </c>
      <c r="Q123" s="50">
        <f>VLOOKUP($A123,'Data shares'!$C:$FB,127)*100</f>
        <v>30.769999999999996</v>
      </c>
    </row>
    <row r="124" spans="1:17" x14ac:dyDescent="0.25">
      <c r="A124" s="97" t="str">
        <f>'Data Vlaue (Cr)'!C119</f>
        <v>LICI</v>
      </c>
      <c r="B124" s="140">
        <f>VLOOKUP($A124,'Data shares'!$C:$FB,7)</f>
        <v>854.9</v>
      </c>
      <c r="C124" s="140">
        <f>VLOOKUP($A124,'Data shares'!$C:$FB,3)</f>
        <v>861.25</v>
      </c>
      <c r="D124" s="140">
        <f>VLOOKUP($A124,'Data shares'!$C:$FB,4)</f>
        <v>842.35</v>
      </c>
      <c r="E124" s="50">
        <f t="shared" si="3"/>
        <v>2.2437229180269456</v>
      </c>
      <c r="F124" s="49">
        <f>VLOOKUP($A124,'Data shares'!$C:$FB,98)</f>
        <v>17853500</v>
      </c>
      <c r="G124" s="49">
        <f>VLOOKUP($A124,'Data shares'!$C:$FB,99)</f>
        <v>26252800</v>
      </c>
      <c r="H124" s="50">
        <f t="shared" si="4"/>
        <v>-31.993920648464165</v>
      </c>
      <c r="I124" s="49">
        <f>VLOOKUP($A124,'Data shares'!$C:$FB,66)</f>
        <v>28415800</v>
      </c>
      <c r="J124" s="49">
        <f>VLOOKUP($A124,'Data shares'!$C:$FB,67)</f>
        <v>62112400</v>
      </c>
      <c r="K124" s="50">
        <f t="shared" si="5"/>
        <v>-118.58402719613737</v>
      </c>
      <c r="L124" s="50">
        <f>VLOOKUP($A124,'Data shares'!$C:$FB,118)</f>
        <v>0.69</v>
      </c>
      <c r="M124" s="50">
        <f>VLOOKUP($A124,'Data shares'!$C:$FB,119)</f>
        <v>0.56000000000000005</v>
      </c>
      <c r="N124" s="50">
        <f>VLOOKUP($A124,'Data shares'!$C:$FB,121)*100</f>
        <v>23.21</v>
      </c>
      <c r="O124" s="50">
        <f>VLOOKUP($A124,'Data shares'!$C:$FB,124)</f>
        <v>0.34</v>
      </c>
      <c r="P124" s="50">
        <f>VLOOKUP($A124,'Data shares'!$C:$FB,125)</f>
        <v>0.34</v>
      </c>
      <c r="Q124" s="50">
        <f>VLOOKUP($A124,'Data shares'!$C:$FB,127)*100</f>
        <v>0</v>
      </c>
    </row>
    <row r="125" spans="1:17" x14ac:dyDescent="0.25">
      <c r="A125" s="97" t="str">
        <f>'Data Vlaue (Cr)'!C120</f>
        <v>LODHA</v>
      </c>
      <c r="B125" s="140">
        <f>VLOOKUP($A125,'Data shares'!$C:$FB,7)</f>
        <v>903.7</v>
      </c>
      <c r="C125" s="140">
        <f>VLOOKUP($A125,'Data shares'!$C:$FB,3)</f>
        <v>908.85</v>
      </c>
      <c r="D125" s="140">
        <f>VLOOKUP($A125,'Data shares'!$C:$FB,4)</f>
        <v>911.4</v>
      </c>
      <c r="E125" s="50">
        <f t="shared" si="3"/>
        <v>-0.27978933508886927</v>
      </c>
      <c r="F125" s="49">
        <f>VLOOKUP($A125,'Data shares'!$C:$FB,98)</f>
        <v>13819000</v>
      </c>
      <c r="G125" s="49">
        <f>VLOOKUP($A125,'Data shares'!$C:$FB,99)</f>
        <v>19235000</v>
      </c>
      <c r="H125" s="50">
        <f t="shared" si="4"/>
        <v>-28.157005458799063</v>
      </c>
      <c r="I125" s="49">
        <f>VLOOKUP($A125,'Data shares'!$C:$FB,66)</f>
        <v>7020000</v>
      </c>
      <c r="J125" s="49">
        <f>VLOOKUP($A125,'Data shares'!$C:$FB,67)</f>
        <v>17390700</v>
      </c>
      <c r="K125" s="50">
        <f t="shared" si="5"/>
        <v>-147.73076923076923</v>
      </c>
      <c r="L125" s="50">
        <f>VLOOKUP($A125,'Data shares'!$C:$FB,118)</f>
        <v>0.92</v>
      </c>
      <c r="M125" s="50">
        <f>VLOOKUP($A125,'Data shares'!$C:$FB,119)</f>
        <v>0.91</v>
      </c>
      <c r="N125" s="50">
        <f>VLOOKUP($A125,'Data shares'!$C:$FB,121)*100</f>
        <v>1.0999999999999999</v>
      </c>
      <c r="O125" s="50">
        <f>VLOOKUP($A125,'Data shares'!$C:$FB,124)</f>
        <v>0.38</v>
      </c>
      <c r="P125" s="50">
        <f>VLOOKUP($A125,'Data shares'!$C:$FB,125)</f>
        <v>0.52</v>
      </c>
      <c r="Q125" s="50">
        <f>VLOOKUP($A125,'Data shares'!$C:$FB,127)*100</f>
        <v>-26.919999999999998</v>
      </c>
    </row>
    <row r="126" spans="1:17" x14ac:dyDescent="0.25">
      <c r="A126" s="97" t="str">
        <f>'Data Vlaue (Cr)'!C121</f>
        <v>LT</v>
      </c>
      <c r="B126" s="140">
        <f>VLOOKUP($A126,'Data shares'!$C:$FB,7)</f>
        <v>4037.8</v>
      </c>
      <c r="C126" s="140">
        <f>VLOOKUP($A126,'Data shares'!$C:$FB,3)</f>
        <v>4057.7</v>
      </c>
      <c r="D126" s="140">
        <f>VLOOKUP($A126,'Data shares'!$C:$FB,4)</f>
        <v>4057.4</v>
      </c>
      <c r="E126" s="50">
        <f t="shared" si="3"/>
        <v>7.3938975698656078E-3</v>
      </c>
      <c r="F126" s="49">
        <f>VLOOKUP($A126,'Data shares'!$C:$FB,98)</f>
        <v>20515950</v>
      </c>
      <c r="G126" s="49">
        <f>VLOOKUP($A126,'Data shares'!$C:$FB,99)</f>
        <v>29544025</v>
      </c>
      <c r="H126" s="50">
        <f t="shared" si="4"/>
        <v>-30.558040077477592</v>
      </c>
      <c r="I126" s="49">
        <f>VLOOKUP($A126,'Data shares'!$C:$FB,66)</f>
        <v>19083225</v>
      </c>
      <c r="J126" s="49">
        <f>VLOOKUP($A126,'Data shares'!$C:$FB,67)</f>
        <v>39456375</v>
      </c>
      <c r="K126" s="50">
        <f t="shared" si="5"/>
        <v>-106.7594706869515</v>
      </c>
      <c r="L126" s="50">
        <f>VLOOKUP($A126,'Data shares'!$C:$FB,118)</f>
        <v>1.33</v>
      </c>
      <c r="M126" s="50">
        <f>VLOOKUP($A126,'Data shares'!$C:$FB,119)</f>
        <v>0.78</v>
      </c>
      <c r="N126" s="50">
        <f>VLOOKUP($A126,'Data shares'!$C:$FB,121)*100</f>
        <v>70.509999999999991</v>
      </c>
      <c r="O126" s="50">
        <f>VLOOKUP($A126,'Data shares'!$C:$FB,124)</f>
        <v>0.53</v>
      </c>
      <c r="P126" s="50">
        <f>VLOOKUP($A126,'Data shares'!$C:$FB,125)</f>
        <v>0.52</v>
      </c>
      <c r="Q126" s="50">
        <f>VLOOKUP($A126,'Data shares'!$C:$FB,127)*100</f>
        <v>1.92</v>
      </c>
    </row>
    <row r="127" spans="1:17" x14ac:dyDescent="0.25">
      <c r="A127" s="97" t="str">
        <f>'Data Vlaue (Cr)'!C122</f>
        <v>LTF</v>
      </c>
      <c r="B127" s="140">
        <f>VLOOKUP($A127,'Data shares'!$C:$FB,7)</f>
        <v>282.7</v>
      </c>
      <c r="C127" s="140">
        <f>VLOOKUP($A127,'Data shares'!$C:$FB,3)</f>
        <v>283.64999999999998</v>
      </c>
      <c r="D127" s="140">
        <f>VLOOKUP($A127,'Data shares'!$C:$FB,4)</f>
        <v>280.05</v>
      </c>
      <c r="E127" s="50">
        <f t="shared" si="3"/>
        <v>1.2854847348687612</v>
      </c>
      <c r="F127" s="49">
        <f>VLOOKUP($A127,'Data shares'!$C:$FB,98)</f>
        <v>57075750</v>
      </c>
      <c r="G127" s="49">
        <f>VLOOKUP($A127,'Data shares'!$C:$FB,99)</f>
        <v>81963000</v>
      </c>
      <c r="H127" s="50">
        <f t="shared" si="4"/>
        <v>-30.364005709893487</v>
      </c>
      <c r="I127" s="49">
        <f>VLOOKUP($A127,'Data shares'!$C:$FB,66)</f>
        <v>46071000</v>
      </c>
      <c r="J127" s="49">
        <f>VLOOKUP($A127,'Data shares'!$C:$FB,67)</f>
        <v>84737250</v>
      </c>
      <c r="K127" s="50">
        <f t="shared" si="5"/>
        <v>-83.927524907208436</v>
      </c>
      <c r="L127" s="50">
        <f>VLOOKUP($A127,'Data shares'!$C:$FB,118)</f>
        <v>0.92</v>
      </c>
      <c r="M127" s="50">
        <f>VLOOKUP($A127,'Data shares'!$C:$FB,119)</f>
        <v>0.69</v>
      </c>
      <c r="N127" s="50">
        <f>VLOOKUP($A127,'Data shares'!$C:$FB,121)*100</f>
        <v>33.33</v>
      </c>
      <c r="O127" s="50">
        <f>VLOOKUP($A127,'Data shares'!$C:$FB,124)</f>
        <v>0.33</v>
      </c>
      <c r="P127" s="50">
        <f>VLOOKUP($A127,'Data shares'!$C:$FB,125)</f>
        <v>0.62</v>
      </c>
      <c r="Q127" s="50">
        <f>VLOOKUP($A127,'Data shares'!$C:$FB,127)*100</f>
        <v>-46.77</v>
      </c>
    </row>
    <row r="128" spans="1:17" x14ac:dyDescent="0.25">
      <c r="A128" s="97" t="str">
        <f>'Data Vlaue (Cr)'!C123</f>
        <v>LTM</v>
      </c>
      <c r="B128" s="140">
        <f>VLOOKUP($A128,'Data shares'!$C:$FB,7)</f>
        <v>3970.4</v>
      </c>
      <c r="C128" s="140">
        <f>VLOOKUP($A128,'Data shares'!$C:$FB,3)</f>
        <v>3972.6</v>
      </c>
      <c r="D128" s="140">
        <f>VLOOKUP($A128,'Data shares'!$C:$FB,4)</f>
        <v>3934.4</v>
      </c>
      <c r="E128" s="50">
        <f t="shared" si="3"/>
        <v>0.9709231394875919</v>
      </c>
      <c r="F128" s="49">
        <f>VLOOKUP($A128,'Data shares'!$C:$FB,98)</f>
        <v>4881300</v>
      </c>
      <c r="G128" s="49">
        <f>VLOOKUP($A128,'Data shares'!$C:$FB,99)</f>
        <v>7222650</v>
      </c>
      <c r="H128" s="50">
        <f t="shared" si="4"/>
        <v>-32.416772237336708</v>
      </c>
      <c r="I128" s="49">
        <f>VLOOKUP($A128,'Data shares'!$C:$FB,66)</f>
        <v>4308150</v>
      </c>
      <c r="J128" s="49">
        <f>VLOOKUP($A128,'Data shares'!$C:$FB,67)</f>
        <v>8830800</v>
      </c>
      <c r="K128" s="50">
        <f t="shared" si="5"/>
        <v>-104.97893527384143</v>
      </c>
      <c r="L128" s="50">
        <f>VLOOKUP($A128,'Data shares'!$C:$FB,118)</f>
        <v>0.72</v>
      </c>
      <c r="M128" s="50">
        <f>VLOOKUP($A128,'Data shares'!$C:$FB,119)</f>
        <v>0.54</v>
      </c>
      <c r="N128" s="50">
        <f>VLOOKUP($A128,'Data shares'!$C:$FB,121)*100</f>
        <v>33.33</v>
      </c>
      <c r="O128" s="50">
        <f>VLOOKUP($A128,'Data shares'!$C:$FB,124)</f>
        <v>0.31</v>
      </c>
      <c r="P128" s="50">
        <f>VLOOKUP($A128,'Data shares'!$C:$FB,125)</f>
        <v>0.43</v>
      </c>
      <c r="Q128" s="50">
        <f>VLOOKUP($A128,'Data shares'!$C:$FB,127)*100</f>
        <v>-27.91</v>
      </c>
    </row>
    <row r="129" spans="1:17" x14ac:dyDescent="0.25">
      <c r="A129" s="97" t="str">
        <f>'Data Vlaue (Cr)'!C124</f>
        <v>LUPIN</v>
      </c>
      <c r="B129" s="140">
        <f>VLOOKUP($A129,'Data shares'!$C:$FB,7)</f>
        <v>2266</v>
      </c>
      <c r="C129" s="140">
        <f>VLOOKUP($A129,'Data shares'!$C:$FB,3)</f>
        <v>2279.3000000000002</v>
      </c>
      <c r="D129" s="140">
        <f>VLOOKUP($A129,'Data shares'!$C:$FB,4)</f>
        <v>2289.4</v>
      </c>
      <c r="E129" s="50">
        <f t="shared" si="3"/>
        <v>-0.4411636236568493</v>
      </c>
      <c r="F129" s="49">
        <f>VLOOKUP($A129,'Data shares'!$C:$FB,98)</f>
        <v>9028700</v>
      </c>
      <c r="G129" s="49">
        <f>VLOOKUP($A129,'Data shares'!$C:$FB,99)</f>
        <v>19050625</v>
      </c>
      <c r="H129" s="50">
        <f t="shared" si="4"/>
        <v>-52.606804238706083</v>
      </c>
      <c r="I129" s="49">
        <f>VLOOKUP($A129,'Data shares'!$C:$FB,66)</f>
        <v>9847675</v>
      </c>
      <c r="J129" s="49">
        <f>VLOOKUP($A129,'Data shares'!$C:$FB,67)</f>
        <v>14255775</v>
      </c>
      <c r="K129" s="50">
        <f t="shared" si="5"/>
        <v>-44.762850114367097</v>
      </c>
      <c r="L129" s="50">
        <f>VLOOKUP($A129,'Data shares'!$C:$FB,118)</f>
        <v>0.81</v>
      </c>
      <c r="M129" s="50">
        <f>VLOOKUP($A129,'Data shares'!$C:$FB,119)</f>
        <v>0.5</v>
      </c>
      <c r="N129" s="50">
        <f>VLOOKUP($A129,'Data shares'!$C:$FB,121)*100</f>
        <v>62</v>
      </c>
      <c r="O129" s="50">
        <f>VLOOKUP($A129,'Data shares'!$C:$FB,124)</f>
        <v>0.4</v>
      </c>
      <c r="P129" s="50">
        <f>VLOOKUP($A129,'Data shares'!$C:$FB,125)</f>
        <v>0.36</v>
      </c>
      <c r="Q129" s="50">
        <f>VLOOKUP($A129,'Data shares'!$C:$FB,127)*100</f>
        <v>11.110000000000001</v>
      </c>
    </row>
    <row r="130" spans="1:17" x14ac:dyDescent="0.25">
      <c r="A130" s="97" t="str">
        <f>'Data Vlaue (Cr)'!C125</f>
        <v>M&amp;M</v>
      </c>
      <c r="B130" s="140">
        <f>VLOOKUP($A130,'Data shares'!$C:$FB,7)</f>
        <v>3107.3</v>
      </c>
      <c r="C130" s="140">
        <f>VLOOKUP($A130,'Data shares'!$C:$FB,3)</f>
        <v>3127.8</v>
      </c>
      <c r="D130" s="140">
        <f>VLOOKUP($A130,'Data shares'!$C:$FB,4)</f>
        <v>3163.9</v>
      </c>
      <c r="E130" s="50">
        <f t="shared" si="3"/>
        <v>-1.1409968709504064</v>
      </c>
      <c r="F130" s="49">
        <f>VLOOKUP($A130,'Data shares'!$C:$FB,98)</f>
        <v>23583600</v>
      </c>
      <c r="G130" s="49">
        <f>VLOOKUP($A130,'Data shares'!$C:$FB,99)</f>
        <v>29847000</v>
      </c>
      <c r="H130" s="50">
        <f t="shared" si="4"/>
        <v>-20.985023620464368</v>
      </c>
      <c r="I130" s="49">
        <f>VLOOKUP($A130,'Data shares'!$C:$FB,66)</f>
        <v>14034400</v>
      </c>
      <c r="J130" s="49">
        <f>VLOOKUP($A130,'Data shares'!$C:$FB,67)</f>
        <v>27855800</v>
      </c>
      <c r="K130" s="50">
        <f t="shared" si="5"/>
        <v>-98.482300632730997</v>
      </c>
      <c r="L130" s="50">
        <f>VLOOKUP($A130,'Data shares'!$C:$FB,118)</f>
        <v>0.84</v>
      </c>
      <c r="M130" s="50">
        <f>VLOOKUP($A130,'Data shares'!$C:$FB,119)</f>
        <v>0.88</v>
      </c>
      <c r="N130" s="50">
        <f>VLOOKUP($A130,'Data shares'!$C:$FB,121)*100</f>
        <v>-4.55</v>
      </c>
      <c r="O130" s="50">
        <f>VLOOKUP($A130,'Data shares'!$C:$FB,124)</f>
        <v>0.54</v>
      </c>
      <c r="P130" s="50">
        <f>VLOOKUP($A130,'Data shares'!$C:$FB,125)</f>
        <v>0.49</v>
      </c>
      <c r="Q130" s="50">
        <f>VLOOKUP($A130,'Data shares'!$C:$FB,127)*100</f>
        <v>10.199999999999999</v>
      </c>
    </row>
    <row r="131" spans="1:17" x14ac:dyDescent="0.25">
      <c r="A131" s="97" t="str">
        <f>'Data Vlaue (Cr)'!C126</f>
        <v>MANAPPURAM</v>
      </c>
      <c r="B131" s="140">
        <f>VLOOKUP($A131,'Data shares'!$C:$FB,7)</f>
        <v>330.25</v>
      </c>
      <c r="C131" s="140">
        <f>VLOOKUP($A131,'Data shares'!$C:$FB,3)</f>
        <v>332.65</v>
      </c>
      <c r="D131" s="140">
        <f>VLOOKUP($A131,'Data shares'!$C:$FB,4)</f>
        <v>328.2</v>
      </c>
      <c r="E131" s="50">
        <f t="shared" si="3"/>
        <v>1.3558805606337565</v>
      </c>
      <c r="F131" s="49">
        <f>VLOOKUP($A131,'Data shares'!$C:$FB,98)</f>
        <v>58515000</v>
      </c>
      <c r="G131" s="49">
        <f>VLOOKUP($A131,'Data shares'!$C:$FB,99)</f>
        <v>75459000</v>
      </c>
      <c r="H131" s="50">
        <f t="shared" si="4"/>
        <v>-22.454577982745597</v>
      </c>
      <c r="I131" s="49">
        <f>VLOOKUP($A131,'Data shares'!$C:$FB,66)</f>
        <v>40713000</v>
      </c>
      <c r="J131" s="49">
        <f>VLOOKUP($A131,'Data shares'!$C:$FB,67)</f>
        <v>57084000</v>
      </c>
      <c r="K131" s="50">
        <f t="shared" si="5"/>
        <v>-40.210743497163072</v>
      </c>
      <c r="L131" s="50">
        <f>VLOOKUP($A131,'Data shares'!$C:$FB,118)</f>
        <v>0.47</v>
      </c>
      <c r="M131" s="50">
        <f>VLOOKUP($A131,'Data shares'!$C:$FB,119)</f>
        <v>0.89</v>
      </c>
      <c r="N131" s="50">
        <f>VLOOKUP($A131,'Data shares'!$C:$FB,121)*100</f>
        <v>-47.19</v>
      </c>
      <c r="O131" s="50">
        <f>VLOOKUP($A131,'Data shares'!$C:$FB,124)</f>
        <v>0.45</v>
      </c>
      <c r="P131" s="50">
        <f>VLOOKUP($A131,'Data shares'!$C:$FB,125)</f>
        <v>0.45</v>
      </c>
      <c r="Q131" s="50">
        <f>VLOOKUP($A131,'Data shares'!$C:$FB,127)*100</f>
        <v>0</v>
      </c>
    </row>
    <row r="132" spans="1:17" x14ac:dyDescent="0.25">
      <c r="A132" s="97" t="str">
        <f>'Data Vlaue (Cr)'!C127</f>
        <v>MANKIND</v>
      </c>
      <c r="B132" s="140">
        <f>VLOOKUP($A132,'Data shares'!$C:$FB,7)</f>
        <v>2423.6</v>
      </c>
      <c r="C132" s="140">
        <f>VLOOKUP($A132,'Data shares'!$C:$FB,3)</f>
        <v>2440.6</v>
      </c>
      <c r="D132" s="140">
        <f>VLOOKUP($A132,'Data shares'!$C:$FB,4)</f>
        <v>2473.5</v>
      </c>
      <c r="E132" s="50">
        <f t="shared" si="3"/>
        <v>-1.3300990499292538</v>
      </c>
      <c r="F132" s="49">
        <f>VLOOKUP($A132,'Data shares'!$C:$FB,98)</f>
        <v>4161125</v>
      </c>
      <c r="G132" s="49">
        <f>VLOOKUP($A132,'Data shares'!$C:$FB,99)</f>
        <v>6022450</v>
      </c>
      <c r="H132" s="50">
        <f t="shared" si="4"/>
        <v>-30.906441730524953</v>
      </c>
      <c r="I132" s="49">
        <f>VLOOKUP($A132,'Data shares'!$C:$FB,66)</f>
        <v>2958975</v>
      </c>
      <c r="J132" s="49">
        <f>VLOOKUP($A132,'Data shares'!$C:$FB,67)</f>
        <v>5377275</v>
      </c>
      <c r="K132" s="50">
        <f t="shared" si="5"/>
        <v>-81.727625275644428</v>
      </c>
      <c r="L132" s="50">
        <f>VLOOKUP($A132,'Data shares'!$C:$FB,118)</f>
        <v>0.65</v>
      </c>
      <c r="M132" s="50">
        <f>VLOOKUP($A132,'Data shares'!$C:$FB,119)</f>
        <v>0.57999999999999996</v>
      </c>
      <c r="N132" s="50">
        <f>VLOOKUP($A132,'Data shares'!$C:$FB,121)*100</f>
        <v>12.07</v>
      </c>
      <c r="O132" s="50">
        <f>VLOOKUP($A132,'Data shares'!$C:$FB,124)</f>
        <v>0.98</v>
      </c>
      <c r="P132" s="50">
        <f>VLOOKUP($A132,'Data shares'!$C:$FB,125)</f>
        <v>0.74</v>
      </c>
      <c r="Q132" s="50">
        <f>VLOOKUP($A132,'Data shares'!$C:$FB,127)*100</f>
        <v>32.43</v>
      </c>
    </row>
    <row r="133" spans="1:17" x14ac:dyDescent="0.25">
      <c r="A133" s="97" t="str">
        <f>'Data Vlaue (Cr)'!C128</f>
        <v>MARICO</v>
      </c>
      <c r="B133" s="140">
        <f>VLOOKUP($A133,'Data shares'!$C:$FB,7)</f>
        <v>830</v>
      </c>
      <c r="C133" s="140">
        <f>VLOOKUP($A133,'Data shares'!$C:$FB,3)</f>
        <v>834.35</v>
      </c>
      <c r="D133" s="140">
        <f>VLOOKUP($A133,'Data shares'!$C:$FB,4)</f>
        <v>827.8</v>
      </c>
      <c r="E133" s="50">
        <f t="shared" si="3"/>
        <v>0.79125392606910705</v>
      </c>
      <c r="F133" s="49">
        <f>VLOOKUP($A133,'Data shares'!$C:$FB,98)</f>
        <v>19064400</v>
      </c>
      <c r="G133" s="49">
        <f>VLOOKUP($A133,'Data shares'!$C:$FB,99)</f>
        <v>27595200</v>
      </c>
      <c r="H133" s="50">
        <f t="shared" si="4"/>
        <v>-30.914072012523917</v>
      </c>
      <c r="I133" s="49">
        <f>VLOOKUP($A133,'Data shares'!$C:$FB,66)</f>
        <v>10234800</v>
      </c>
      <c r="J133" s="49">
        <f>VLOOKUP($A133,'Data shares'!$C:$FB,67)</f>
        <v>17143200</v>
      </c>
      <c r="K133" s="50">
        <f t="shared" si="5"/>
        <v>-67.499120647203654</v>
      </c>
      <c r="L133" s="50">
        <f>VLOOKUP($A133,'Data shares'!$C:$FB,118)</f>
        <v>0.89</v>
      </c>
      <c r="M133" s="50">
        <f>VLOOKUP($A133,'Data shares'!$C:$FB,119)</f>
        <v>0.69</v>
      </c>
      <c r="N133" s="50">
        <f>VLOOKUP($A133,'Data shares'!$C:$FB,121)*100</f>
        <v>28.99</v>
      </c>
      <c r="O133" s="50">
        <f>VLOOKUP($A133,'Data shares'!$C:$FB,124)</f>
        <v>0.74</v>
      </c>
      <c r="P133" s="50">
        <f>VLOOKUP($A133,'Data shares'!$C:$FB,125)</f>
        <v>0.87</v>
      </c>
      <c r="Q133" s="50">
        <f>VLOOKUP($A133,'Data shares'!$C:$FB,127)*100</f>
        <v>-14.940000000000001</v>
      </c>
    </row>
    <row r="134" spans="1:17" x14ac:dyDescent="0.25">
      <c r="A134" s="97" t="str">
        <f>'Data Vlaue (Cr)'!C129</f>
        <v>MARUTI</v>
      </c>
      <c r="B134" s="140">
        <f>VLOOKUP($A134,'Data shares'!$C:$FB,7)</f>
        <v>13208</v>
      </c>
      <c r="C134" s="140">
        <f>VLOOKUP($A134,'Data shares'!$C:$FB,3)</f>
        <v>13279</v>
      </c>
      <c r="D134" s="140">
        <f>VLOOKUP($A134,'Data shares'!$C:$FB,4)</f>
        <v>13270</v>
      </c>
      <c r="E134" s="50">
        <f t="shared" si="3"/>
        <v>6.7822155237377543E-2</v>
      </c>
      <c r="F134" s="49">
        <f>VLOOKUP($A134,'Data shares'!$C:$FB,98)</f>
        <v>4039750</v>
      </c>
      <c r="G134" s="49">
        <f>VLOOKUP($A134,'Data shares'!$C:$FB,99)</f>
        <v>6801000</v>
      </c>
      <c r="H134" s="50">
        <f t="shared" si="4"/>
        <v>-40.600646963681811</v>
      </c>
      <c r="I134" s="49">
        <f>VLOOKUP($A134,'Data shares'!$C:$FB,66)</f>
        <v>4931050</v>
      </c>
      <c r="J134" s="49">
        <f>VLOOKUP($A134,'Data shares'!$C:$FB,67)</f>
        <v>8365750</v>
      </c>
      <c r="K134" s="50">
        <f t="shared" si="5"/>
        <v>-69.654536052159273</v>
      </c>
      <c r="L134" s="50">
        <f>VLOOKUP($A134,'Data shares'!$C:$FB,118)</f>
        <v>0.72</v>
      </c>
      <c r="M134" s="50">
        <f>VLOOKUP($A134,'Data shares'!$C:$FB,119)</f>
        <v>0.43</v>
      </c>
      <c r="N134" s="50">
        <f>VLOOKUP($A134,'Data shares'!$C:$FB,121)*100</f>
        <v>67.44</v>
      </c>
      <c r="O134" s="50">
        <f>VLOOKUP($A134,'Data shares'!$C:$FB,124)</f>
        <v>0.45</v>
      </c>
      <c r="P134" s="50">
        <f>VLOOKUP($A134,'Data shares'!$C:$FB,125)</f>
        <v>0.48</v>
      </c>
      <c r="Q134" s="50">
        <f>VLOOKUP($A134,'Data shares'!$C:$FB,127)*100</f>
        <v>-6.25</v>
      </c>
    </row>
    <row r="135" spans="1:17" x14ac:dyDescent="0.25">
      <c r="A135" s="97" t="str">
        <f>'Data Vlaue (Cr)'!C130</f>
        <v>MAXHEALTH</v>
      </c>
      <c r="B135" s="140">
        <f>VLOOKUP($A135,'Data shares'!$C:$FB,7)</f>
        <v>993.95</v>
      </c>
      <c r="C135" s="140">
        <f>VLOOKUP($A135,'Data shares'!$C:$FB,3)</f>
        <v>1000</v>
      </c>
      <c r="D135" s="140">
        <f>VLOOKUP($A135,'Data shares'!$C:$FB,4)</f>
        <v>1008.25</v>
      </c>
      <c r="E135" s="50">
        <f t="shared" si="3"/>
        <v>-0.81824944210265316</v>
      </c>
      <c r="F135" s="49">
        <f>VLOOKUP($A135,'Data shares'!$C:$FB,98)</f>
        <v>20211450</v>
      </c>
      <c r="G135" s="49">
        <f>VLOOKUP($A135,'Data shares'!$C:$FB,99)</f>
        <v>26300925</v>
      </c>
      <c r="H135" s="50">
        <f t="shared" si="4"/>
        <v>-23.153083018943249</v>
      </c>
      <c r="I135" s="49">
        <f>VLOOKUP($A135,'Data shares'!$C:$FB,66)</f>
        <v>14795550</v>
      </c>
      <c r="J135" s="49">
        <f>VLOOKUP($A135,'Data shares'!$C:$FB,67)</f>
        <v>39660600</v>
      </c>
      <c r="K135" s="50">
        <f t="shared" si="5"/>
        <v>-168.05762543467461</v>
      </c>
      <c r="L135" s="50">
        <f>VLOOKUP($A135,'Data shares'!$C:$FB,118)</f>
        <v>0.42</v>
      </c>
      <c r="M135" s="50">
        <f>VLOOKUP($A135,'Data shares'!$C:$FB,119)</f>
        <v>0.46</v>
      </c>
      <c r="N135" s="50">
        <f>VLOOKUP($A135,'Data shares'!$C:$FB,121)*100</f>
        <v>-8.6999999999999993</v>
      </c>
      <c r="O135" s="50">
        <f>VLOOKUP($A135,'Data shares'!$C:$FB,124)</f>
        <v>0.55000000000000004</v>
      </c>
      <c r="P135" s="50">
        <f>VLOOKUP($A135,'Data shares'!$C:$FB,125)</f>
        <v>0.62</v>
      </c>
      <c r="Q135" s="50">
        <f>VLOOKUP($A135,'Data shares'!$C:$FB,127)*100</f>
        <v>-11.29</v>
      </c>
    </row>
    <row r="136" spans="1:17" x14ac:dyDescent="0.25">
      <c r="A136" s="97" t="str">
        <f>'Data Vlaue (Cr)'!C131</f>
        <v>MAZDOCK</v>
      </c>
      <c r="B136" s="140">
        <f>VLOOKUP($A136,'Data shares'!$C:$FB,7)</f>
        <v>2460.1</v>
      </c>
      <c r="C136" s="140">
        <f>VLOOKUP($A136,'Data shares'!$C:$FB,3)</f>
        <v>2473.5</v>
      </c>
      <c r="D136" s="140">
        <f>VLOOKUP($A136,'Data shares'!$C:$FB,4)</f>
        <v>2452</v>
      </c>
      <c r="E136" s="50">
        <f t="shared" ref="E136:E172" si="6">(C136-D136)/D136*100</f>
        <v>0.87683523654159878</v>
      </c>
      <c r="F136" s="49">
        <f>VLOOKUP($A136,'Data shares'!$C:$FB,98)</f>
        <v>5761250</v>
      </c>
      <c r="G136" s="49">
        <f>VLOOKUP($A136,'Data shares'!$C:$FB,99)</f>
        <v>11780450</v>
      </c>
      <c r="H136" s="50">
        <f t="shared" ref="H136:H172" si="7">(F136-G136)/G136*100</f>
        <v>-51.094822353984782</v>
      </c>
      <c r="I136" s="49">
        <f>VLOOKUP($A136,'Data shares'!$C:$FB,66)</f>
        <v>7635800</v>
      </c>
      <c r="J136" s="49">
        <f>VLOOKUP($A136,'Data shares'!$C:$FB,67)</f>
        <v>8866000</v>
      </c>
      <c r="K136" s="50">
        <f t="shared" ref="K136:K172" si="8">(I136-J136)/I136*100</f>
        <v>-16.110951046386756</v>
      </c>
      <c r="L136" s="50">
        <f>VLOOKUP($A136,'Data shares'!$C:$FB,118)</f>
        <v>0.76</v>
      </c>
      <c r="M136" s="50">
        <f>VLOOKUP($A136,'Data shares'!$C:$FB,119)</f>
        <v>0.46</v>
      </c>
      <c r="N136" s="50">
        <f>VLOOKUP($A136,'Data shares'!$C:$FB,121)*100</f>
        <v>65.22</v>
      </c>
      <c r="O136" s="50">
        <f>VLOOKUP($A136,'Data shares'!$C:$FB,124)</f>
        <v>0.5</v>
      </c>
      <c r="P136" s="50">
        <f>VLOOKUP($A136,'Data shares'!$C:$FB,125)</f>
        <v>0.33</v>
      </c>
      <c r="Q136" s="50">
        <f>VLOOKUP($A136,'Data shares'!$C:$FB,127)*100</f>
        <v>51.519999999999996</v>
      </c>
    </row>
    <row r="137" spans="1:17" x14ac:dyDescent="0.25">
      <c r="A137" s="97" t="str">
        <f>'Data Vlaue (Cr)'!C132</f>
        <v>MCX</v>
      </c>
      <c r="B137" s="140">
        <f>VLOOKUP($A137,'Data shares'!$C:$FB,7)</f>
        <v>3307.3</v>
      </c>
      <c r="C137" s="140">
        <f>VLOOKUP($A137,'Data shares'!$C:$FB,3)</f>
        <v>3321.6</v>
      </c>
      <c r="D137" s="140">
        <f>VLOOKUP($A137,'Data shares'!$C:$FB,4)</f>
        <v>3331.8</v>
      </c>
      <c r="E137" s="50">
        <f t="shared" si="6"/>
        <v>-0.30614082477940668</v>
      </c>
      <c r="F137" s="49">
        <f>VLOOKUP($A137,'Data shares'!$C:$FB,98)</f>
        <v>17212100</v>
      </c>
      <c r="G137" s="49">
        <f>VLOOKUP($A137,'Data shares'!$C:$FB,99)</f>
        <v>25165325</v>
      </c>
      <c r="H137" s="50">
        <f t="shared" si="7"/>
        <v>-31.603903386902417</v>
      </c>
      <c r="I137" s="49">
        <f>VLOOKUP($A137,'Data shares'!$C:$FB,66)</f>
        <v>24443750</v>
      </c>
      <c r="J137" s="49">
        <f>VLOOKUP($A137,'Data shares'!$C:$FB,67)</f>
        <v>48255000</v>
      </c>
      <c r="K137" s="50">
        <f t="shared" si="8"/>
        <v>-97.412426489388906</v>
      </c>
      <c r="L137" s="50">
        <f>VLOOKUP($A137,'Data shares'!$C:$FB,118)</f>
        <v>0.67</v>
      </c>
      <c r="M137" s="50">
        <f>VLOOKUP($A137,'Data shares'!$C:$FB,119)</f>
        <v>0.74</v>
      </c>
      <c r="N137" s="50">
        <f>VLOOKUP($A137,'Data shares'!$C:$FB,121)*100</f>
        <v>-9.4600000000000009</v>
      </c>
      <c r="O137" s="50">
        <f>VLOOKUP($A137,'Data shares'!$C:$FB,124)</f>
        <v>0.51</v>
      </c>
      <c r="P137" s="50">
        <f>VLOOKUP($A137,'Data shares'!$C:$FB,125)</f>
        <v>0.45</v>
      </c>
      <c r="Q137" s="50">
        <f>VLOOKUP($A137,'Data shares'!$C:$FB,127)*100</f>
        <v>13.33</v>
      </c>
    </row>
    <row r="138" spans="1:17" x14ac:dyDescent="0.25">
      <c r="A138" s="97" t="str">
        <f>'Data Vlaue (Cr)'!C133</f>
        <v>MFSL</v>
      </c>
      <c r="B138" s="140">
        <f>VLOOKUP($A138,'Data shares'!$C:$FB,7)</f>
        <v>1725.6</v>
      </c>
      <c r="C138" s="140">
        <f>VLOOKUP($A138,'Data shares'!$C:$FB,3)</f>
        <v>1739</v>
      </c>
      <c r="D138" s="140">
        <f>VLOOKUP($A138,'Data shares'!$C:$FB,4)</f>
        <v>1737.4</v>
      </c>
      <c r="E138" s="50">
        <f t="shared" si="6"/>
        <v>9.2091631173011904E-2</v>
      </c>
      <c r="F138" s="49">
        <f>VLOOKUP($A138,'Data shares'!$C:$FB,98)</f>
        <v>10447600</v>
      </c>
      <c r="G138" s="49">
        <f>VLOOKUP($A138,'Data shares'!$C:$FB,99)</f>
        <v>11913600</v>
      </c>
      <c r="H138" s="50">
        <f t="shared" si="7"/>
        <v>-12.305264571582057</v>
      </c>
      <c r="I138" s="49">
        <f>VLOOKUP($A138,'Data shares'!$C:$FB,66)</f>
        <v>6744000</v>
      </c>
      <c r="J138" s="49">
        <f>VLOOKUP($A138,'Data shares'!$C:$FB,67)</f>
        <v>12451200</v>
      </c>
      <c r="K138" s="50">
        <f t="shared" si="8"/>
        <v>-84.62633451957295</v>
      </c>
      <c r="L138" s="50">
        <f>VLOOKUP($A138,'Data shares'!$C:$FB,118)</f>
        <v>0.74</v>
      </c>
      <c r="M138" s="50">
        <f>VLOOKUP($A138,'Data shares'!$C:$FB,119)</f>
        <v>0.65</v>
      </c>
      <c r="N138" s="50">
        <f>VLOOKUP($A138,'Data shares'!$C:$FB,121)*100</f>
        <v>13.850000000000001</v>
      </c>
      <c r="O138" s="50">
        <f>VLOOKUP($A138,'Data shares'!$C:$FB,124)</f>
        <v>0.33</v>
      </c>
      <c r="P138" s="50">
        <f>VLOOKUP($A138,'Data shares'!$C:$FB,125)</f>
        <v>0.31</v>
      </c>
      <c r="Q138" s="50">
        <f>VLOOKUP($A138,'Data shares'!$C:$FB,127)*100</f>
        <v>6.45</v>
      </c>
    </row>
    <row r="139" spans="1:17" x14ac:dyDescent="0.25">
      <c r="A139" s="97" t="str">
        <f>'Data Vlaue (Cr)'!C134</f>
        <v>MIDCPNIFTY</v>
      </c>
      <c r="B139" s="140">
        <f>VLOOKUP($A139,'Data shares'!$C:$FB,7)</f>
        <v>14675.6</v>
      </c>
      <c r="C139" s="140">
        <f>VLOOKUP($A139,'Data shares'!$C:$FB,3)</f>
        <v>14777.15</v>
      </c>
      <c r="D139" s="140">
        <f>VLOOKUP($A139,'Data shares'!$C:$FB,4)</f>
        <v>14661.75</v>
      </c>
      <c r="E139" s="50">
        <f t="shared" si="6"/>
        <v>0.78708203318157544</v>
      </c>
      <c r="F139" s="49">
        <f>VLOOKUP($A139,'Data shares'!$C:$FB,98)</f>
        <v>5443800</v>
      </c>
      <c r="G139" s="49">
        <f>VLOOKUP($A139,'Data shares'!$C:$FB,99)</f>
        <v>19945800</v>
      </c>
      <c r="H139" s="50">
        <f t="shared" si="7"/>
        <v>-72.707036067743587</v>
      </c>
      <c r="I139" s="49">
        <f>VLOOKUP($A139,'Data shares'!$C:$FB,66)</f>
        <v>715997160</v>
      </c>
      <c r="J139" s="49">
        <f>VLOOKUP($A139,'Data shares'!$C:$FB,67)</f>
        <v>110670240</v>
      </c>
      <c r="K139" s="50">
        <f t="shared" si="8"/>
        <v>84.543201260742435</v>
      </c>
      <c r="L139" s="50">
        <f>VLOOKUP($A139,'Data shares'!$C:$FB,118)</f>
        <v>1.1200000000000001</v>
      </c>
      <c r="M139" s="50">
        <f>VLOOKUP($A139,'Data shares'!$C:$FB,119)</f>
        <v>1.24</v>
      </c>
      <c r="N139" s="50">
        <f>VLOOKUP($A139,'Data shares'!$C:$FB,121)*100</f>
        <v>-9.68</v>
      </c>
      <c r="O139" s="50">
        <f>VLOOKUP($A139,'Data shares'!$C:$FB,124)</f>
        <v>0.86</v>
      </c>
      <c r="P139" s="50">
        <f>VLOOKUP($A139,'Data shares'!$C:$FB,125)</f>
        <v>1.07</v>
      </c>
      <c r="Q139" s="50">
        <f>VLOOKUP($A139,'Data shares'!$C:$FB,127)*100</f>
        <v>-19.63</v>
      </c>
    </row>
    <row r="140" spans="1:17" x14ac:dyDescent="0.25">
      <c r="A140" s="97" t="str">
        <f>'Data Vlaue (Cr)'!C135</f>
        <v>MOTHERSON</v>
      </c>
      <c r="B140" s="140">
        <f>VLOOKUP($A140,'Data shares'!$C:$FB,7)</f>
        <v>135.82</v>
      </c>
      <c r="C140" s="140">
        <f>VLOOKUP($A140,'Data shares'!$C:$FB,3)</f>
        <v>136.74</v>
      </c>
      <c r="D140" s="140">
        <f>VLOOKUP($A140,'Data shares'!$C:$FB,4)</f>
        <v>136.69</v>
      </c>
      <c r="E140" s="50">
        <f t="shared" si="6"/>
        <v>3.657912063794818E-2</v>
      </c>
      <c r="F140" s="49">
        <f>VLOOKUP($A140,'Data shares'!$C:$FB,98)</f>
        <v>192353550</v>
      </c>
      <c r="G140" s="49">
        <f>VLOOKUP($A140,'Data shares'!$C:$FB,99)</f>
        <v>262721850</v>
      </c>
      <c r="H140" s="50">
        <f t="shared" si="7"/>
        <v>-26.784334839298673</v>
      </c>
      <c r="I140" s="49">
        <f>VLOOKUP($A140,'Data shares'!$C:$FB,66)</f>
        <v>141566850</v>
      </c>
      <c r="J140" s="49">
        <f>VLOOKUP($A140,'Data shares'!$C:$FB,67)</f>
        <v>217894500</v>
      </c>
      <c r="K140" s="50">
        <f t="shared" si="8"/>
        <v>-53.916329988270562</v>
      </c>
      <c r="L140" s="50">
        <f>VLOOKUP($A140,'Data shares'!$C:$FB,118)</f>
        <v>0.68</v>
      </c>
      <c r="M140" s="50">
        <f>VLOOKUP($A140,'Data shares'!$C:$FB,119)</f>
        <v>0.83</v>
      </c>
      <c r="N140" s="50">
        <f>VLOOKUP($A140,'Data shares'!$C:$FB,121)*100</f>
        <v>-18.07</v>
      </c>
      <c r="O140" s="50">
        <f>VLOOKUP($A140,'Data shares'!$C:$FB,124)</f>
        <v>0.54</v>
      </c>
      <c r="P140" s="50">
        <f>VLOOKUP($A140,'Data shares'!$C:$FB,125)</f>
        <v>0.56000000000000005</v>
      </c>
      <c r="Q140" s="50">
        <f>VLOOKUP($A140,'Data shares'!$C:$FB,127)*100</f>
        <v>-3.5700000000000003</v>
      </c>
    </row>
    <row r="141" spans="1:17" x14ac:dyDescent="0.25">
      <c r="A141" s="97" t="str">
        <f>'Data Vlaue (Cr)'!C136</f>
        <v>MOTILALOFS</v>
      </c>
      <c r="B141" s="140">
        <f>VLOOKUP($A141,'Data shares'!$C:$FB,7)</f>
        <v>870.55</v>
      </c>
      <c r="C141" s="140">
        <f>VLOOKUP($A141,'Data shares'!$C:$FB,3)</f>
        <v>874.6</v>
      </c>
      <c r="D141" s="140">
        <f>VLOOKUP($A141,'Data shares'!$C:$FB,4)</f>
        <v>875.95</v>
      </c>
      <c r="E141" s="50">
        <f t="shared" si="6"/>
        <v>-0.15411838575261405</v>
      </c>
      <c r="F141" s="49">
        <f>VLOOKUP($A141,'Data shares'!$C:$FB,98)</f>
        <v>5308750</v>
      </c>
      <c r="G141" s="49">
        <f>VLOOKUP($A141,'Data shares'!$C:$FB,99)</f>
        <v>8063875</v>
      </c>
      <c r="H141" s="50">
        <f t="shared" si="7"/>
        <v>-34.166266218164346</v>
      </c>
      <c r="I141" s="49">
        <f>VLOOKUP($A141,'Data shares'!$C:$FB,66)</f>
        <v>8419600</v>
      </c>
      <c r="J141" s="49">
        <f>VLOOKUP($A141,'Data shares'!$C:$FB,67)</f>
        <v>10299750</v>
      </c>
      <c r="K141" s="50">
        <f t="shared" si="8"/>
        <v>-22.330633284241532</v>
      </c>
      <c r="L141" s="50">
        <f>VLOOKUP($A141,'Data shares'!$C:$FB,118)</f>
        <v>0.49</v>
      </c>
      <c r="M141" s="50">
        <f>VLOOKUP($A141,'Data shares'!$C:$FB,119)</f>
        <v>0.66</v>
      </c>
      <c r="N141" s="50">
        <f>VLOOKUP($A141,'Data shares'!$C:$FB,121)*100</f>
        <v>-25.759999999999998</v>
      </c>
      <c r="O141" s="50">
        <f>VLOOKUP($A141,'Data shares'!$C:$FB,124)</f>
        <v>0.21</v>
      </c>
      <c r="P141" s="50">
        <f>VLOOKUP($A141,'Data shares'!$C:$FB,125)</f>
        <v>0.17</v>
      </c>
      <c r="Q141" s="50">
        <f>VLOOKUP($A141,'Data shares'!$C:$FB,127)*100</f>
        <v>23.53</v>
      </c>
    </row>
    <row r="142" spans="1:17" x14ac:dyDescent="0.25">
      <c r="A142" s="97" t="str">
        <f>'Data Vlaue (Cr)'!C137</f>
        <v>MPHASIS</v>
      </c>
      <c r="B142" s="140">
        <f>VLOOKUP($A142,'Data shares'!$C:$FB,7)</f>
        <v>2265.3000000000002</v>
      </c>
      <c r="C142" s="140">
        <f>VLOOKUP($A142,'Data shares'!$C:$FB,3)</f>
        <v>2287.4</v>
      </c>
      <c r="D142" s="140">
        <f>VLOOKUP($A142,'Data shares'!$C:$FB,4)</f>
        <v>2259.3000000000002</v>
      </c>
      <c r="E142" s="50">
        <f t="shared" si="6"/>
        <v>1.2437480635595055</v>
      </c>
      <c r="F142" s="49">
        <f>VLOOKUP($A142,'Data shares'!$C:$FB,98)</f>
        <v>5085850</v>
      </c>
      <c r="G142" s="49">
        <f>VLOOKUP($A142,'Data shares'!$C:$FB,99)</f>
        <v>7911200</v>
      </c>
      <c r="H142" s="50">
        <f t="shared" si="7"/>
        <v>-35.713292547274747</v>
      </c>
      <c r="I142" s="49">
        <f>VLOOKUP($A142,'Data shares'!$C:$FB,66)</f>
        <v>4171200</v>
      </c>
      <c r="J142" s="49">
        <f>VLOOKUP($A142,'Data shares'!$C:$FB,67)</f>
        <v>4801775</v>
      </c>
      <c r="K142" s="50">
        <f t="shared" si="8"/>
        <v>-15.117352320675106</v>
      </c>
      <c r="L142" s="50">
        <f>VLOOKUP($A142,'Data shares'!$C:$FB,118)</f>
        <v>0.85</v>
      </c>
      <c r="M142" s="50">
        <f>VLOOKUP($A142,'Data shares'!$C:$FB,119)</f>
        <v>0.84</v>
      </c>
      <c r="N142" s="50">
        <f>VLOOKUP($A142,'Data shares'!$C:$FB,121)*100</f>
        <v>1.1900000000000002</v>
      </c>
      <c r="O142" s="50">
        <f>VLOOKUP($A142,'Data shares'!$C:$FB,124)</f>
        <v>0.63</v>
      </c>
      <c r="P142" s="50">
        <f>VLOOKUP($A142,'Data shares'!$C:$FB,125)</f>
        <v>0.77</v>
      </c>
      <c r="Q142" s="50">
        <f>VLOOKUP($A142,'Data shares'!$C:$FB,127)*100</f>
        <v>-18.18</v>
      </c>
    </row>
    <row r="143" spans="1:17" x14ac:dyDescent="0.25">
      <c r="A143" s="97" t="str">
        <f>'Data Vlaue (Cr)'!C138</f>
        <v>MUTHOOTFIN</v>
      </c>
      <c r="B143" s="140">
        <f>VLOOKUP($A143,'Data shares'!$C:$FB,7)</f>
        <v>3331.5</v>
      </c>
      <c r="C143" s="140">
        <f>VLOOKUP($A143,'Data shares'!$C:$FB,3)</f>
        <v>3336.8</v>
      </c>
      <c r="D143" s="140">
        <f>VLOOKUP($A143,'Data shares'!$C:$FB,4)</f>
        <v>3359.6</v>
      </c>
      <c r="E143" s="50">
        <f t="shared" si="6"/>
        <v>-0.67865222050243268</v>
      </c>
      <c r="F143" s="49">
        <f>VLOOKUP($A143,'Data shares'!$C:$FB,98)</f>
        <v>5361675</v>
      </c>
      <c r="G143" s="49">
        <f>VLOOKUP($A143,'Data shares'!$C:$FB,99)</f>
        <v>9370900</v>
      </c>
      <c r="H143" s="50">
        <f t="shared" si="7"/>
        <v>-42.783777438666512</v>
      </c>
      <c r="I143" s="49">
        <f>VLOOKUP($A143,'Data shares'!$C:$FB,66)</f>
        <v>4219050</v>
      </c>
      <c r="J143" s="49">
        <f>VLOOKUP($A143,'Data shares'!$C:$FB,67)</f>
        <v>10710425</v>
      </c>
      <c r="K143" s="50">
        <f t="shared" si="8"/>
        <v>-153.85868856733151</v>
      </c>
      <c r="L143" s="50">
        <f>VLOOKUP($A143,'Data shares'!$C:$FB,118)</f>
        <v>0.65</v>
      </c>
      <c r="M143" s="50">
        <f>VLOOKUP($A143,'Data shares'!$C:$FB,119)</f>
        <v>0.66</v>
      </c>
      <c r="N143" s="50">
        <f>VLOOKUP($A143,'Data shares'!$C:$FB,121)*100</f>
        <v>-1.52</v>
      </c>
      <c r="O143" s="50">
        <f>VLOOKUP($A143,'Data shares'!$C:$FB,124)</f>
        <v>0.67</v>
      </c>
      <c r="P143" s="50">
        <f>VLOOKUP($A143,'Data shares'!$C:$FB,125)</f>
        <v>0.5</v>
      </c>
      <c r="Q143" s="50">
        <f>VLOOKUP($A143,'Data shares'!$C:$FB,127)*100</f>
        <v>34</v>
      </c>
    </row>
    <row r="144" spans="1:17" x14ac:dyDescent="0.25">
      <c r="A144" s="97" t="str">
        <f>'Data Vlaue (Cr)'!C139</f>
        <v>NAM-INDIA</v>
      </c>
      <c r="B144" s="140">
        <f>VLOOKUP($A144,'Data shares'!$C:$FB,7)</f>
        <v>1095.7</v>
      </c>
      <c r="C144" s="140">
        <f>VLOOKUP($A144,'Data shares'!$C:$FB,3)</f>
        <v>1091.2</v>
      </c>
      <c r="D144" s="140">
        <f>VLOOKUP($A144,'Data shares'!$C:$FB,4)</f>
        <v>1096.2</v>
      </c>
      <c r="E144" s="50">
        <f t="shared" si="6"/>
        <v>-0.45612114577631813</v>
      </c>
      <c r="F144" s="49">
        <f>VLOOKUP($A144,'Data shares'!$C:$FB,98)</f>
        <v>3725625</v>
      </c>
      <c r="G144" s="49">
        <f>VLOOKUP($A144,'Data shares'!$C:$FB,99)</f>
        <v>6528750</v>
      </c>
      <c r="H144" s="50">
        <f t="shared" si="7"/>
        <v>-42.935094773118898</v>
      </c>
      <c r="I144" s="49">
        <f>VLOOKUP($A144,'Data shares'!$C:$FB,66)</f>
        <v>3865625</v>
      </c>
      <c r="J144" s="49">
        <f>VLOOKUP($A144,'Data shares'!$C:$FB,67)</f>
        <v>5990625</v>
      </c>
      <c r="K144" s="50">
        <f t="shared" si="8"/>
        <v>-54.971705739692801</v>
      </c>
      <c r="L144" s="50">
        <f>VLOOKUP($A144,'Data shares'!$C:$FB,118)</f>
        <v>0.81</v>
      </c>
      <c r="M144" s="50">
        <f>VLOOKUP($A144,'Data shares'!$C:$FB,119)</f>
        <v>0.77</v>
      </c>
      <c r="N144" s="50">
        <f>VLOOKUP($A144,'Data shares'!$C:$FB,121)*100</f>
        <v>5.19</v>
      </c>
      <c r="O144" s="50">
        <f>VLOOKUP($A144,'Data shares'!$C:$FB,124)</f>
        <v>0.76</v>
      </c>
      <c r="P144" s="50">
        <f>VLOOKUP($A144,'Data shares'!$C:$FB,125)</f>
        <v>0.28999999999999998</v>
      </c>
      <c r="Q144" s="50">
        <f>VLOOKUP($A144,'Data shares'!$C:$FB,127)*100</f>
        <v>162.07</v>
      </c>
    </row>
    <row r="145" spans="1:17" x14ac:dyDescent="0.25">
      <c r="A145" s="97" t="str">
        <f>'Data Vlaue (Cr)'!C140</f>
        <v>NATIONALUM</v>
      </c>
      <c r="B145" s="140">
        <f>VLOOKUP($A145,'Data shares'!$C:$FB,7)</f>
        <v>416.2</v>
      </c>
      <c r="C145" s="140">
        <f>VLOOKUP($A145,'Data shares'!$C:$FB,3)</f>
        <v>418.45</v>
      </c>
      <c r="D145" s="140">
        <f>VLOOKUP($A145,'Data shares'!$C:$FB,4)</f>
        <v>404.9</v>
      </c>
      <c r="E145" s="50">
        <f t="shared" si="6"/>
        <v>3.3465053099530779</v>
      </c>
      <c r="F145" s="49">
        <f>VLOOKUP($A145,'Data shares'!$C:$FB,98)</f>
        <v>58865625</v>
      </c>
      <c r="G145" s="49">
        <f>VLOOKUP($A145,'Data shares'!$C:$FB,99)</f>
        <v>88535625</v>
      </c>
      <c r="H145" s="50">
        <f t="shared" si="7"/>
        <v>-33.511933755479781</v>
      </c>
      <c r="I145" s="49">
        <f>VLOOKUP($A145,'Data shares'!$C:$FB,66)</f>
        <v>92690625</v>
      </c>
      <c r="J145" s="49">
        <f>VLOOKUP($A145,'Data shares'!$C:$FB,67)</f>
        <v>65386875</v>
      </c>
      <c r="K145" s="50">
        <f t="shared" si="8"/>
        <v>29.456862546778602</v>
      </c>
      <c r="L145" s="50">
        <f>VLOOKUP($A145,'Data shares'!$C:$FB,118)</f>
        <v>0.7</v>
      </c>
      <c r="M145" s="50">
        <f>VLOOKUP($A145,'Data shares'!$C:$FB,119)</f>
        <v>0.56999999999999995</v>
      </c>
      <c r="N145" s="50">
        <f>VLOOKUP($A145,'Data shares'!$C:$FB,121)*100</f>
        <v>22.81</v>
      </c>
      <c r="O145" s="50">
        <f>VLOOKUP($A145,'Data shares'!$C:$FB,124)</f>
        <v>0.46</v>
      </c>
      <c r="P145" s="50">
        <f>VLOOKUP($A145,'Data shares'!$C:$FB,125)</f>
        <v>0.49</v>
      </c>
      <c r="Q145" s="50">
        <f>VLOOKUP($A145,'Data shares'!$C:$FB,127)*100</f>
        <v>-6.12</v>
      </c>
    </row>
    <row r="146" spans="1:17" x14ac:dyDescent="0.25">
      <c r="A146" s="97" t="str">
        <f>'Data Vlaue (Cr)'!C141</f>
        <v>NAUKRI</v>
      </c>
      <c r="B146" s="140">
        <f>VLOOKUP($A146,'Data shares'!$C:$FB,7)</f>
        <v>980.7</v>
      </c>
      <c r="C146" s="140">
        <f>VLOOKUP($A146,'Data shares'!$C:$FB,3)</f>
        <v>988.75</v>
      </c>
      <c r="D146" s="140">
        <f>VLOOKUP($A146,'Data shares'!$C:$FB,4)</f>
        <v>944.7</v>
      </c>
      <c r="E146" s="50">
        <f t="shared" si="6"/>
        <v>4.6628559331004498</v>
      </c>
      <c r="F146" s="49">
        <f>VLOOKUP($A146,'Data shares'!$C:$FB,98)</f>
        <v>19828575</v>
      </c>
      <c r="G146" s="49">
        <f>VLOOKUP($A146,'Data shares'!$C:$FB,99)</f>
        <v>24699650</v>
      </c>
      <c r="H146" s="50">
        <f t="shared" si="7"/>
        <v>-19.721230867643875</v>
      </c>
      <c r="I146" s="49">
        <f>VLOOKUP($A146,'Data shares'!$C:$FB,66)</f>
        <v>36536250</v>
      </c>
      <c r="J146" s="49">
        <f>VLOOKUP($A146,'Data shares'!$C:$FB,67)</f>
        <v>66911625</v>
      </c>
      <c r="K146" s="50">
        <f t="shared" si="8"/>
        <v>-83.137637278045773</v>
      </c>
      <c r="L146" s="50">
        <f>VLOOKUP($A146,'Data shares'!$C:$FB,118)</f>
        <v>0.76</v>
      </c>
      <c r="M146" s="50">
        <f>VLOOKUP($A146,'Data shares'!$C:$FB,119)</f>
        <v>0.61</v>
      </c>
      <c r="N146" s="50">
        <f>VLOOKUP($A146,'Data shares'!$C:$FB,121)*100</f>
        <v>24.59</v>
      </c>
      <c r="O146" s="50">
        <f>VLOOKUP($A146,'Data shares'!$C:$FB,124)</f>
        <v>0.34</v>
      </c>
      <c r="P146" s="50">
        <f>VLOOKUP($A146,'Data shares'!$C:$FB,125)</f>
        <v>0.59</v>
      </c>
      <c r="Q146" s="50">
        <f>VLOOKUP($A146,'Data shares'!$C:$FB,127)*100</f>
        <v>-42.370000000000005</v>
      </c>
    </row>
    <row r="147" spans="1:17" x14ac:dyDescent="0.25">
      <c r="A147" s="97" t="str">
        <f>'Data Vlaue (Cr)'!C142</f>
        <v>NBCC</v>
      </c>
      <c r="B147" s="140">
        <f>VLOOKUP($A147,'Data shares'!$C:$FB,7)</f>
        <v>95.55</v>
      </c>
      <c r="C147" s="140">
        <f>VLOOKUP($A147,'Data shares'!$C:$FB,3)</f>
        <v>96.5</v>
      </c>
      <c r="D147" s="140">
        <f>VLOOKUP($A147,'Data shares'!$C:$FB,4)</f>
        <v>97.49</v>
      </c>
      <c r="E147" s="50">
        <f t="shared" si="6"/>
        <v>-1.0154887680787721</v>
      </c>
      <c r="F147" s="49">
        <f>VLOOKUP($A147,'Data shares'!$C:$FB,98)</f>
        <v>124891000</v>
      </c>
      <c r="G147" s="49">
        <f>VLOOKUP($A147,'Data shares'!$C:$FB,99)</f>
        <v>139165000</v>
      </c>
      <c r="H147" s="50">
        <f t="shared" si="7"/>
        <v>-10.25688930406352</v>
      </c>
      <c r="I147" s="49">
        <f>VLOOKUP($A147,'Data shares'!$C:$FB,66)</f>
        <v>161330000</v>
      </c>
      <c r="J147" s="49">
        <f>VLOOKUP($A147,'Data shares'!$C:$FB,67)</f>
        <v>233954500</v>
      </c>
      <c r="K147" s="50">
        <f t="shared" si="8"/>
        <v>-45.016116035455276</v>
      </c>
      <c r="L147" s="50">
        <f>VLOOKUP($A147,'Data shares'!$C:$FB,118)</f>
        <v>0.61</v>
      </c>
      <c r="M147" s="50">
        <f>VLOOKUP($A147,'Data shares'!$C:$FB,119)</f>
        <v>0.69</v>
      </c>
      <c r="N147" s="50">
        <f>VLOOKUP($A147,'Data shares'!$C:$FB,121)*100</f>
        <v>-11.59</v>
      </c>
      <c r="O147" s="50">
        <f>VLOOKUP($A147,'Data shares'!$C:$FB,124)</f>
        <v>0.48</v>
      </c>
      <c r="P147" s="50">
        <f>VLOOKUP($A147,'Data shares'!$C:$FB,125)</f>
        <v>0.48</v>
      </c>
      <c r="Q147" s="50">
        <f>VLOOKUP($A147,'Data shares'!$C:$FB,127)*100</f>
        <v>0</v>
      </c>
    </row>
    <row r="148" spans="1:17" x14ac:dyDescent="0.25">
      <c r="A148" s="97" t="str">
        <f>'Data Vlaue (Cr)'!C143</f>
        <v>NESTLEIND</v>
      </c>
      <c r="B148" s="140">
        <f>VLOOKUP($A148,'Data shares'!$C:$FB,7)</f>
        <v>1428.6</v>
      </c>
      <c r="C148" s="140">
        <f>VLOOKUP($A148,'Data shares'!$C:$FB,3)</f>
        <v>1437</v>
      </c>
      <c r="D148" s="140">
        <f>VLOOKUP($A148,'Data shares'!$C:$FB,4)</f>
        <v>1424.3</v>
      </c>
      <c r="E148" s="50">
        <f t="shared" si="6"/>
        <v>0.89166608158393923</v>
      </c>
      <c r="F148" s="49">
        <f>VLOOKUP($A148,'Data shares'!$C:$FB,98)</f>
        <v>15041500</v>
      </c>
      <c r="G148" s="49">
        <f>VLOOKUP($A148,'Data shares'!$C:$FB,99)</f>
        <v>22299000</v>
      </c>
      <c r="H148" s="50">
        <f t="shared" si="7"/>
        <v>-32.546302524776891</v>
      </c>
      <c r="I148" s="49">
        <f>VLOOKUP($A148,'Data shares'!$C:$FB,66)</f>
        <v>7017000</v>
      </c>
      <c r="J148" s="49">
        <f>VLOOKUP($A148,'Data shares'!$C:$FB,67)</f>
        <v>11485000</v>
      </c>
      <c r="K148" s="50">
        <f t="shared" si="8"/>
        <v>-63.673934729941571</v>
      </c>
      <c r="L148" s="50">
        <f>VLOOKUP($A148,'Data shares'!$C:$FB,118)</f>
        <v>0.9</v>
      </c>
      <c r="M148" s="50">
        <f>VLOOKUP($A148,'Data shares'!$C:$FB,119)</f>
        <v>0.72</v>
      </c>
      <c r="N148" s="50">
        <f>VLOOKUP($A148,'Data shares'!$C:$FB,121)*100</f>
        <v>25</v>
      </c>
      <c r="O148" s="50">
        <f>VLOOKUP($A148,'Data shares'!$C:$FB,124)</f>
        <v>0.64</v>
      </c>
      <c r="P148" s="50">
        <f>VLOOKUP($A148,'Data shares'!$C:$FB,125)</f>
        <v>0.54</v>
      </c>
      <c r="Q148" s="50">
        <f>VLOOKUP($A148,'Data shares'!$C:$FB,127)*100</f>
        <v>18.52</v>
      </c>
    </row>
    <row r="149" spans="1:17" x14ac:dyDescent="0.25">
      <c r="A149" s="97" t="str">
        <f>'Data Vlaue (Cr)'!C144</f>
        <v>NHPC</v>
      </c>
      <c r="B149" s="140">
        <f>VLOOKUP($A149,'Data shares'!$C:$FB,7)</f>
        <v>78.44</v>
      </c>
      <c r="C149" s="140">
        <f>VLOOKUP($A149,'Data shares'!$C:$FB,3)</f>
        <v>78.319999999999993</v>
      </c>
      <c r="D149" s="140">
        <f>VLOOKUP($A149,'Data shares'!$C:$FB,4)</f>
        <v>78.34</v>
      </c>
      <c r="E149" s="50">
        <f t="shared" si="6"/>
        <v>-2.5529742149617351E-2</v>
      </c>
      <c r="F149" s="49">
        <f>VLOOKUP($A149,'Data shares'!$C:$FB,98)</f>
        <v>153076250</v>
      </c>
      <c r="G149" s="49">
        <f>VLOOKUP($A149,'Data shares'!$C:$FB,99)</f>
        <v>215407950</v>
      </c>
      <c r="H149" s="50">
        <f t="shared" si="7"/>
        <v>-28.936582888421714</v>
      </c>
      <c r="I149" s="49">
        <f>VLOOKUP($A149,'Data shares'!$C:$FB,66)</f>
        <v>86348800</v>
      </c>
      <c r="J149" s="49">
        <f>VLOOKUP($A149,'Data shares'!$C:$FB,67)</f>
        <v>138163200</v>
      </c>
      <c r="K149" s="50">
        <f t="shared" si="8"/>
        <v>-60.005929439667952</v>
      </c>
      <c r="L149" s="50">
        <f>VLOOKUP($A149,'Data shares'!$C:$FB,118)</f>
        <v>0.68</v>
      </c>
      <c r="M149" s="50">
        <f>VLOOKUP($A149,'Data shares'!$C:$FB,119)</f>
        <v>0.51</v>
      </c>
      <c r="N149" s="50">
        <f>VLOOKUP($A149,'Data shares'!$C:$FB,121)*100</f>
        <v>33.33</v>
      </c>
      <c r="O149" s="50">
        <f>VLOOKUP($A149,'Data shares'!$C:$FB,124)</f>
        <v>0.55000000000000004</v>
      </c>
      <c r="P149" s="50">
        <f>VLOOKUP($A149,'Data shares'!$C:$FB,125)</f>
        <v>0.32</v>
      </c>
      <c r="Q149" s="50">
        <f>VLOOKUP($A149,'Data shares'!$C:$FB,127)*100</f>
        <v>71.88</v>
      </c>
    </row>
    <row r="150" spans="1:17" x14ac:dyDescent="0.25">
      <c r="A150" s="97" t="str">
        <f>'Data Vlaue (Cr)'!C145</f>
        <v>NIFTY</v>
      </c>
      <c r="B150" s="140">
        <f>VLOOKUP($A150,'Data shares'!$C:$FB,7)</f>
        <v>23913.7</v>
      </c>
      <c r="C150" s="140">
        <f>VLOOKUP($A150,'Data shares'!$C:$FB,3)</f>
        <v>23978.9</v>
      </c>
      <c r="D150" s="140">
        <f>VLOOKUP($A150,'Data shares'!$C:$FB,4)</f>
        <v>24106.400000000001</v>
      </c>
      <c r="E150" s="50">
        <f t="shared" si="6"/>
        <v>-0.52890518700428102</v>
      </c>
      <c r="F150" s="49">
        <f>VLOOKUP($A150,'Data shares'!$C:$FB,98)</f>
        <v>309290255</v>
      </c>
      <c r="G150" s="49">
        <f>VLOOKUP($A150,'Data shares'!$C:$FB,99)</f>
        <v>574476110</v>
      </c>
      <c r="H150" s="50">
        <f t="shared" si="7"/>
        <v>-46.161337326977794</v>
      </c>
      <c r="I150" s="49">
        <f>VLOOKUP($A150,'Data shares'!$C:$FB,66)</f>
        <v>20420710570</v>
      </c>
      <c r="J150" s="49">
        <f>VLOOKUP($A150,'Data shares'!$C:$FB,67)</f>
        <v>6852156545</v>
      </c>
      <c r="K150" s="50">
        <f t="shared" si="8"/>
        <v>66.445063106342246</v>
      </c>
      <c r="L150" s="50">
        <f>VLOOKUP($A150,'Data shares'!$C:$FB,118)</f>
        <v>1.07</v>
      </c>
      <c r="M150" s="50">
        <f>VLOOKUP($A150,'Data shares'!$C:$FB,119)</f>
        <v>1.26</v>
      </c>
      <c r="N150" s="50">
        <f>VLOOKUP($A150,'Data shares'!$C:$FB,121)*100</f>
        <v>-15.079999999999998</v>
      </c>
      <c r="O150" s="50">
        <f>VLOOKUP($A150,'Data shares'!$C:$FB,124)</f>
        <v>1.1200000000000001</v>
      </c>
      <c r="P150" s="50">
        <f>VLOOKUP($A150,'Data shares'!$C:$FB,125)</f>
        <v>1</v>
      </c>
      <c r="Q150" s="50">
        <f>VLOOKUP($A150,'Data shares'!$C:$FB,127)*100</f>
        <v>12</v>
      </c>
    </row>
    <row r="151" spans="1:17" x14ac:dyDescent="0.25">
      <c r="A151" s="97" t="str">
        <f>'Data Vlaue (Cr)'!C146</f>
        <v>NIFTYNXT50</v>
      </c>
      <c r="B151" s="140">
        <f>VLOOKUP($A151,'Data shares'!$C:$FB,7)</f>
        <v>70945.100000000006</v>
      </c>
      <c r="C151" s="140">
        <f>VLOOKUP($A151,'Data shares'!$C:$FB,3)</f>
        <v>71323.600000000006</v>
      </c>
      <c r="D151" s="140">
        <f>VLOOKUP($A151,'Data shares'!$C:$FB,4)</f>
        <v>71189</v>
      </c>
      <c r="E151" s="50">
        <f t="shared" si="6"/>
        <v>0.189074154714922</v>
      </c>
      <c r="F151" s="49">
        <f>VLOOKUP($A151,'Data shares'!$C:$FB,98)</f>
        <v>16350</v>
      </c>
      <c r="G151" s="49">
        <f>VLOOKUP($A151,'Data shares'!$C:$FB,99)</f>
        <v>55700</v>
      </c>
      <c r="H151" s="50">
        <f t="shared" si="7"/>
        <v>-70.64631956912028</v>
      </c>
      <c r="I151" s="49">
        <f>VLOOKUP($A151,'Data shares'!$C:$FB,66)</f>
        <v>442075</v>
      </c>
      <c r="J151" s="49">
        <f>VLOOKUP($A151,'Data shares'!$C:$FB,67)</f>
        <v>97100</v>
      </c>
      <c r="K151" s="50">
        <f t="shared" si="8"/>
        <v>78.035401232822494</v>
      </c>
      <c r="L151" s="50">
        <f>VLOOKUP($A151,'Data shares'!$C:$FB,118)</f>
        <v>1</v>
      </c>
      <c r="M151" s="50">
        <f>VLOOKUP($A151,'Data shares'!$C:$FB,119)</f>
        <v>0.87</v>
      </c>
      <c r="N151" s="50">
        <f>VLOOKUP($A151,'Data shares'!$C:$FB,121)*100</f>
        <v>14.940000000000001</v>
      </c>
      <c r="O151" s="50">
        <f>VLOOKUP($A151,'Data shares'!$C:$FB,124)</f>
        <v>0.74</v>
      </c>
      <c r="P151" s="50">
        <f>VLOOKUP($A151,'Data shares'!$C:$FB,125)</f>
        <v>0.39</v>
      </c>
      <c r="Q151" s="50">
        <f>VLOOKUP($A151,'Data shares'!$C:$FB,127)*100</f>
        <v>89.74</v>
      </c>
    </row>
    <row r="152" spans="1:17" x14ac:dyDescent="0.25">
      <c r="A152" s="97" t="str">
        <f>'Data Vlaue (Cr)'!C147</f>
        <v>NMDC</v>
      </c>
      <c r="B152" s="140">
        <f>VLOOKUP($A152,'Data shares'!$C:$FB,7)</f>
        <v>90.67</v>
      </c>
      <c r="C152" s="140">
        <f>VLOOKUP($A152,'Data shares'!$C:$FB,3)</f>
        <v>91.36</v>
      </c>
      <c r="D152" s="140">
        <f>VLOOKUP($A152,'Data shares'!$C:$FB,4)</f>
        <v>91.01</v>
      </c>
      <c r="E152" s="50">
        <f t="shared" si="6"/>
        <v>0.38457312383253961</v>
      </c>
      <c r="F152" s="49">
        <f>VLOOKUP($A152,'Data shares'!$C:$FB,98)</f>
        <v>433086750</v>
      </c>
      <c r="G152" s="49">
        <f>VLOOKUP($A152,'Data shares'!$C:$FB,99)</f>
        <v>480863250</v>
      </c>
      <c r="H152" s="50">
        <f t="shared" si="7"/>
        <v>-9.9355690001263355</v>
      </c>
      <c r="I152" s="49">
        <f>VLOOKUP($A152,'Data shares'!$C:$FB,66)</f>
        <v>287435250</v>
      </c>
      <c r="J152" s="49">
        <f>VLOOKUP($A152,'Data shares'!$C:$FB,67)</f>
        <v>252551250</v>
      </c>
      <c r="K152" s="50">
        <f t="shared" si="8"/>
        <v>12.13629852288472</v>
      </c>
      <c r="L152" s="50">
        <f>VLOOKUP($A152,'Data shares'!$C:$FB,118)</f>
        <v>0.52</v>
      </c>
      <c r="M152" s="50">
        <f>VLOOKUP($A152,'Data shares'!$C:$FB,119)</f>
        <v>0.53</v>
      </c>
      <c r="N152" s="50">
        <f>VLOOKUP($A152,'Data shares'!$C:$FB,121)*100</f>
        <v>-1.8900000000000001</v>
      </c>
      <c r="O152" s="50">
        <f>VLOOKUP($A152,'Data shares'!$C:$FB,124)</f>
        <v>0.48</v>
      </c>
      <c r="P152" s="50">
        <f>VLOOKUP($A152,'Data shares'!$C:$FB,125)</f>
        <v>0.34</v>
      </c>
      <c r="Q152" s="50">
        <f>VLOOKUP($A152,'Data shares'!$C:$FB,127)*100</f>
        <v>41.18</v>
      </c>
    </row>
    <row r="153" spans="1:17" x14ac:dyDescent="0.25">
      <c r="A153" s="97" t="str">
        <f>'Data Vlaue (Cr)'!C148</f>
        <v>NTPC</v>
      </c>
      <c r="B153" s="140">
        <f>VLOOKUP($A153,'Data shares'!$C:$FB,7)</f>
        <v>389.7</v>
      </c>
      <c r="C153" s="140">
        <f>VLOOKUP($A153,'Data shares'!$C:$FB,3)</f>
        <v>392.65</v>
      </c>
      <c r="D153" s="140">
        <f>VLOOKUP($A153,'Data shares'!$C:$FB,4)</f>
        <v>393.2</v>
      </c>
      <c r="E153" s="50">
        <f t="shared" si="6"/>
        <v>-0.13987792472024704</v>
      </c>
      <c r="F153" s="49">
        <f>VLOOKUP($A153,'Data shares'!$C:$FB,98)</f>
        <v>147705000</v>
      </c>
      <c r="G153" s="49">
        <f>VLOOKUP($A153,'Data shares'!$C:$FB,99)</f>
        <v>242301000</v>
      </c>
      <c r="H153" s="50">
        <f t="shared" si="7"/>
        <v>-39.040697314497258</v>
      </c>
      <c r="I153" s="49">
        <f>VLOOKUP($A153,'Data shares'!$C:$FB,66)</f>
        <v>82678500</v>
      </c>
      <c r="J153" s="49">
        <f>VLOOKUP($A153,'Data shares'!$C:$FB,67)</f>
        <v>196519500</v>
      </c>
      <c r="K153" s="50">
        <f t="shared" si="8"/>
        <v>-137.6911772709955</v>
      </c>
      <c r="L153" s="50">
        <f>VLOOKUP($A153,'Data shares'!$C:$FB,118)</f>
        <v>0.75</v>
      </c>
      <c r="M153" s="50">
        <f>VLOOKUP($A153,'Data shares'!$C:$FB,119)</f>
        <v>0.27</v>
      </c>
      <c r="N153" s="50">
        <f>VLOOKUP($A153,'Data shares'!$C:$FB,121)*100</f>
        <v>177.78</v>
      </c>
      <c r="O153" s="50">
        <f>VLOOKUP($A153,'Data shares'!$C:$FB,124)</f>
        <v>0.63</v>
      </c>
      <c r="P153" s="50">
        <f>VLOOKUP($A153,'Data shares'!$C:$FB,125)</f>
        <v>0.56000000000000005</v>
      </c>
      <c r="Q153" s="50">
        <f>VLOOKUP($A153,'Data shares'!$C:$FB,127)*100</f>
        <v>12.5</v>
      </c>
    </row>
    <row r="154" spans="1:17" x14ac:dyDescent="0.25">
      <c r="A154" s="97" t="str">
        <f>'Data Vlaue (Cr)'!C149</f>
        <v>NUVAMA</v>
      </c>
      <c r="B154" s="140">
        <f>VLOOKUP($A154,'Data shares'!$C:$FB,7)</f>
        <v>1513.4</v>
      </c>
      <c r="C154" s="140">
        <f>VLOOKUP($A154,'Data shares'!$C:$FB,3)</f>
        <v>1523.8</v>
      </c>
      <c r="D154" s="140">
        <f>VLOOKUP($A154,'Data shares'!$C:$FB,4)</f>
        <v>1514.7</v>
      </c>
      <c r="E154" s="50">
        <f t="shared" si="6"/>
        <v>0.60077903215157513</v>
      </c>
      <c r="F154" s="49">
        <f>VLOOKUP($A154,'Data shares'!$C:$FB,98)</f>
        <v>2012000</v>
      </c>
      <c r="G154" s="49">
        <f>VLOOKUP($A154,'Data shares'!$C:$FB,99)</f>
        <v>4528500</v>
      </c>
      <c r="H154" s="50">
        <f t="shared" si="7"/>
        <v>-55.570277133708736</v>
      </c>
      <c r="I154" s="49">
        <f>VLOOKUP($A154,'Data shares'!$C:$FB,66)</f>
        <v>3880000</v>
      </c>
      <c r="J154" s="49">
        <f>VLOOKUP($A154,'Data shares'!$C:$FB,67)</f>
        <v>4493000</v>
      </c>
      <c r="K154" s="50">
        <f t="shared" si="8"/>
        <v>-15.798969072164947</v>
      </c>
      <c r="L154" s="50">
        <f>VLOOKUP($A154,'Data shares'!$C:$FB,118)</f>
        <v>0.55000000000000004</v>
      </c>
      <c r="M154" s="50">
        <f>VLOOKUP($A154,'Data shares'!$C:$FB,119)</f>
        <v>0.62</v>
      </c>
      <c r="N154" s="50">
        <f>VLOOKUP($A154,'Data shares'!$C:$FB,121)*100</f>
        <v>-11.29</v>
      </c>
      <c r="O154" s="50">
        <f>VLOOKUP($A154,'Data shares'!$C:$FB,124)</f>
        <v>0.48</v>
      </c>
      <c r="P154" s="50">
        <f>VLOOKUP($A154,'Data shares'!$C:$FB,125)</f>
        <v>0.49</v>
      </c>
      <c r="Q154" s="50">
        <f>VLOOKUP($A154,'Data shares'!$C:$FB,127)*100</f>
        <v>-2.04</v>
      </c>
    </row>
    <row r="155" spans="1:17" x14ac:dyDescent="0.25">
      <c r="A155" s="97" t="str">
        <f>'Data Vlaue (Cr)'!C150</f>
        <v>NYKAA</v>
      </c>
      <c r="B155" s="140">
        <f>VLOOKUP($A155,'Data shares'!$C:$FB,7)</f>
        <v>266.35000000000002</v>
      </c>
      <c r="C155" s="140">
        <f>VLOOKUP($A155,'Data shares'!$C:$FB,3)</f>
        <v>268.14999999999998</v>
      </c>
      <c r="D155" s="140">
        <f>VLOOKUP($A155,'Data shares'!$C:$FB,4)</f>
        <v>271.75</v>
      </c>
      <c r="E155" s="50">
        <f t="shared" si="6"/>
        <v>-1.3247470101196037</v>
      </c>
      <c r="F155" s="49">
        <f>VLOOKUP($A155,'Data shares'!$C:$FB,98)</f>
        <v>80431250</v>
      </c>
      <c r="G155" s="49">
        <f>VLOOKUP($A155,'Data shares'!$C:$FB,99)</f>
        <v>98690625</v>
      </c>
      <c r="H155" s="50">
        <f t="shared" si="7"/>
        <v>-18.501630727336057</v>
      </c>
      <c r="I155" s="49">
        <f>VLOOKUP($A155,'Data shares'!$C:$FB,66)</f>
        <v>62053125</v>
      </c>
      <c r="J155" s="49">
        <f>VLOOKUP($A155,'Data shares'!$C:$FB,67)</f>
        <v>137703125</v>
      </c>
      <c r="K155" s="50">
        <f t="shared" si="8"/>
        <v>-121.91166842926928</v>
      </c>
      <c r="L155" s="50">
        <f>VLOOKUP($A155,'Data shares'!$C:$FB,118)</f>
        <v>0.33</v>
      </c>
      <c r="M155" s="50">
        <f>VLOOKUP($A155,'Data shares'!$C:$FB,119)</f>
        <v>0.34</v>
      </c>
      <c r="N155" s="50">
        <f>VLOOKUP($A155,'Data shares'!$C:$FB,121)*100</f>
        <v>-2.94</v>
      </c>
      <c r="O155" s="50">
        <f>VLOOKUP($A155,'Data shares'!$C:$FB,124)</f>
        <v>0.33</v>
      </c>
      <c r="P155" s="50">
        <f>VLOOKUP($A155,'Data shares'!$C:$FB,125)</f>
        <v>0.32</v>
      </c>
      <c r="Q155" s="50">
        <f>VLOOKUP($A155,'Data shares'!$C:$FB,127)*100</f>
        <v>3.1300000000000003</v>
      </c>
    </row>
    <row r="156" spans="1:17" x14ac:dyDescent="0.25">
      <c r="A156" s="97" t="str">
        <f>'Data Vlaue (Cr)'!C151</f>
        <v>OBEROIRLTY</v>
      </c>
      <c r="B156" s="140">
        <f>VLOOKUP($A156,'Data shares'!$C:$FB,7)</f>
        <v>1693.7</v>
      </c>
      <c r="C156" s="140">
        <f>VLOOKUP($A156,'Data shares'!$C:$FB,3)</f>
        <v>1685.7</v>
      </c>
      <c r="D156" s="140">
        <f>VLOOKUP($A156,'Data shares'!$C:$FB,4)</f>
        <v>1699.1</v>
      </c>
      <c r="E156" s="50">
        <f t="shared" si="6"/>
        <v>-0.78865281619680205</v>
      </c>
      <c r="F156" s="49">
        <f>VLOOKUP($A156,'Data shares'!$C:$FB,98)</f>
        <v>6775650</v>
      </c>
      <c r="G156" s="49">
        <f>VLOOKUP($A156,'Data shares'!$C:$FB,99)</f>
        <v>9948050</v>
      </c>
      <c r="H156" s="50">
        <f t="shared" si="7"/>
        <v>-31.889666819125356</v>
      </c>
      <c r="I156" s="49">
        <f>VLOOKUP($A156,'Data shares'!$C:$FB,66)</f>
        <v>3937850</v>
      </c>
      <c r="J156" s="49">
        <f>VLOOKUP($A156,'Data shares'!$C:$FB,67)</f>
        <v>10035550</v>
      </c>
      <c r="K156" s="50">
        <f t="shared" si="8"/>
        <v>-154.84845791485202</v>
      </c>
      <c r="L156" s="50">
        <f>VLOOKUP($A156,'Data shares'!$C:$FB,118)</f>
        <v>0.78</v>
      </c>
      <c r="M156" s="50">
        <f>VLOOKUP($A156,'Data shares'!$C:$FB,119)</f>
        <v>0.62</v>
      </c>
      <c r="N156" s="50">
        <f>VLOOKUP($A156,'Data shares'!$C:$FB,121)*100</f>
        <v>25.81</v>
      </c>
      <c r="O156" s="50">
        <f>VLOOKUP($A156,'Data shares'!$C:$FB,124)</f>
        <v>0.63</v>
      </c>
      <c r="P156" s="50">
        <f>VLOOKUP($A156,'Data shares'!$C:$FB,125)</f>
        <v>0.44</v>
      </c>
      <c r="Q156" s="50">
        <f>VLOOKUP($A156,'Data shares'!$C:$FB,127)*100</f>
        <v>43.18</v>
      </c>
    </row>
    <row r="157" spans="1:17" x14ac:dyDescent="0.25">
      <c r="A157" s="97" t="str">
        <f>'Data Vlaue (Cr)'!C152</f>
        <v>OFSS</v>
      </c>
      <c r="B157" s="140">
        <f>VLOOKUP($A157,'Data shares'!$C:$FB,7)</f>
        <v>9882</v>
      </c>
      <c r="C157" s="140">
        <f>VLOOKUP($A157,'Data shares'!$C:$FB,3)</f>
        <v>9783</v>
      </c>
      <c r="D157" s="140">
        <f>VLOOKUP($A157,'Data shares'!$C:$FB,4)</f>
        <v>9624.5</v>
      </c>
      <c r="E157" s="50">
        <f t="shared" si="6"/>
        <v>1.6468387968206142</v>
      </c>
      <c r="F157" s="49">
        <f>VLOOKUP($A157,'Data shares'!$C:$FB,98)</f>
        <v>1505175</v>
      </c>
      <c r="G157" s="49">
        <f>VLOOKUP($A157,'Data shares'!$C:$FB,99)</f>
        <v>2560450</v>
      </c>
      <c r="H157" s="50">
        <f t="shared" si="7"/>
        <v>-41.21443496260423</v>
      </c>
      <c r="I157" s="49">
        <f>VLOOKUP($A157,'Data shares'!$C:$FB,66)</f>
        <v>2796675</v>
      </c>
      <c r="J157" s="49">
        <f>VLOOKUP($A157,'Data shares'!$C:$FB,67)</f>
        <v>3798075</v>
      </c>
      <c r="K157" s="50">
        <f t="shared" si="8"/>
        <v>-35.806806296763121</v>
      </c>
      <c r="L157" s="50">
        <f>VLOOKUP($A157,'Data shares'!$C:$FB,118)</f>
        <v>0.73</v>
      </c>
      <c r="M157" s="50">
        <f>VLOOKUP($A157,'Data shares'!$C:$FB,119)</f>
        <v>0.86</v>
      </c>
      <c r="N157" s="50">
        <f>VLOOKUP($A157,'Data shares'!$C:$FB,121)*100</f>
        <v>-15.120000000000001</v>
      </c>
      <c r="O157" s="50">
        <f>VLOOKUP($A157,'Data shares'!$C:$FB,124)</f>
        <v>0.6</v>
      </c>
      <c r="P157" s="50">
        <f>VLOOKUP($A157,'Data shares'!$C:$FB,125)</f>
        <v>0.7</v>
      </c>
      <c r="Q157" s="50">
        <f>VLOOKUP($A157,'Data shares'!$C:$FB,127)*100</f>
        <v>-14.29</v>
      </c>
    </row>
    <row r="158" spans="1:17" x14ac:dyDescent="0.25">
      <c r="A158" s="97" t="str">
        <f>'Data Vlaue (Cr)'!C153</f>
        <v>OIL</v>
      </c>
      <c r="B158" s="140">
        <f>VLOOKUP($A158,'Data shares'!$C:$FB,7)</f>
        <v>492.1</v>
      </c>
      <c r="C158" s="140">
        <f>VLOOKUP($A158,'Data shares'!$C:$FB,3)</f>
        <v>496.35</v>
      </c>
      <c r="D158" s="140">
        <f>VLOOKUP($A158,'Data shares'!$C:$FB,4)</f>
        <v>486.8</v>
      </c>
      <c r="E158" s="50">
        <f t="shared" si="6"/>
        <v>1.961791290057521</v>
      </c>
      <c r="F158" s="49">
        <f>VLOOKUP($A158,'Data shares'!$C:$FB,98)</f>
        <v>18939200</v>
      </c>
      <c r="G158" s="49">
        <f>VLOOKUP($A158,'Data shares'!$C:$FB,99)</f>
        <v>32866400</v>
      </c>
      <c r="H158" s="50">
        <f t="shared" si="7"/>
        <v>-42.375191685125237</v>
      </c>
      <c r="I158" s="49">
        <f>VLOOKUP($A158,'Data shares'!$C:$FB,66)</f>
        <v>23265200</v>
      </c>
      <c r="J158" s="49">
        <f>VLOOKUP($A158,'Data shares'!$C:$FB,67)</f>
        <v>32984000</v>
      </c>
      <c r="K158" s="50">
        <f t="shared" si="8"/>
        <v>-41.773980021663256</v>
      </c>
      <c r="L158" s="50">
        <f>VLOOKUP($A158,'Data shares'!$C:$FB,118)</f>
        <v>0.68</v>
      </c>
      <c r="M158" s="50">
        <f>VLOOKUP($A158,'Data shares'!$C:$FB,119)</f>
        <v>0.68</v>
      </c>
      <c r="N158" s="50">
        <f>VLOOKUP($A158,'Data shares'!$C:$FB,121)*100</f>
        <v>0</v>
      </c>
      <c r="O158" s="50">
        <f>VLOOKUP($A158,'Data shares'!$C:$FB,124)</f>
        <v>0.51</v>
      </c>
      <c r="P158" s="50">
        <f>VLOOKUP($A158,'Data shares'!$C:$FB,125)</f>
        <v>0.98</v>
      </c>
      <c r="Q158" s="50">
        <f>VLOOKUP($A158,'Data shares'!$C:$FB,127)*100</f>
        <v>-47.96</v>
      </c>
    </row>
    <row r="159" spans="1:17" x14ac:dyDescent="0.25">
      <c r="A159" s="97" t="str">
        <f>'Data Vlaue (Cr)'!C154</f>
        <v>ONGC</v>
      </c>
      <c r="B159" s="140">
        <f>VLOOKUP($A159,'Data shares'!$C:$FB,7)</f>
        <v>287.5</v>
      </c>
      <c r="C159" s="140">
        <f>VLOOKUP($A159,'Data shares'!$C:$FB,3)</f>
        <v>289.85000000000002</v>
      </c>
      <c r="D159" s="140">
        <f>VLOOKUP($A159,'Data shares'!$C:$FB,4)</f>
        <v>287.2</v>
      </c>
      <c r="E159" s="50">
        <f t="shared" si="6"/>
        <v>0.92270194986073617</v>
      </c>
      <c r="F159" s="49">
        <f>VLOOKUP($A159,'Data shares'!$C:$FB,98)</f>
        <v>128497500</v>
      </c>
      <c r="G159" s="49">
        <f>VLOOKUP($A159,'Data shares'!$C:$FB,99)</f>
        <v>204664500</v>
      </c>
      <c r="H159" s="50">
        <f t="shared" si="7"/>
        <v>-37.215540555396757</v>
      </c>
      <c r="I159" s="49">
        <f>VLOOKUP($A159,'Data shares'!$C:$FB,66)</f>
        <v>125867250</v>
      </c>
      <c r="J159" s="49">
        <f>VLOOKUP($A159,'Data shares'!$C:$FB,67)</f>
        <v>165530250</v>
      </c>
      <c r="K159" s="50">
        <f t="shared" si="8"/>
        <v>-31.511771330508932</v>
      </c>
      <c r="L159" s="50">
        <f>VLOOKUP($A159,'Data shares'!$C:$FB,118)</f>
        <v>0.62</v>
      </c>
      <c r="M159" s="50">
        <f>VLOOKUP($A159,'Data shares'!$C:$FB,119)</f>
        <v>0.32</v>
      </c>
      <c r="N159" s="50">
        <f>VLOOKUP($A159,'Data shares'!$C:$FB,121)*100</f>
        <v>93.75</v>
      </c>
      <c r="O159" s="50">
        <f>VLOOKUP($A159,'Data shares'!$C:$FB,124)</f>
        <v>0.52</v>
      </c>
      <c r="P159" s="50">
        <f>VLOOKUP($A159,'Data shares'!$C:$FB,125)</f>
        <v>0.72</v>
      </c>
      <c r="Q159" s="50">
        <f>VLOOKUP($A159,'Data shares'!$C:$FB,127)*100</f>
        <v>-27.779999999999998</v>
      </c>
    </row>
    <row r="160" spans="1:17" x14ac:dyDescent="0.25">
      <c r="A160" s="97" t="str">
        <f>'Data Vlaue (Cr)'!C155</f>
        <v>PAGEIND</v>
      </c>
      <c r="B160" s="140">
        <f>VLOOKUP($A160,'Data shares'!$C:$FB,7)</f>
        <v>38305</v>
      </c>
      <c r="C160" s="140">
        <f>VLOOKUP($A160,'Data shares'!$C:$FB,3)</f>
        <v>38375</v>
      </c>
      <c r="D160" s="140">
        <f>VLOOKUP($A160,'Data shares'!$C:$FB,4)</f>
        <v>38560</v>
      </c>
      <c r="E160" s="50">
        <f t="shared" si="6"/>
        <v>-0.47977178423236516</v>
      </c>
      <c r="F160" s="49">
        <f>VLOOKUP($A160,'Data shares'!$C:$FB,98)</f>
        <v>340980</v>
      </c>
      <c r="G160" s="49">
        <f>VLOOKUP($A160,'Data shares'!$C:$FB,99)</f>
        <v>516775</v>
      </c>
      <c r="H160" s="50">
        <f t="shared" si="7"/>
        <v>-34.017705964878331</v>
      </c>
      <c r="I160" s="49">
        <f>VLOOKUP($A160,'Data shares'!$C:$FB,66)</f>
        <v>318000</v>
      </c>
      <c r="J160" s="49">
        <f>VLOOKUP($A160,'Data shares'!$C:$FB,67)</f>
        <v>1280130</v>
      </c>
      <c r="K160" s="50">
        <f t="shared" si="8"/>
        <v>-302.55660377358492</v>
      </c>
      <c r="L160" s="50">
        <f>VLOOKUP($A160,'Data shares'!$C:$FB,118)</f>
        <v>0.38</v>
      </c>
      <c r="M160" s="50">
        <f>VLOOKUP($A160,'Data shares'!$C:$FB,119)</f>
        <v>0.42</v>
      </c>
      <c r="N160" s="50">
        <f>VLOOKUP($A160,'Data shares'!$C:$FB,121)*100</f>
        <v>-9.5200000000000014</v>
      </c>
      <c r="O160" s="50">
        <f>VLOOKUP($A160,'Data shares'!$C:$FB,124)</f>
        <v>0.47</v>
      </c>
      <c r="P160" s="50">
        <f>VLOOKUP($A160,'Data shares'!$C:$FB,125)</f>
        <v>0.79</v>
      </c>
      <c r="Q160" s="50">
        <f>VLOOKUP($A160,'Data shares'!$C:$FB,127)*100</f>
        <v>-40.510000000000005</v>
      </c>
    </row>
    <row r="161" spans="1:17" x14ac:dyDescent="0.25">
      <c r="A161" s="97" t="str">
        <f>'Data Vlaue (Cr)'!C156</f>
        <v>PATANJALI</v>
      </c>
      <c r="B161" s="140">
        <f>VLOOKUP($A161,'Data shares'!$C:$FB,7)</f>
        <v>465.75</v>
      </c>
      <c r="C161" s="140">
        <f>VLOOKUP($A161,'Data shares'!$C:$FB,3)</f>
        <v>467.35</v>
      </c>
      <c r="D161" s="140">
        <f>VLOOKUP($A161,'Data shares'!$C:$FB,4)</f>
        <v>471.15</v>
      </c>
      <c r="E161" s="50">
        <f t="shared" si="6"/>
        <v>-0.80653719622200037</v>
      </c>
      <c r="F161" s="49">
        <f>VLOOKUP($A161,'Data shares'!$C:$FB,98)</f>
        <v>36589600</v>
      </c>
      <c r="G161" s="49">
        <f>VLOOKUP($A161,'Data shares'!$C:$FB,99)</f>
        <v>42860375</v>
      </c>
      <c r="H161" s="50">
        <f t="shared" si="7"/>
        <v>-14.630704934336203</v>
      </c>
      <c r="I161" s="49">
        <f>VLOOKUP($A161,'Data shares'!$C:$FB,66)</f>
        <v>17957700</v>
      </c>
      <c r="J161" s="49">
        <f>VLOOKUP($A161,'Data shares'!$C:$FB,67)</f>
        <v>33744600</v>
      </c>
      <c r="K161" s="50">
        <f t="shared" si="8"/>
        <v>-87.911592241768162</v>
      </c>
      <c r="L161" s="50">
        <f>VLOOKUP($A161,'Data shares'!$C:$FB,118)</f>
        <v>0.94</v>
      </c>
      <c r="M161" s="50">
        <f>VLOOKUP($A161,'Data shares'!$C:$FB,119)</f>
        <v>0.8</v>
      </c>
      <c r="N161" s="50">
        <f>VLOOKUP($A161,'Data shares'!$C:$FB,121)*100</f>
        <v>17.5</v>
      </c>
      <c r="O161" s="50">
        <f>VLOOKUP($A161,'Data shares'!$C:$FB,124)</f>
        <v>0.6</v>
      </c>
      <c r="P161" s="50">
        <f>VLOOKUP($A161,'Data shares'!$C:$FB,125)</f>
        <v>0.69</v>
      </c>
      <c r="Q161" s="50">
        <f>VLOOKUP($A161,'Data shares'!$C:$FB,127)*100</f>
        <v>-13.04</v>
      </c>
    </row>
    <row r="162" spans="1:17" x14ac:dyDescent="0.25">
      <c r="A162" s="97" t="str">
        <f>'Data Vlaue (Cr)'!C157</f>
        <v>PAYTM</v>
      </c>
      <c r="B162" s="140">
        <f>VLOOKUP($A162,'Data shares'!$C:$FB,7)</f>
        <v>1131.5999999999999</v>
      </c>
      <c r="C162" s="140">
        <f>VLOOKUP($A162,'Data shares'!$C:$FB,3)</f>
        <v>1141.3</v>
      </c>
      <c r="D162" s="140">
        <f>VLOOKUP($A162,'Data shares'!$C:$FB,4)</f>
        <v>1106.5</v>
      </c>
      <c r="E162" s="50">
        <f t="shared" si="6"/>
        <v>3.145051965657474</v>
      </c>
      <c r="F162" s="49">
        <f>VLOOKUP($A162,'Data shares'!$C:$FB,98)</f>
        <v>22132800</v>
      </c>
      <c r="G162" s="49">
        <f>VLOOKUP($A162,'Data shares'!$C:$FB,99)</f>
        <v>32270475</v>
      </c>
      <c r="H162" s="50">
        <f t="shared" si="7"/>
        <v>-31.414706477050618</v>
      </c>
      <c r="I162" s="49">
        <f>VLOOKUP($A162,'Data shares'!$C:$FB,66)</f>
        <v>35775850</v>
      </c>
      <c r="J162" s="49">
        <f>VLOOKUP($A162,'Data shares'!$C:$FB,67)</f>
        <v>35084200</v>
      </c>
      <c r="K162" s="50">
        <f t="shared" si="8"/>
        <v>1.9332873991812913</v>
      </c>
      <c r="L162" s="50">
        <f>VLOOKUP($A162,'Data shares'!$C:$FB,118)</f>
        <v>0.65</v>
      </c>
      <c r="M162" s="50">
        <f>VLOOKUP($A162,'Data shares'!$C:$FB,119)</f>
        <v>0.73</v>
      </c>
      <c r="N162" s="50">
        <f>VLOOKUP($A162,'Data shares'!$C:$FB,121)*100</f>
        <v>-10.96</v>
      </c>
      <c r="O162" s="50">
        <f>VLOOKUP($A162,'Data shares'!$C:$FB,124)</f>
        <v>0.5</v>
      </c>
      <c r="P162" s="50">
        <f>VLOOKUP($A162,'Data shares'!$C:$FB,125)</f>
        <v>0.82</v>
      </c>
      <c r="Q162" s="50">
        <f>VLOOKUP($A162,'Data shares'!$C:$FB,127)*100</f>
        <v>-39.019999999999996</v>
      </c>
    </row>
    <row r="163" spans="1:17" x14ac:dyDescent="0.25">
      <c r="A163" s="97" t="str">
        <f>'Data Vlaue (Cr)'!C158</f>
        <v>PERSISTENT</v>
      </c>
      <c r="B163" s="140">
        <f>VLOOKUP($A163,'Data shares'!$C:$FB,7)</f>
        <v>5105.8</v>
      </c>
      <c r="C163" s="140">
        <f>VLOOKUP($A163,'Data shares'!$C:$FB,3)</f>
        <v>5111.8</v>
      </c>
      <c r="D163" s="140">
        <f>VLOOKUP($A163,'Data shares'!$C:$FB,4)</f>
        <v>5009.1000000000004</v>
      </c>
      <c r="E163" s="50">
        <f t="shared" si="6"/>
        <v>2.050268511309413</v>
      </c>
      <c r="F163" s="49">
        <f>VLOOKUP($A163,'Data shares'!$C:$FB,98)</f>
        <v>4114200</v>
      </c>
      <c r="G163" s="49">
        <f>VLOOKUP($A163,'Data shares'!$C:$FB,99)</f>
        <v>6672350</v>
      </c>
      <c r="H163" s="50">
        <f t="shared" si="7"/>
        <v>-38.339565520393862</v>
      </c>
      <c r="I163" s="49">
        <f>VLOOKUP($A163,'Data shares'!$C:$FB,66)</f>
        <v>4080400</v>
      </c>
      <c r="J163" s="49">
        <f>VLOOKUP($A163,'Data shares'!$C:$FB,67)</f>
        <v>5357700</v>
      </c>
      <c r="K163" s="50">
        <f t="shared" si="8"/>
        <v>-31.303303597686501</v>
      </c>
      <c r="L163" s="50">
        <f>VLOOKUP($A163,'Data shares'!$C:$FB,118)</f>
        <v>0.76</v>
      </c>
      <c r="M163" s="50">
        <f>VLOOKUP($A163,'Data shares'!$C:$FB,119)</f>
        <v>0.83</v>
      </c>
      <c r="N163" s="50">
        <f>VLOOKUP($A163,'Data shares'!$C:$FB,121)*100</f>
        <v>-8.43</v>
      </c>
      <c r="O163" s="50">
        <f>VLOOKUP($A163,'Data shares'!$C:$FB,124)</f>
        <v>0.56999999999999995</v>
      </c>
      <c r="P163" s="50">
        <f>VLOOKUP($A163,'Data shares'!$C:$FB,125)</f>
        <v>0.56999999999999995</v>
      </c>
      <c r="Q163" s="50">
        <f>VLOOKUP($A163,'Data shares'!$C:$FB,127)*100</f>
        <v>0</v>
      </c>
    </row>
    <row r="164" spans="1:17" x14ac:dyDescent="0.25">
      <c r="A164" s="97" t="str">
        <f>'Data Vlaue (Cr)'!C159</f>
        <v>PETRONET</v>
      </c>
      <c r="B164" s="140">
        <f>VLOOKUP($A164,'Data shares'!$C:$FB,7)</f>
        <v>280.2</v>
      </c>
      <c r="C164" s="140">
        <f>VLOOKUP($A164,'Data shares'!$C:$FB,3)</f>
        <v>281.85000000000002</v>
      </c>
      <c r="D164" s="140">
        <f>VLOOKUP($A164,'Data shares'!$C:$FB,4)</f>
        <v>283.45</v>
      </c>
      <c r="E164" s="50">
        <f t="shared" si="6"/>
        <v>-0.56447345210794353</v>
      </c>
      <c r="F164" s="49">
        <f>VLOOKUP($A164,'Data shares'!$C:$FB,98)</f>
        <v>40878500</v>
      </c>
      <c r="G164" s="49">
        <f>VLOOKUP($A164,'Data shares'!$C:$FB,99)</f>
        <v>54036000</v>
      </c>
      <c r="H164" s="50">
        <f t="shared" si="7"/>
        <v>-24.349507735583682</v>
      </c>
      <c r="I164" s="49">
        <f>VLOOKUP($A164,'Data shares'!$C:$FB,66)</f>
        <v>30506400</v>
      </c>
      <c r="J164" s="49">
        <f>VLOOKUP($A164,'Data shares'!$C:$FB,67)</f>
        <v>47082000</v>
      </c>
      <c r="K164" s="50">
        <f t="shared" si="8"/>
        <v>-54.334828101644248</v>
      </c>
      <c r="L164" s="50">
        <f>VLOOKUP($A164,'Data shares'!$C:$FB,118)</f>
        <v>1.1000000000000001</v>
      </c>
      <c r="M164" s="50">
        <f>VLOOKUP($A164,'Data shares'!$C:$FB,119)</f>
        <v>1.02</v>
      </c>
      <c r="N164" s="50">
        <f>VLOOKUP($A164,'Data shares'!$C:$FB,121)*100</f>
        <v>7.84</v>
      </c>
      <c r="O164" s="50">
        <f>VLOOKUP($A164,'Data shares'!$C:$FB,124)</f>
        <v>0.76</v>
      </c>
      <c r="P164" s="50">
        <f>VLOOKUP($A164,'Data shares'!$C:$FB,125)</f>
        <v>0.56000000000000005</v>
      </c>
      <c r="Q164" s="50">
        <f>VLOOKUP($A164,'Data shares'!$C:$FB,127)*100</f>
        <v>35.709999999999994</v>
      </c>
    </row>
    <row r="165" spans="1:17" x14ac:dyDescent="0.25">
      <c r="A165" s="97" t="str">
        <f>'Data Vlaue (Cr)'!C160</f>
        <v>PFC</v>
      </c>
      <c r="B165" s="140">
        <f>VLOOKUP($A165,'Data shares'!$C:$FB,7)</f>
        <v>433.7</v>
      </c>
      <c r="C165" s="140">
        <f>VLOOKUP($A165,'Data shares'!$C:$FB,3)</f>
        <v>434.5</v>
      </c>
      <c r="D165" s="140">
        <f>VLOOKUP($A165,'Data shares'!$C:$FB,4)</f>
        <v>438.9</v>
      </c>
      <c r="E165" s="50">
        <f t="shared" si="6"/>
        <v>-1.0025062656641552</v>
      </c>
      <c r="F165" s="49">
        <f>VLOOKUP($A165,'Data shares'!$C:$FB,98)</f>
        <v>73494200</v>
      </c>
      <c r="G165" s="49">
        <f>VLOOKUP($A165,'Data shares'!$C:$FB,99)</f>
        <v>97932900</v>
      </c>
      <c r="H165" s="50">
        <f t="shared" si="7"/>
        <v>-24.954535197058394</v>
      </c>
      <c r="I165" s="49">
        <f>VLOOKUP($A165,'Data shares'!$C:$FB,66)</f>
        <v>46433400</v>
      </c>
      <c r="J165" s="49">
        <f>VLOOKUP($A165,'Data shares'!$C:$FB,67)</f>
        <v>69685200</v>
      </c>
      <c r="K165" s="50">
        <f t="shared" si="8"/>
        <v>-50.075592138417605</v>
      </c>
      <c r="L165" s="50">
        <f>VLOOKUP($A165,'Data shares'!$C:$FB,118)</f>
        <v>0.87</v>
      </c>
      <c r="M165" s="50">
        <f>VLOOKUP($A165,'Data shares'!$C:$FB,119)</f>
        <v>0.62</v>
      </c>
      <c r="N165" s="50">
        <f>VLOOKUP($A165,'Data shares'!$C:$FB,121)*100</f>
        <v>40.32</v>
      </c>
      <c r="O165" s="50">
        <f>VLOOKUP($A165,'Data shares'!$C:$FB,124)</f>
        <v>0.5</v>
      </c>
      <c r="P165" s="50">
        <f>VLOOKUP($A165,'Data shares'!$C:$FB,125)</f>
        <v>0.48</v>
      </c>
      <c r="Q165" s="50">
        <f>VLOOKUP($A165,'Data shares'!$C:$FB,127)*100</f>
        <v>4.17</v>
      </c>
    </row>
    <row r="166" spans="1:17" x14ac:dyDescent="0.25">
      <c r="A166" s="97" t="str">
        <f>'Data Vlaue (Cr)'!C161</f>
        <v>PGEL</v>
      </c>
      <c r="B166" s="140">
        <f>VLOOKUP($A166,'Data shares'!$C:$FB,7)</f>
        <v>466.95</v>
      </c>
      <c r="C166" s="140">
        <f>VLOOKUP($A166,'Data shares'!$C:$FB,3)</f>
        <v>468.3</v>
      </c>
      <c r="D166" s="140">
        <f>VLOOKUP($A166,'Data shares'!$C:$FB,4)</f>
        <v>468.45</v>
      </c>
      <c r="E166" s="50">
        <f t="shared" si="6"/>
        <v>-3.2020493115589126E-2</v>
      </c>
      <c r="F166" s="49">
        <f>VLOOKUP($A166,'Data shares'!$C:$FB,98)</f>
        <v>22157800</v>
      </c>
      <c r="G166" s="49">
        <f>VLOOKUP($A166,'Data shares'!$C:$FB,99)</f>
        <v>31185650</v>
      </c>
      <c r="H166" s="50">
        <f t="shared" si="7"/>
        <v>-28.948731227343345</v>
      </c>
      <c r="I166" s="49">
        <f>VLOOKUP($A166,'Data shares'!$C:$FB,66)</f>
        <v>27876800</v>
      </c>
      <c r="J166" s="49">
        <f>VLOOKUP($A166,'Data shares'!$C:$FB,67)</f>
        <v>29102300</v>
      </c>
      <c r="K166" s="50">
        <f t="shared" si="8"/>
        <v>-4.3961286804798254</v>
      </c>
      <c r="L166" s="50">
        <f>VLOOKUP($A166,'Data shares'!$C:$FB,118)</f>
        <v>0.85</v>
      </c>
      <c r="M166" s="50">
        <f>VLOOKUP($A166,'Data shares'!$C:$FB,119)</f>
        <v>0.62</v>
      </c>
      <c r="N166" s="50">
        <f>VLOOKUP($A166,'Data shares'!$C:$FB,121)*100</f>
        <v>37.1</v>
      </c>
      <c r="O166" s="50">
        <f>VLOOKUP($A166,'Data shares'!$C:$FB,124)</f>
        <v>0.6</v>
      </c>
      <c r="P166" s="50">
        <f>VLOOKUP($A166,'Data shares'!$C:$FB,125)</f>
        <v>0.41</v>
      </c>
      <c r="Q166" s="50">
        <f>VLOOKUP($A166,'Data shares'!$C:$FB,127)*100</f>
        <v>46.339999999999996</v>
      </c>
    </row>
    <row r="167" spans="1:17" x14ac:dyDescent="0.25">
      <c r="A167" s="97" t="str">
        <f>'Data Vlaue (Cr)'!C162</f>
        <v>PHOENIXLTD</v>
      </c>
      <c r="B167" s="140">
        <f>VLOOKUP($A167,'Data shares'!$C:$FB,7)</f>
        <v>1785.4</v>
      </c>
      <c r="C167" s="140">
        <f>VLOOKUP($A167,'Data shares'!$C:$FB,3)</f>
        <v>1796.1</v>
      </c>
      <c r="D167" s="140">
        <f>VLOOKUP($A167,'Data shares'!$C:$FB,4)</f>
        <v>1824.6</v>
      </c>
      <c r="E167" s="50">
        <f t="shared" si="6"/>
        <v>-1.5619861887536997</v>
      </c>
      <c r="F167" s="49">
        <f>VLOOKUP($A167,'Data shares'!$C:$FB,98)</f>
        <v>3779650</v>
      </c>
      <c r="G167" s="49">
        <f>VLOOKUP($A167,'Data shares'!$C:$FB,99)</f>
        <v>5758900</v>
      </c>
      <c r="H167" s="50">
        <f t="shared" si="7"/>
        <v>-34.368542603622224</v>
      </c>
      <c r="I167" s="49">
        <f>VLOOKUP($A167,'Data shares'!$C:$FB,66)</f>
        <v>1634850</v>
      </c>
      <c r="J167" s="49">
        <f>VLOOKUP($A167,'Data shares'!$C:$FB,67)</f>
        <v>3751300</v>
      </c>
      <c r="K167" s="50">
        <f t="shared" si="8"/>
        <v>-129.45836009419824</v>
      </c>
      <c r="L167" s="50">
        <f>VLOOKUP($A167,'Data shares'!$C:$FB,118)</f>
        <v>0.41</v>
      </c>
      <c r="M167" s="50">
        <f>VLOOKUP($A167,'Data shares'!$C:$FB,119)</f>
        <v>0.65</v>
      </c>
      <c r="N167" s="50">
        <f>VLOOKUP($A167,'Data shares'!$C:$FB,121)*100</f>
        <v>-36.919999999999995</v>
      </c>
      <c r="O167" s="50">
        <f>VLOOKUP($A167,'Data shares'!$C:$FB,124)</f>
        <v>0.4</v>
      </c>
      <c r="P167" s="50">
        <f>VLOOKUP($A167,'Data shares'!$C:$FB,125)</f>
        <v>0.67</v>
      </c>
      <c r="Q167" s="50">
        <f>VLOOKUP($A167,'Data shares'!$C:$FB,127)*100</f>
        <v>-40.300000000000004</v>
      </c>
    </row>
    <row r="168" spans="1:17" x14ac:dyDescent="0.25">
      <c r="A168" s="97" t="str">
        <f>'Data Vlaue (Cr)'!C163</f>
        <v>PIDILITIND</v>
      </c>
      <c r="B168" s="140">
        <f>VLOOKUP($A168,'Data shares'!$C:$FB,7)</f>
        <v>1478.5</v>
      </c>
      <c r="C168" s="140">
        <f>VLOOKUP($A168,'Data shares'!$C:$FB,3)</f>
        <v>1485.6</v>
      </c>
      <c r="D168" s="140">
        <f>VLOOKUP($A168,'Data shares'!$C:$FB,4)</f>
        <v>1488</v>
      </c>
      <c r="E168" s="50">
        <f t="shared" si="6"/>
        <v>-0.16129032258065126</v>
      </c>
      <c r="F168" s="49">
        <f>VLOOKUP($A168,'Data shares'!$C:$FB,98)</f>
        <v>7617500</v>
      </c>
      <c r="G168" s="49">
        <f>VLOOKUP($A168,'Data shares'!$C:$FB,99)</f>
        <v>12177000</v>
      </c>
      <c r="H168" s="50">
        <f t="shared" si="7"/>
        <v>-37.443541102077688</v>
      </c>
      <c r="I168" s="49">
        <f>VLOOKUP($A168,'Data shares'!$C:$FB,66)</f>
        <v>5578000</v>
      </c>
      <c r="J168" s="49">
        <f>VLOOKUP($A168,'Data shares'!$C:$FB,67)</f>
        <v>9740000</v>
      </c>
      <c r="K168" s="50">
        <f t="shared" si="8"/>
        <v>-74.614557188956624</v>
      </c>
      <c r="L168" s="50">
        <f>VLOOKUP($A168,'Data shares'!$C:$FB,118)</f>
        <v>0.6</v>
      </c>
      <c r="M168" s="50">
        <f>VLOOKUP($A168,'Data shares'!$C:$FB,119)</f>
        <v>0.48</v>
      </c>
      <c r="N168" s="50">
        <f>VLOOKUP($A168,'Data shares'!$C:$FB,121)*100</f>
        <v>25</v>
      </c>
      <c r="O168" s="50">
        <f>VLOOKUP($A168,'Data shares'!$C:$FB,124)</f>
        <v>0.41</v>
      </c>
      <c r="P168" s="50">
        <f>VLOOKUP($A168,'Data shares'!$C:$FB,125)</f>
        <v>0.35</v>
      </c>
      <c r="Q168" s="50">
        <f>VLOOKUP($A168,'Data shares'!$C:$FB,127)*100</f>
        <v>17.14</v>
      </c>
    </row>
    <row r="169" spans="1:17" x14ac:dyDescent="0.25">
      <c r="A169" s="97" t="str">
        <f>'Data Vlaue (Cr)'!C164</f>
        <v>PIIND</v>
      </c>
      <c r="B169" s="140">
        <f>VLOOKUP($A169,'Data shares'!$C:$FB,7)</f>
        <v>2837.9</v>
      </c>
      <c r="C169" s="140">
        <f>VLOOKUP($A169,'Data shares'!$C:$FB,3)</f>
        <v>2807.2</v>
      </c>
      <c r="D169" s="140">
        <f>VLOOKUP($A169,'Data shares'!$C:$FB,4)</f>
        <v>2818.1</v>
      </c>
      <c r="E169" s="50">
        <f t="shared" si="6"/>
        <v>-0.38678542280260075</v>
      </c>
      <c r="F169" s="49">
        <f>VLOOKUP($A169,'Data shares'!$C:$FB,98)</f>
        <v>5352375</v>
      </c>
      <c r="G169" s="49">
        <f>VLOOKUP($A169,'Data shares'!$C:$FB,99)</f>
        <v>7482825</v>
      </c>
      <c r="H169" s="50">
        <f t="shared" si="7"/>
        <v>-28.471199045814917</v>
      </c>
      <c r="I169" s="49">
        <f>VLOOKUP($A169,'Data shares'!$C:$FB,66)</f>
        <v>3965675</v>
      </c>
      <c r="J169" s="49">
        <f>VLOOKUP($A169,'Data shares'!$C:$FB,67)</f>
        <v>9425850</v>
      </c>
      <c r="K169" s="50">
        <f t="shared" si="8"/>
        <v>-137.68589206125063</v>
      </c>
      <c r="L169" s="50">
        <f>VLOOKUP($A169,'Data shares'!$C:$FB,118)</f>
        <v>0.48</v>
      </c>
      <c r="M169" s="50">
        <f>VLOOKUP($A169,'Data shares'!$C:$FB,119)</f>
        <v>0.56999999999999995</v>
      </c>
      <c r="N169" s="50">
        <f>VLOOKUP($A169,'Data shares'!$C:$FB,121)*100</f>
        <v>-15.790000000000001</v>
      </c>
      <c r="O169" s="50">
        <f>VLOOKUP($A169,'Data shares'!$C:$FB,124)</f>
        <v>0.68</v>
      </c>
      <c r="P169" s="50">
        <f>VLOOKUP($A169,'Data shares'!$C:$FB,125)</f>
        <v>0.33</v>
      </c>
      <c r="Q169" s="50">
        <f>VLOOKUP($A169,'Data shares'!$C:$FB,127)*100</f>
        <v>106.06</v>
      </c>
    </row>
    <row r="170" spans="1:17" x14ac:dyDescent="0.25">
      <c r="A170" s="97" t="str">
        <f>'Data Vlaue (Cr)'!C165</f>
        <v>PNB</v>
      </c>
      <c r="B170" s="140">
        <f>VLOOKUP($A170,'Data shares'!$C:$FB,7)</f>
        <v>105.91</v>
      </c>
      <c r="C170" s="140">
        <f>VLOOKUP($A170,'Data shares'!$C:$FB,3)</f>
        <v>106.79</v>
      </c>
      <c r="D170" s="140">
        <f>VLOOKUP($A170,'Data shares'!$C:$FB,4)</f>
        <v>107.1</v>
      </c>
      <c r="E170" s="50">
        <f t="shared" si="6"/>
        <v>-0.28944911297851361</v>
      </c>
      <c r="F170" s="49">
        <f>VLOOKUP($A170,'Data shares'!$C:$FB,98)</f>
        <v>406856000</v>
      </c>
      <c r="G170" s="49">
        <f>VLOOKUP($A170,'Data shares'!$C:$FB,99)</f>
        <v>522760000</v>
      </c>
      <c r="H170" s="50">
        <f t="shared" si="7"/>
        <v>-22.171550998546177</v>
      </c>
      <c r="I170" s="49">
        <f>VLOOKUP($A170,'Data shares'!$C:$FB,66)</f>
        <v>285752000</v>
      </c>
      <c r="J170" s="49">
        <f>VLOOKUP($A170,'Data shares'!$C:$FB,67)</f>
        <v>482360000</v>
      </c>
      <c r="K170" s="50">
        <f t="shared" si="8"/>
        <v>-68.803717909235985</v>
      </c>
      <c r="L170" s="50">
        <f>VLOOKUP($A170,'Data shares'!$C:$FB,118)</f>
        <v>0.96</v>
      </c>
      <c r="M170" s="50">
        <f>VLOOKUP($A170,'Data shares'!$C:$FB,119)</f>
        <v>0.75</v>
      </c>
      <c r="N170" s="50">
        <f>VLOOKUP($A170,'Data shares'!$C:$FB,121)*100</f>
        <v>28.000000000000004</v>
      </c>
      <c r="O170" s="50">
        <f>VLOOKUP($A170,'Data shares'!$C:$FB,124)</f>
        <v>0.66</v>
      </c>
      <c r="P170" s="50">
        <f>VLOOKUP($A170,'Data shares'!$C:$FB,125)</f>
        <v>0.55000000000000004</v>
      </c>
      <c r="Q170" s="50">
        <f>VLOOKUP($A170,'Data shares'!$C:$FB,127)*100</f>
        <v>20</v>
      </c>
    </row>
    <row r="171" spans="1:17" x14ac:dyDescent="0.25">
      <c r="A171" s="97" t="str">
        <f>'Data Vlaue (Cr)'!C166</f>
        <v>PNBHOUSING</v>
      </c>
      <c r="B171" s="140">
        <f>VLOOKUP($A171,'Data shares'!$C:$FB,7)</f>
        <v>1092.5999999999999</v>
      </c>
      <c r="C171" s="140">
        <f>VLOOKUP($A171,'Data shares'!$C:$FB,3)</f>
        <v>1100.7</v>
      </c>
      <c r="D171" s="140">
        <f>VLOOKUP($A171,'Data shares'!$C:$FB,4)</f>
        <v>1093.7</v>
      </c>
      <c r="E171" s="50">
        <f t="shared" si="6"/>
        <v>0.64002925848038761</v>
      </c>
      <c r="F171" s="49">
        <f>VLOOKUP($A171,'Data shares'!$C:$FB,98)</f>
        <v>12870650</v>
      </c>
      <c r="G171" s="49">
        <f>VLOOKUP($A171,'Data shares'!$C:$FB,99)</f>
        <v>16899350</v>
      </c>
      <c r="H171" s="50">
        <f t="shared" si="7"/>
        <v>-23.839378437632217</v>
      </c>
      <c r="I171" s="49">
        <f>VLOOKUP($A171,'Data shares'!$C:$FB,66)</f>
        <v>5597150</v>
      </c>
      <c r="J171" s="49">
        <f>VLOOKUP($A171,'Data shares'!$C:$FB,67)</f>
        <v>14554800</v>
      </c>
      <c r="K171" s="50">
        <f t="shared" si="8"/>
        <v>-160.03948438044361</v>
      </c>
      <c r="L171" s="50">
        <f>VLOOKUP($A171,'Data shares'!$C:$FB,118)</f>
        <v>0.49</v>
      </c>
      <c r="M171" s="50">
        <f>VLOOKUP($A171,'Data shares'!$C:$FB,119)</f>
        <v>0.61</v>
      </c>
      <c r="N171" s="50">
        <f>VLOOKUP($A171,'Data shares'!$C:$FB,121)*100</f>
        <v>-19.670000000000002</v>
      </c>
      <c r="O171" s="50">
        <f>VLOOKUP($A171,'Data shares'!$C:$FB,124)</f>
        <v>0.93</v>
      </c>
      <c r="P171" s="50">
        <f>VLOOKUP($A171,'Data shares'!$C:$FB,125)</f>
        <v>0.3</v>
      </c>
      <c r="Q171" s="50">
        <f>VLOOKUP($A171,'Data shares'!$C:$FB,127)*100</f>
        <v>210</v>
      </c>
    </row>
    <row r="172" spans="1:17" x14ac:dyDescent="0.25">
      <c r="A172" s="97" t="str">
        <f>'Data Vlaue (Cr)'!C167</f>
        <v>POLICYBZR</v>
      </c>
      <c r="B172" s="140">
        <f>VLOOKUP($A172,'Data shares'!$C:$FB,7)</f>
        <v>1789</v>
      </c>
      <c r="C172" s="140">
        <f>VLOOKUP($A172,'Data shares'!$C:$FB,3)</f>
        <v>1797.9</v>
      </c>
      <c r="D172" s="140">
        <f>VLOOKUP($A172,'Data shares'!$C:$FB,4)</f>
        <v>1805.7</v>
      </c>
      <c r="E172" s="50">
        <f t="shared" si="6"/>
        <v>-0.43196544276457632</v>
      </c>
      <c r="F172" s="49">
        <f>VLOOKUP($A172,'Data shares'!$C:$FB,98)</f>
        <v>8499400</v>
      </c>
      <c r="G172" s="49">
        <f>VLOOKUP($A172,'Data shares'!$C:$FB,99)</f>
        <v>14248850</v>
      </c>
      <c r="H172" s="50">
        <f t="shared" si="7"/>
        <v>-40.35027388175186</v>
      </c>
      <c r="I172" s="49">
        <f>VLOOKUP($A172,'Data shares'!$C:$FB,66)</f>
        <v>3650500</v>
      </c>
      <c r="J172" s="49">
        <f>VLOOKUP($A172,'Data shares'!$C:$FB,67)</f>
        <v>12145700</v>
      </c>
      <c r="K172" s="50">
        <f t="shared" si="8"/>
        <v>-232.71332694151488</v>
      </c>
      <c r="L172" s="50">
        <f>VLOOKUP($A172,'Data shares'!$C:$FB,118)</f>
        <v>0.68</v>
      </c>
      <c r="M172" s="50">
        <f>VLOOKUP($A172,'Data shares'!$C:$FB,119)</f>
        <v>0.67</v>
      </c>
      <c r="N172" s="50">
        <f>VLOOKUP($A172,'Data shares'!$C:$FB,121)*100</f>
        <v>1.49</v>
      </c>
      <c r="O172" s="50">
        <f>VLOOKUP($A172,'Data shares'!$C:$FB,124)</f>
        <v>0.66</v>
      </c>
      <c r="P172" s="50">
        <f>VLOOKUP($A172,'Data shares'!$C:$FB,125)</f>
        <v>0.86</v>
      </c>
      <c r="Q172" s="50">
        <f>VLOOKUP($A172,'Data shares'!$C:$FB,127)*100</f>
        <v>-23.26</v>
      </c>
    </row>
    <row r="173" spans="1:17" x14ac:dyDescent="0.25">
      <c r="A173" s="97" t="str">
        <f>'Data Vlaue (Cr)'!C168</f>
        <v>POLYCAB</v>
      </c>
      <c r="B173" s="140">
        <f>VLOOKUP($A173,'Data shares'!$C:$FB,7)</f>
        <v>9613.5</v>
      </c>
      <c r="C173" s="140">
        <f>VLOOKUP($A173,'Data shares'!$C:$FB,3)</f>
        <v>9617.5</v>
      </c>
      <c r="D173" s="140">
        <f>VLOOKUP($A173,'Data shares'!$C:$FB,4)</f>
        <v>9449</v>
      </c>
      <c r="E173" s="50">
        <f t="shared" ref="E173:E182" si="9">(C173-D173)/D173*100</f>
        <v>1.7832574875648217</v>
      </c>
      <c r="F173" s="49">
        <f>VLOOKUP($A173,'Data shares'!$C:$FB,98)</f>
        <v>2847500</v>
      </c>
      <c r="G173" s="49">
        <f>VLOOKUP($A173,'Data shares'!$C:$FB,99)</f>
        <v>5331000</v>
      </c>
      <c r="H173" s="50">
        <f t="shared" ref="H173:H182" si="10">(F173-G173)/G173*100</f>
        <v>-46.586006377790284</v>
      </c>
      <c r="I173" s="49">
        <f>VLOOKUP($A173,'Data shares'!$C:$FB,66)</f>
        <v>7549750</v>
      </c>
      <c r="J173" s="49">
        <f>VLOOKUP($A173,'Data shares'!$C:$FB,67)</f>
        <v>9856875</v>
      </c>
      <c r="K173" s="50">
        <f t="shared" ref="K173:K182" si="11">(I173-J173)/I173*100</f>
        <v>-30.558958905924037</v>
      </c>
      <c r="L173" s="50">
        <f>VLOOKUP($A173,'Data shares'!$C:$FB,118)</f>
        <v>1.1200000000000001</v>
      </c>
      <c r="M173" s="50">
        <f>VLOOKUP($A173,'Data shares'!$C:$FB,119)</f>
        <v>0.82</v>
      </c>
      <c r="N173" s="50">
        <f>VLOOKUP($A173,'Data shares'!$C:$FB,121)*100</f>
        <v>36.590000000000003</v>
      </c>
      <c r="O173" s="50">
        <f>VLOOKUP($A173,'Data shares'!$C:$FB,124)</f>
        <v>0.56999999999999995</v>
      </c>
      <c r="P173" s="50">
        <f>VLOOKUP($A173,'Data shares'!$C:$FB,125)</f>
        <v>0.61</v>
      </c>
      <c r="Q173" s="50">
        <f>VLOOKUP($A173,'Data shares'!$C:$FB,127)*100</f>
        <v>-6.5600000000000005</v>
      </c>
    </row>
    <row r="174" spans="1:17" x14ac:dyDescent="0.25">
      <c r="A174" s="97" t="str">
        <f>'Data Vlaue (Cr)'!C169</f>
        <v>POWERGRID</v>
      </c>
      <c r="B174" s="140">
        <f>VLOOKUP($A174,'Data shares'!$C:$FB,7)</f>
        <v>292.55</v>
      </c>
      <c r="C174" s="140">
        <f>VLOOKUP($A174,'Data shares'!$C:$FB,3)</f>
        <v>294.7</v>
      </c>
      <c r="D174" s="140">
        <f>VLOOKUP($A174,'Data shares'!$C:$FB,4)</f>
        <v>297.2</v>
      </c>
      <c r="E174" s="50">
        <f t="shared" si="9"/>
        <v>-0.84118438761776582</v>
      </c>
      <c r="F174" s="49">
        <f>VLOOKUP($A174,'Data shares'!$C:$FB,98)</f>
        <v>104760300</v>
      </c>
      <c r="G174" s="49">
        <f>VLOOKUP($A174,'Data shares'!$C:$FB,99)</f>
        <v>140909700</v>
      </c>
      <c r="H174" s="50">
        <f t="shared" si="10"/>
        <v>-25.654302010436471</v>
      </c>
      <c r="I174" s="49">
        <f>VLOOKUP($A174,'Data shares'!$C:$FB,66)</f>
        <v>43223100</v>
      </c>
      <c r="J174" s="49">
        <f>VLOOKUP($A174,'Data shares'!$C:$FB,67)</f>
        <v>63357400</v>
      </c>
      <c r="K174" s="50">
        <f t="shared" si="11"/>
        <v>-46.582267352411094</v>
      </c>
      <c r="L174" s="50">
        <f>VLOOKUP($A174,'Data shares'!$C:$FB,118)</f>
        <v>1.1599999999999999</v>
      </c>
      <c r="M174" s="50">
        <f>VLOOKUP($A174,'Data shares'!$C:$FB,119)</f>
        <v>0.5</v>
      </c>
      <c r="N174" s="50">
        <f>VLOOKUP($A174,'Data shares'!$C:$FB,121)*100</f>
        <v>132</v>
      </c>
      <c r="O174" s="50">
        <f>VLOOKUP($A174,'Data shares'!$C:$FB,124)</f>
        <v>0.63</v>
      </c>
      <c r="P174" s="50">
        <f>VLOOKUP($A174,'Data shares'!$C:$FB,125)</f>
        <v>0.68</v>
      </c>
      <c r="Q174" s="50">
        <f>VLOOKUP($A174,'Data shares'!$C:$FB,127)*100</f>
        <v>-7.35</v>
      </c>
    </row>
    <row r="175" spans="1:17" x14ac:dyDescent="0.25">
      <c r="A175" s="97" t="str">
        <f>'Data Vlaue (Cr)'!C170</f>
        <v>POWERINDIA</v>
      </c>
      <c r="B175" s="140">
        <f>VLOOKUP($A175,'Data shares'!$C:$FB,7)</f>
        <v>35995</v>
      </c>
      <c r="C175" s="140">
        <f>VLOOKUP($A175,'Data shares'!$C:$FB,3)</f>
        <v>36250</v>
      </c>
      <c r="D175" s="140">
        <f>VLOOKUP($A175,'Data shares'!$C:$FB,4)</f>
        <v>35930</v>
      </c>
      <c r="E175" s="50">
        <f t="shared" si="9"/>
        <v>0.89062065126635126</v>
      </c>
      <c r="F175" s="49">
        <f>VLOOKUP($A175,'Data shares'!$C:$FB,98)</f>
        <v>823025</v>
      </c>
      <c r="G175" s="49">
        <f>VLOOKUP($A175,'Data shares'!$C:$FB,99)</f>
        <v>1206550</v>
      </c>
      <c r="H175" s="50">
        <f t="shared" si="10"/>
        <v>-31.786913099332807</v>
      </c>
      <c r="I175" s="49">
        <f>VLOOKUP($A175,'Data shares'!$C:$FB,66)</f>
        <v>7626850</v>
      </c>
      <c r="J175" s="49">
        <f>VLOOKUP($A175,'Data shares'!$C:$FB,67)</f>
        <v>1793125</v>
      </c>
      <c r="K175" s="50">
        <f t="shared" si="11"/>
        <v>76.489310790168943</v>
      </c>
      <c r="L175" s="50">
        <f>VLOOKUP($A175,'Data shares'!$C:$FB,118)</f>
        <v>0.76</v>
      </c>
      <c r="M175" s="50">
        <f>VLOOKUP($A175,'Data shares'!$C:$FB,119)</f>
        <v>0.93</v>
      </c>
      <c r="N175" s="50">
        <f>VLOOKUP($A175,'Data shares'!$C:$FB,121)*100</f>
        <v>-18.279999999999998</v>
      </c>
      <c r="O175" s="50">
        <f>VLOOKUP($A175,'Data shares'!$C:$FB,124)</f>
        <v>0.42</v>
      </c>
      <c r="P175" s="50">
        <f>VLOOKUP($A175,'Data shares'!$C:$FB,125)</f>
        <v>0.64</v>
      </c>
      <c r="Q175" s="50">
        <f>VLOOKUP($A175,'Data shares'!$C:$FB,127)*100</f>
        <v>-34.380000000000003</v>
      </c>
    </row>
    <row r="176" spans="1:17" x14ac:dyDescent="0.25">
      <c r="A176" s="97" t="str">
        <f>'Data Vlaue (Cr)'!C171</f>
        <v>PREMIERENE</v>
      </c>
      <c r="B176" s="140">
        <f>VLOOKUP($A176,'Data shares'!$C:$FB,7)</f>
        <v>1016.8</v>
      </c>
      <c r="C176" s="140">
        <f>VLOOKUP($A176,'Data shares'!$C:$FB,3)</f>
        <v>1024.8</v>
      </c>
      <c r="D176" s="140">
        <f>VLOOKUP($A176,'Data shares'!$C:$FB,4)</f>
        <v>990.7</v>
      </c>
      <c r="E176" s="50">
        <f t="shared" si="9"/>
        <v>3.4420106995053907</v>
      </c>
      <c r="F176" s="49">
        <f>VLOOKUP($A176,'Data shares'!$C:$FB,98)</f>
        <v>15092300</v>
      </c>
      <c r="G176" s="49">
        <f>VLOOKUP($A176,'Data shares'!$C:$FB,99)</f>
        <v>20777275</v>
      </c>
      <c r="H176" s="50">
        <f t="shared" si="10"/>
        <v>-27.361504335866947</v>
      </c>
      <c r="I176" s="49">
        <f>VLOOKUP($A176,'Data shares'!$C:$FB,66)</f>
        <v>30209925</v>
      </c>
      <c r="J176" s="49">
        <f>VLOOKUP($A176,'Data shares'!$C:$FB,67)</f>
        <v>27273400</v>
      </c>
      <c r="K176" s="50">
        <f t="shared" si="11"/>
        <v>9.7203981803993234</v>
      </c>
      <c r="L176" s="50">
        <f>VLOOKUP($A176,'Data shares'!$C:$FB,118)</f>
        <v>0.46</v>
      </c>
      <c r="M176" s="50">
        <f>VLOOKUP($A176,'Data shares'!$C:$FB,119)</f>
        <v>0.46</v>
      </c>
      <c r="N176" s="50">
        <f>VLOOKUP($A176,'Data shares'!$C:$FB,121)*100</f>
        <v>0</v>
      </c>
      <c r="O176" s="50">
        <f>VLOOKUP($A176,'Data shares'!$C:$FB,124)</f>
        <v>0.32</v>
      </c>
      <c r="P176" s="50">
        <f>VLOOKUP($A176,'Data shares'!$C:$FB,125)</f>
        <v>0.36</v>
      </c>
      <c r="Q176" s="50">
        <f>VLOOKUP($A176,'Data shares'!$C:$FB,127)*100</f>
        <v>-11.110000000000001</v>
      </c>
    </row>
    <row r="177" spans="1:17" x14ac:dyDescent="0.25">
      <c r="A177" s="97" t="str">
        <f>'Data Vlaue (Cr)'!C172</f>
        <v>PRESTIGE</v>
      </c>
      <c r="B177" s="140">
        <f>VLOOKUP($A177,'Data shares'!$C:$FB,7)</f>
        <v>1402.2</v>
      </c>
      <c r="C177" s="140">
        <f>VLOOKUP($A177,'Data shares'!$C:$FB,3)</f>
        <v>1414.2</v>
      </c>
      <c r="D177" s="140">
        <f>VLOOKUP($A177,'Data shares'!$C:$FB,4)</f>
        <v>1413.4</v>
      </c>
      <c r="E177" s="50">
        <f t="shared" si="9"/>
        <v>5.6601103721519344E-2</v>
      </c>
      <c r="F177" s="49">
        <f>VLOOKUP($A177,'Data shares'!$C:$FB,98)</f>
        <v>5799600</v>
      </c>
      <c r="G177" s="49">
        <f>VLOOKUP($A177,'Data shares'!$C:$FB,99)</f>
        <v>8476650</v>
      </c>
      <c r="H177" s="50">
        <f t="shared" si="10"/>
        <v>-31.581462016244625</v>
      </c>
      <c r="I177" s="49">
        <f>VLOOKUP($A177,'Data shares'!$C:$FB,66)</f>
        <v>3641400</v>
      </c>
      <c r="J177" s="49">
        <f>VLOOKUP($A177,'Data shares'!$C:$FB,67)</f>
        <v>8698500</v>
      </c>
      <c r="K177" s="50">
        <f t="shared" si="11"/>
        <v>-138.87790410281758</v>
      </c>
      <c r="L177" s="50">
        <f>VLOOKUP($A177,'Data shares'!$C:$FB,118)</f>
        <v>1.07</v>
      </c>
      <c r="M177" s="50">
        <f>VLOOKUP($A177,'Data shares'!$C:$FB,119)</f>
        <v>0.66</v>
      </c>
      <c r="N177" s="50">
        <f>VLOOKUP($A177,'Data shares'!$C:$FB,121)*100</f>
        <v>62.12</v>
      </c>
      <c r="O177" s="50">
        <f>VLOOKUP($A177,'Data shares'!$C:$FB,124)</f>
        <v>1.1299999999999999</v>
      </c>
      <c r="P177" s="50">
        <f>VLOOKUP($A177,'Data shares'!$C:$FB,125)</f>
        <v>0.46</v>
      </c>
      <c r="Q177" s="50">
        <f>VLOOKUP($A177,'Data shares'!$C:$FB,127)*100</f>
        <v>145.64999999999998</v>
      </c>
    </row>
    <row r="178" spans="1:17" x14ac:dyDescent="0.25">
      <c r="A178" s="97" t="str">
        <f>'Data Vlaue (Cr)'!C173</f>
        <v>RBLBANK</v>
      </c>
      <c r="B178" s="140">
        <f>VLOOKUP($A178,'Data shares'!$C:$FB,7)</f>
        <v>344.25</v>
      </c>
      <c r="C178" s="140">
        <f>VLOOKUP($A178,'Data shares'!$C:$FB,3)</f>
        <v>347.15</v>
      </c>
      <c r="D178" s="140">
        <f>VLOOKUP($A178,'Data shares'!$C:$FB,4)</f>
        <v>346.3</v>
      </c>
      <c r="E178" s="50">
        <f t="shared" si="9"/>
        <v>0.2454519203003078</v>
      </c>
      <c r="F178" s="49">
        <f>VLOOKUP($A178,'Data shares'!$C:$FB,98)</f>
        <v>83365975</v>
      </c>
      <c r="G178" s="49">
        <f>VLOOKUP($A178,'Data shares'!$C:$FB,99)</f>
        <v>113868200</v>
      </c>
      <c r="H178" s="50">
        <f t="shared" si="10"/>
        <v>-26.787307606513494</v>
      </c>
      <c r="I178" s="49">
        <f>VLOOKUP($A178,'Data shares'!$C:$FB,66)</f>
        <v>67033775</v>
      </c>
      <c r="J178" s="49">
        <f>VLOOKUP($A178,'Data shares'!$C:$FB,67)</f>
        <v>121323100</v>
      </c>
      <c r="K178" s="50">
        <f t="shared" si="11"/>
        <v>-80.988016861649228</v>
      </c>
      <c r="L178" s="50">
        <f>VLOOKUP($A178,'Data shares'!$C:$FB,118)</f>
        <v>0.63</v>
      </c>
      <c r="M178" s="50">
        <f>VLOOKUP($A178,'Data shares'!$C:$FB,119)</f>
        <v>0.67</v>
      </c>
      <c r="N178" s="50">
        <f>VLOOKUP($A178,'Data shares'!$C:$FB,121)*100</f>
        <v>-5.9700000000000006</v>
      </c>
      <c r="O178" s="50">
        <f>VLOOKUP($A178,'Data shares'!$C:$FB,124)</f>
        <v>0.64</v>
      </c>
      <c r="P178" s="50">
        <f>VLOOKUP($A178,'Data shares'!$C:$FB,125)</f>
        <v>0.46</v>
      </c>
      <c r="Q178" s="50">
        <f>VLOOKUP($A178,'Data shares'!$C:$FB,127)*100</f>
        <v>39.129999999999995</v>
      </c>
    </row>
    <row r="179" spans="1:17" x14ac:dyDescent="0.25">
      <c r="A179" s="97" t="str">
        <f>'Data Vlaue (Cr)'!C174</f>
        <v>RECLTD</v>
      </c>
      <c r="B179" s="140">
        <f>VLOOKUP($A179,'Data shares'!$C:$FB,7)</f>
        <v>337.6</v>
      </c>
      <c r="C179" s="140">
        <f>VLOOKUP($A179,'Data shares'!$C:$FB,3)</f>
        <v>340.1</v>
      </c>
      <c r="D179" s="140">
        <f>VLOOKUP($A179,'Data shares'!$C:$FB,4)</f>
        <v>344.85</v>
      </c>
      <c r="E179" s="50">
        <f t="shared" si="9"/>
        <v>-1.3774104683195592</v>
      </c>
      <c r="F179" s="49">
        <f>VLOOKUP($A179,'Data shares'!$C:$FB,98)</f>
        <v>89981500</v>
      </c>
      <c r="G179" s="49">
        <f>VLOOKUP($A179,'Data shares'!$C:$FB,99)</f>
        <v>116564175</v>
      </c>
      <c r="H179" s="50">
        <f t="shared" si="10"/>
        <v>-22.805184354455388</v>
      </c>
      <c r="I179" s="49">
        <f>VLOOKUP($A179,'Data shares'!$C:$FB,66)</f>
        <v>64353800</v>
      </c>
      <c r="J179" s="49">
        <f>VLOOKUP($A179,'Data shares'!$C:$FB,67)</f>
        <v>87290000</v>
      </c>
      <c r="K179" s="50">
        <f t="shared" si="11"/>
        <v>-35.640785781103837</v>
      </c>
      <c r="L179" s="50">
        <f>VLOOKUP($A179,'Data shares'!$C:$FB,118)</f>
        <v>0.88</v>
      </c>
      <c r="M179" s="50">
        <f>VLOOKUP($A179,'Data shares'!$C:$FB,119)</f>
        <v>0.65</v>
      </c>
      <c r="N179" s="50">
        <f>VLOOKUP($A179,'Data shares'!$C:$FB,121)*100</f>
        <v>35.380000000000003</v>
      </c>
      <c r="O179" s="50">
        <f>VLOOKUP($A179,'Data shares'!$C:$FB,124)</f>
        <v>0.61</v>
      </c>
      <c r="P179" s="50">
        <f>VLOOKUP($A179,'Data shares'!$C:$FB,125)</f>
        <v>0.56000000000000005</v>
      </c>
      <c r="Q179" s="50">
        <f>VLOOKUP($A179,'Data shares'!$C:$FB,127)*100</f>
        <v>8.93</v>
      </c>
    </row>
    <row r="180" spans="1:17" x14ac:dyDescent="0.25">
      <c r="A180" s="97" t="str">
        <f>'Data Vlaue (Cr)'!C175</f>
        <v>RELIANCE</v>
      </c>
      <c r="B180" s="140">
        <f>VLOOKUP($A180,'Data shares'!$C:$FB,7)</f>
        <v>1356.3</v>
      </c>
      <c r="C180" s="140">
        <f>VLOOKUP($A180,'Data shares'!$C:$FB,3)</f>
        <v>1363.9</v>
      </c>
      <c r="D180" s="140">
        <f>VLOOKUP($A180,'Data shares'!$C:$FB,4)</f>
        <v>1374.7</v>
      </c>
      <c r="E180" s="50">
        <f t="shared" si="9"/>
        <v>-0.78562595475376118</v>
      </c>
      <c r="F180" s="49">
        <f>VLOOKUP($A180,'Data shares'!$C:$FB,98)</f>
        <v>170511500</v>
      </c>
      <c r="G180" s="49">
        <f>VLOOKUP($A180,'Data shares'!$C:$FB,99)</f>
        <v>231814500</v>
      </c>
      <c r="H180" s="50">
        <f t="shared" si="10"/>
        <v>-26.444851379012096</v>
      </c>
      <c r="I180" s="49">
        <f>VLOOKUP($A180,'Data shares'!$C:$FB,66)</f>
        <v>122308000</v>
      </c>
      <c r="J180" s="49">
        <f>VLOOKUP($A180,'Data shares'!$C:$FB,67)</f>
        <v>190622500</v>
      </c>
      <c r="K180" s="50">
        <f t="shared" si="11"/>
        <v>-55.854482127088986</v>
      </c>
      <c r="L180" s="50">
        <f>VLOOKUP($A180,'Data shares'!$C:$FB,118)</f>
        <v>0.86</v>
      </c>
      <c r="M180" s="50">
        <f>VLOOKUP($A180,'Data shares'!$C:$FB,119)</f>
        <v>0.6</v>
      </c>
      <c r="N180" s="50">
        <f>VLOOKUP($A180,'Data shares'!$C:$FB,121)*100</f>
        <v>43.33</v>
      </c>
      <c r="O180" s="50">
        <f>VLOOKUP($A180,'Data shares'!$C:$FB,124)</f>
        <v>0.55000000000000004</v>
      </c>
      <c r="P180" s="50">
        <f>VLOOKUP($A180,'Data shares'!$C:$FB,125)</f>
        <v>0.62</v>
      </c>
      <c r="Q180" s="50">
        <f>VLOOKUP($A180,'Data shares'!$C:$FB,127)*100</f>
        <v>-11.29</v>
      </c>
    </row>
    <row r="181" spans="1:17" x14ac:dyDescent="0.25">
      <c r="A181" s="97" t="str">
        <f>'Data Vlaue (Cr)'!C176</f>
        <v>RVNL</v>
      </c>
      <c r="B181" s="140">
        <f>VLOOKUP($A181,'Data shares'!$C:$FB,7)</f>
        <v>259.75</v>
      </c>
      <c r="C181" s="140">
        <f>VLOOKUP($A181,'Data shares'!$C:$FB,3)</f>
        <v>256.60000000000002</v>
      </c>
      <c r="D181" s="140">
        <f>VLOOKUP($A181,'Data shares'!$C:$FB,4)</f>
        <v>265.25</v>
      </c>
      <c r="E181" s="50">
        <f t="shared" si="9"/>
        <v>-3.2610744580584266</v>
      </c>
      <c r="F181" s="49">
        <f>VLOOKUP($A181,'Data shares'!$C:$FB,98)</f>
        <v>75138475</v>
      </c>
      <c r="G181" s="49">
        <f>VLOOKUP($A181,'Data shares'!$C:$FB,99)</f>
        <v>93138000</v>
      </c>
      <c r="H181" s="50">
        <f t="shared" si="10"/>
        <v>-19.32565118426421</v>
      </c>
      <c r="I181" s="49">
        <f>VLOOKUP($A181,'Data shares'!$C:$FB,66)</f>
        <v>97115050</v>
      </c>
      <c r="J181" s="49">
        <f>VLOOKUP($A181,'Data shares'!$C:$FB,67)</f>
        <v>71397450</v>
      </c>
      <c r="K181" s="50">
        <f t="shared" si="11"/>
        <v>26.481580352375865</v>
      </c>
      <c r="L181" s="50">
        <f>VLOOKUP($A181,'Data shares'!$C:$FB,118)</f>
        <v>0.77</v>
      </c>
      <c r="M181" s="50">
        <f>VLOOKUP($A181,'Data shares'!$C:$FB,119)</f>
        <v>0.66</v>
      </c>
      <c r="N181" s="50">
        <f>VLOOKUP($A181,'Data shares'!$C:$FB,121)*100</f>
        <v>16.669999999999998</v>
      </c>
      <c r="O181" s="50">
        <f>VLOOKUP($A181,'Data shares'!$C:$FB,124)</f>
        <v>0.67</v>
      </c>
      <c r="P181" s="50">
        <f>VLOOKUP($A181,'Data shares'!$C:$FB,125)</f>
        <v>0.42</v>
      </c>
      <c r="Q181" s="50">
        <f>VLOOKUP($A181,'Data shares'!$C:$FB,127)*100</f>
        <v>59.519999999999996</v>
      </c>
    </row>
    <row r="182" spans="1:17" x14ac:dyDescent="0.25">
      <c r="A182" s="97" t="str">
        <f>'Data Vlaue (Cr)'!C177</f>
        <v>SAIL</v>
      </c>
      <c r="B182" s="140">
        <f>VLOOKUP($A182,'Data shares'!$C:$FB,7)</f>
        <v>203.84</v>
      </c>
      <c r="C182" s="140">
        <f>VLOOKUP($A182,'Data shares'!$C:$FB,3)</f>
        <v>205.65</v>
      </c>
      <c r="D182" s="140">
        <f>VLOOKUP($A182,'Data shares'!$C:$FB,4)</f>
        <v>200.09</v>
      </c>
      <c r="E182" s="50">
        <f t="shared" si="9"/>
        <v>2.7787495626967877</v>
      </c>
      <c r="F182" s="49">
        <f>VLOOKUP($A182,'Data shares'!$C:$FB,98)</f>
        <v>171347900</v>
      </c>
      <c r="G182" s="49">
        <f>VLOOKUP($A182,'Data shares'!$C:$FB,99)</f>
        <v>192145400</v>
      </c>
      <c r="H182" s="50">
        <f t="shared" si="10"/>
        <v>-10.823834450369356</v>
      </c>
      <c r="I182" s="49">
        <f>VLOOKUP($A182,'Data shares'!$C:$FB,66)</f>
        <v>51897400</v>
      </c>
      <c r="J182" s="49">
        <f>VLOOKUP($A182,'Data shares'!$C:$FB,67)</f>
        <v>52000800</v>
      </c>
      <c r="K182" s="50">
        <f t="shared" si="11"/>
        <v>-0.19923926824850571</v>
      </c>
      <c r="L182" s="50">
        <f>VLOOKUP($A182,'Data shares'!$C:$FB,118)</f>
        <v>0.17</v>
      </c>
      <c r="M182" s="50">
        <f>VLOOKUP($A182,'Data shares'!$C:$FB,119)</f>
        <v>0.63</v>
      </c>
      <c r="N182" s="50">
        <f>VLOOKUP($A182,'Data shares'!$C:$FB,121)*100</f>
        <v>-73.02</v>
      </c>
      <c r="O182" s="50">
        <f>VLOOKUP($A182,'Data shares'!$C:$FB,124)</f>
        <v>0.84</v>
      </c>
      <c r="P182" s="50">
        <f>VLOOKUP($A182,'Data shares'!$C:$FB,125)</f>
        <v>2.58</v>
      </c>
      <c r="Q182" s="50">
        <f>VLOOKUP($A182,'Data shares'!$C:$FB,127)*100</f>
        <v>-67.44</v>
      </c>
    </row>
    <row r="183" spans="1:17" x14ac:dyDescent="0.25">
      <c r="A183" s="97" t="str">
        <f>'Data Vlaue (Cr)'!C178</f>
        <v>SAMMAANCAP</v>
      </c>
      <c r="B183" s="140">
        <f>VLOOKUP($A183,'Data shares'!$C:$FB,7)</f>
        <v>167.71</v>
      </c>
      <c r="C183" s="140">
        <f>VLOOKUP($A183,'Data shares'!$C:$FB,3)</f>
        <v>169.05</v>
      </c>
      <c r="D183" s="140">
        <f>VLOOKUP($A183,'Data shares'!$C:$FB,4)</f>
        <v>169.88</v>
      </c>
      <c r="E183" s="50">
        <f>(C183-D183)/D183*100</f>
        <v>-0.4885801742406311</v>
      </c>
      <c r="F183" s="49">
        <f>VLOOKUP($A183,'Data shares'!$C:$FB,98)</f>
        <v>112174100</v>
      </c>
      <c r="G183" s="49">
        <f>VLOOKUP($A183,'Data shares'!$C:$FB,99)</f>
        <v>154008800</v>
      </c>
      <c r="H183" s="50">
        <f>(F183-G183)/G183*100</f>
        <v>-27.163837391110118</v>
      </c>
      <c r="I183" s="49">
        <f>VLOOKUP($A183,'Data shares'!$C:$FB,66)</f>
        <v>109005000</v>
      </c>
      <c r="J183" s="49">
        <f>VLOOKUP($A183,'Data shares'!$C:$FB,67)</f>
        <v>247469300</v>
      </c>
      <c r="K183" s="50">
        <f>(I183-J183)/I183*100</f>
        <v>-127.02564102564102</v>
      </c>
      <c r="L183" s="50">
        <f>VLOOKUP($A183,'Data shares'!$C:$FB,118)</f>
        <v>0.86</v>
      </c>
      <c r="M183" s="50">
        <f>VLOOKUP($A183,'Data shares'!$C:$FB,119)</f>
        <v>1.19</v>
      </c>
      <c r="N183" s="50">
        <f>VLOOKUP($A183,'Data shares'!$C:$FB,121)*100</f>
        <v>-27.73</v>
      </c>
      <c r="O183" s="50">
        <f>VLOOKUP($A183,'Data shares'!$C:$FB,124)</f>
        <v>0.67</v>
      </c>
      <c r="P183" s="50">
        <f>VLOOKUP($A183,'Data shares'!$C:$FB,125)</f>
        <v>0.51</v>
      </c>
      <c r="Q183" s="50">
        <f>VLOOKUP($A183,'Data shares'!$C:$FB,127)*100</f>
        <v>31.369999999999997</v>
      </c>
    </row>
    <row r="184" spans="1:17" x14ac:dyDescent="0.25">
      <c r="A184" s="97" t="str">
        <f>'Data Vlaue (Cr)'!C179</f>
        <v>SBICARD</v>
      </c>
      <c r="B184" s="140">
        <f>VLOOKUP($A184,'Data shares'!$C:$FB,7)</f>
        <v>628.70000000000005</v>
      </c>
      <c r="C184" s="140">
        <f>VLOOKUP($A184,'Data shares'!$C:$FB,3)</f>
        <v>620.4</v>
      </c>
      <c r="D184" s="140">
        <f>VLOOKUP($A184,'Data shares'!$C:$FB,4)</f>
        <v>619.95000000000005</v>
      </c>
      <c r="E184" s="50">
        <f t="shared" ref="E184:E188" si="12">(C184-D184)/D184*100</f>
        <v>7.258649891119151E-2</v>
      </c>
      <c r="F184" s="49">
        <f>VLOOKUP($A184,'Data shares'!$C:$FB,98)</f>
        <v>36347200</v>
      </c>
      <c r="G184" s="49">
        <f>VLOOKUP($A184,'Data shares'!$C:$FB,99)</f>
        <v>44245600</v>
      </c>
      <c r="H184" s="50">
        <f t="shared" ref="H184:H188" si="13">(F184-G184)/G184*100</f>
        <v>-17.851266566619053</v>
      </c>
      <c r="I184" s="49">
        <f>VLOOKUP($A184,'Data shares'!$C:$FB,66)</f>
        <v>23976000</v>
      </c>
      <c r="J184" s="49">
        <f>VLOOKUP($A184,'Data shares'!$C:$FB,67)</f>
        <v>26748800</v>
      </c>
      <c r="K184" s="50">
        <f t="shared" ref="K184:K188" si="14">(I184-J184)/I184*100</f>
        <v>-11.564898231564898</v>
      </c>
      <c r="L184" s="50">
        <f>VLOOKUP($A184,'Data shares'!$C:$FB,118)</f>
        <v>0.75</v>
      </c>
      <c r="M184" s="50">
        <f>VLOOKUP($A184,'Data shares'!$C:$FB,119)</f>
        <v>0.67</v>
      </c>
      <c r="N184" s="50">
        <f>VLOOKUP($A184,'Data shares'!$C:$FB,121)*100</f>
        <v>11.940000000000001</v>
      </c>
      <c r="O184" s="50">
        <f>VLOOKUP($A184,'Data shares'!$C:$FB,124)</f>
        <v>0.48</v>
      </c>
      <c r="P184" s="50">
        <f>VLOOKUP($A184,'Data shares'!$C:$FB,125)</f>
        <v>0.42</v>
      </c>
      <c r="Q184" s="50">
        <f>VLOOKUP($A184,'Data shares'!$C:$FB,127)*100</f>
        <v>14.29</v>
      </c>
    </row>
    <row r="185" spans="1:17" x14ac:dyDescent="0.25">
      <c r="A185" s="97" t="str">
        <f>'Data Vlaue (Cr)'!C180</f>
        <v>SBILIFE</v>
      </c>
      <c r="B185" s="140">
        <f>VLOOKUP($A185,'Data shares'!$C:$FB,7)</f>
        <v>1883.2</v>
      </c>
      <c r="C185" s="140">
        <f>VLOOKUP($A185,'Data shares'!$C:$FB,3)</f>
        <v>1892</v>
      </c>
      <c r="D185" s="140">
        <f>VLOOKUP($A185,'Data shares'!$C:$FB,4)</f>
        <v>1909.6</v>
      </c>
      <c r="E185" s="50">
        <f t="shared" si="12"/>
        <v>-0.92165898617511055</v>
      </c>
      <c r="F185" s="49">
        <f>VLOOKUP($A185,'Data shares'!$C:$FB,98)</f>
        <v>9216750</v>
      </c>
      <c r="G185" s="49">
        <f>VLOOKUP($A185,'Data shares'!$C:$FB,99)</f>
        <v>15393000</v>
      </c>
      <c r="H185" s="50">
        <f t="shared" si="13"/>
        <v>-40.123757552134087</v>
      </c>
      <c r="I185" s="49">
        <f>VLOOKUP($A185,'Data shares'!$C:$FB,66)</f>
        <v>7566750</v>
      </c>
      <c r="J185" s="49">
        <f>VLOOKUP($A185,'Data shares'!$C:$FB,67)</f>
        <v>10305375</v>
      </c>
      <c r="K185" s="50">
        <f t="shared" si="14"/>
        <v>-36.192883338289228</v>
      </c>
      <c r="L185" s="50">
        <f>VLOOKUP($A185,'Data shares'!$C:$FB,118)</f>
        <v>0.71</v>
      </c>
      <c r="M185" s="50">
        <f>VLOOKUP($A185,'Data shares'!$C:$FB,119)</f>
        <v>0.55000000000000004</v>
      </c>
      <c r="N185" s="50">
        <f>VLOOKUP($A185,'Data shares'!$C:$FB,121)*100</f>
        <v>29.09</v>
      </c>
      <c r="O185" s="50">
        <f>VLOOKUP($A185,'Data shares'!$C:$FB,124)</f>
        <v>0.48</v>
      </c>
      <c r="P185" s="50">
        <f>VLOOKUP($A185,'Data shares'!$C:$FB,125)</f>
        <v>0.48</v>
      </c>
      <c r="Q185" s="50">
        <f>VLOOKUP($A185,'Data shares'!$C:$FB,127)*100</f>
        <v>0</v>
      </c>
    </row>
    <row r="186" spans="1:17" x14ac:dyDescent="0.25">
      <c r="A186" s="97" t="str">
        <f>'Data Vlaue (Cr)'!C181</f>
        <v>SBIN</v>
      </c>
      <c r="B186" s="140">
        <f>VLOOKUP($A186,'Data shares'!$C:$FB,7)</f>
        <v>968.5</v>
      </c>
      <c r="C186" s="140">
        <f>VLOOKUP($A186,'Data shares'!$C:$FB,3)</f>
        <v>974.2</v>
      </c>
      <c r="D186" s="140">
        <f>VLOOKUP($A186,'Data shares'!$C:$FB,4)</f>
        <v>976.7</v>
      </c>
      <c r="E186" s="50">
        <f t="shared" si="12"/>
        <v>-0.25596396027439339</v>
      </c>
      <c r="F186" s="49">
        <f>VLOOKUP($A186,'Data shares'!$C:$FB,98)</f>
        <v>160166250</v>
      </c>
      <c r="G186" s="49">
        <f>VLOOKUP($A186,'Data shares'!$C:$FB,99)</f>
        <v>249968250</v>
      </c>
      <c r="H186" s="50">
        <f t="shared" si="13"/>
        <v>-35.925362521040171</v>
      </c>
      <c r="I186" s="49">
        <f>VLOOKUP($A186,'Data shares'!$C:$FB,66)</f>
        <v>185461500</v>
      </c>
      <c r="J186" s="49">
        <f>VLOOKUP($A186,'Data shares'!$C:$FB,67)</f>
        <v>358134750</v>
      </c>
      <c r="K186" s="50">
        <f t="shared" si="14"/>
        <v>-93.104633576240886</v>
      </c>
      <c r="L186" s="50">
        <f>VLOOKUP($A186,'Data shares'!$C:$FB,118)</f>
        <v>0.84</v>
      </c>
      <c r="M186" s="50">
        <f>VLOOKUP($A186,'Data shares'!$C:$FB,119)</f>
        <v>0.57999999999999996</v>
      </c>
      <c r="N186" s="50">
        <f>VLOOKUP($A186,'Data shares'!$C:$FB,121)*100</f>
        <v>44.83</v>
      </c>
      <c r="O186" s="50">
        <f>VLOOKUP($A186,'Data shares'!$C:$FB,124)</f>
        <v>0.54</v>
      </c>
      <c r="P186" s="50">
        <f>VLOOKUP($A186,'Data shares'!$C:$FB,125)</f>
        <v>0.4</v>
      </c>
      <c r="Q186" s="50">
        <f>VLOOKUP($A186,'Data shares'!$C:$FB,127)*100</f>
        <v>35</v>
      </c>
    </row>
    <row r="187" spans="1:17" x14ac:dyDescent="0.25">
      <c r="A187" s="97" t="str">
        <f>'Data Vlaue (Cr)'!C182</f>
        <v>SHREECEM</v>
      </c>
      <c r="B187" s="140">
        <f>VLOOKUP($A187,'Data shares'!$C:$FB,7)</f>
        <v>25180</v>
      </c>
      <c r="C187" s="140">
        <f>VLOOKUP($A187,'Data shares'!$C:$FB,3)</f>
        <v>24905</v>
      </c>
      <c r="D187" s="140">
        <f>VLOOKUP($A187,'Data shares'!$C:$FB,4)</f>
        <v>25155</v>
      </c>
      <c r="E187" s="50">
        <f t="shared" si="12"/>
        <v>-0.99383820314052873</v>
      </c>
      <c r="F187" s="49">
        <f>VLOOKUP($A187,'Data shares'!$C:$FB,98)</f>
        <v>429375</v>
      </c>
      <c r="G187" s="49">
        <f>VLOOKUP($A187,'Data shares'!$C:$FB,99)</f>
        <v>509400</v>
      </c>
      <c r="H187" s="50">
        <f t="shared" si="13"/>
        <v>-15.709658421672557</v>
      </c>
      <c r="I187" s="49">
        <f>VLOOKUP($A187,'Data shares'!$C:$FB,66)</f>
        <v>231175</v>
      </c>
      <c r="J187" s="49">
        <f>VLOOKUP($A187,'Data shares'!$C:$FB,67)</f>
        <v>500475</v>
      </c>
      <c r="K187" s="50">
        <f t="shared" si="14"/>
        <v>-116.49183518979129</v>
      </c>
      <c r="L187" s="50">
        <f>VLOOKUP($A187,'Data shares'!$C:$FB,118)</f>
        <v>0.73</v>
      </c>
      <c r="M187" s="50">
        <f>VLOOKUP($A187,'Data shares'!$C:$FB,119)</f>
        <v>0.63</v>
      </c>
      <c r="N187" s="50">
        <f>VLOOKUP($A187,'Data shares'!$C:$FB,121)*100</f>
        <v>15.870000000000001</v>
      </c>
      <c r="O187" s="50">
        <f>VLOOKUP($A187,'Data shares'!$C:$FB,124)</f>
        <v>0.44</v>
      </c>
      <c r="P187" s="50">
        <f>VLOOKUP($A187,'Data shares'!$C:$FB,125)</f>
        <v>0.3</v>
      </c>
      <c r="Q187" s="50">
        <f>VLOOKUP($A187,'Data shares'!$C:$FB,127)*100</f>
        <v>46.67</v>
      </c>
    </row>
    <row r="188" spans="1:17" x14ac:dyDescent="0.25">
      <c r="A188" s="97" t="str">
        <f>'Data Vlaue (Cr)'!C183</f>
        <v>SHRIRAMFIN</v>
      </c>
      <c r="B188" s="140">
        <f>VLOOKUP($A188,'Data shares'!$C:$FB,7)</f>
        <v>952.15</v>
      </c>
      <c r="C188" s="140">
        <f>VLOOKUP($A188,'Data shares'!$C:$FB,3)</f>
        <v>959.25</v>
      </c>
      <c r="D188" s="140">
        <f>VLOOKUP($A188,'Data shares'!$C:$FB,4)</f>
        <v>967.45</v>
      </c>
      <c r="E188" s="50">
        <f t="shared" si="12"/>
        <v>-0.84758902268851566</v>
      </c>
      <c r="F188" s="49">
        <f>VLOOKUP($A188,'Data shares'!$C:$FB,98)</f>
        <v>49877025</v>
      </c>
      <c r="G188" s="49">
        <f>VLOOKUP($A188,'Data shares'!$C:$FB,99)</f>
        <v>68009700</v>
      </c>
      <c r="H188" s="50">
        <f t="shared" si="13"/>
        <v>-26.661895288466201</v>
      </c>
      <c r="I188" s="49">
        <f>VLOOKUP($A188,'Data shares'!$C:$FB,66)</f>
        <v>32409300</v>
      </c>
      <c r="J188" s="49">
        <f>VLOOKUP($A188,'Data shares'!$C:$FB,67)</f>
        <v>60959250</v>
      </c>
      <c r="K188" s="50">
        <f t="shared" si="14"/>
        <v>-88.091844007738516</v>
      </c>
      <c r="L188" s="50">
        <f>VLOOKUP($A188,'Data shares'!$C:$FB,118)</f>
        <v>0.77</v>
      </c>
      <c r="M188" s="50">
        <f>VLOOKUP($A188,'Data shares'!$C:$FB,119)</f>
        <v>0.65</v>
      </c>
      <c r="N188" s="50">
        <f>VLOOKUP($A188,'Data shares'!$C:$FB,121)*100</f>
        <v>18.459999999999997</v>
      </c>
      <c r="O188" s="50">
        <f>VLOOKUP($A188,'Data shares'!$C:$FB,124)</f>
        <v>0.62</v>
      </c>
      <c r="P188" s="50">
        <f>VLOOKUP($A188,'Data shares'!$C:$FB,125)</f>
        <v>0.38</v>
      </c>
      <c r="Q188" s="50">
        <f>VLOOKUP($A188,'Data shares'!$C:$FB,127)*100</f>
        <v>63.160000000000004</v>
      </c>
    </row>
    <row r="189" spans="1:17" x14ac:dyDescent="0.25">
      <c r="A189" s="97" t="str">
        <f>'Data Vlaue (Cr)'!C184</f>
        <v>SIEMENS</v>
      </c>
      <c r="B189" s="140">
        <f>VLOOKUP($A189,'Data shares'!$C:$FB,7)</f>
        <v>3677.2</v>
      </c>
      <c r="C189" s="140">
        <f>VLOOKUP($A189,'Data shares'!$C:$FB,3)</f>
        <v>3680.8</v>
      </c>
      <c r="D189" s="140">
        <f>VLOOKUP($A189,'Data shares'!$C:$FB,4)</f>
        <v>3650.2</v>
      </c>
      <c r="E189" s="50">
        <f t="shared" ref="E189:E209" si="15">(C189-D189)/D189*100</f>
        <v>0.83831022957647161</v>
      </c>
      <c r="F189" s="49">
        <f>VLOOKUP($A189,'Data shares'!$C:$FB,98)</f>
        <v>4861325</v>
      </c>
      <c r="G189" s="49">
        <f>VLOOKUP($A189,'Data shares'!$C:$FB,99)</f>
        <v>5671575</v>
      </c>
      <c r="H189" s="50">
        <f t="shared" ref="H189:H209" si="16">(F189-G189)/G189*100</f>
        <v>-14.286155080378906</v>
      </c>
      <c r="I189" s="49">
        <f>VLOOKUP($A189,'Data shares'!$C:$FB,66)</f>
        <v>10227525</v>
      </c>
      <c r="J189" s="49">
        <f>VLOOKUP($A189,'Data shares'!$C:$FB,67)</f>
        <v>15421700</v>
      </c>
      <c r="K189" s="50">
        <f t="shared" ref="K189:K209" si="17">(I189-J189)/I189*100</f>
        <v>-50.786236161730237</v>
      </c>
      <c r="L189" s="50">
        <f>VLOOKUP($A189,'Data shares'!$C:$FB,118)</f>
        <v>0.87</v>
      </c>
      <c r="M189" s="50">
        <f>VLOOKUP($A189,'Data shares'!$C:$FB,119)</f>
        <v>0.73</v>
      </c>
      <c r="N189" s="50">
        <f>VLOOKUP($A189,'Data shares'!$C:$FB,121)*100</f>
        <v>19.18</v>
      </c>
      <c r="O189" s="50">
        <f>VLOOKUP($A189,'Data shares'!$C:$FB,124)</f>
        <v>0.64</v>
      </c>
      <c r="P189" s="50">
        <f>VLOOKUP($A189,'Data shares'!$C:$FB,125)</f>
        <v>1.1200000000000001</v>
      </c>
      <c r="Q189" s="50">
        <f>VLOOKUP($A189,'Data shares'!$C:$FB,127)*100</f>
        <v>-42.86</v>
      </c>
    </row>
    <row r="190" spans="1:17" x14ac:dyDescent="0.25">
      <c r="A190" s="97" t="str">
        <f>'Data Vlaue (Cr)'!C185</f>
        <v>SOLARINDS</v>
      </c>
      <c r="B190" s="140">
        <f>VLOOKUP($A190,'Data shares'!$C:$FB,7)</f>
        <v>18479</v>
      </c>
      <c r="C190" s="140">
        <f>VLOOKUP($A190,'Data shares'!$C:$FB,3)</f>
        <v>18632</v>
      </c>
      <c r="D190" s="140">
        <f>VLOOKUP($A190,'Data shares'!$C:$FB,4)</f>
        <v>18507</v>
      </c>
      <c r="E190" s="50">
        <f t="shared" si="15"/>
        <v>0.67542011130923429</v>
      </c>
      <c r="F190" s="49">
        <f>VLOOKUP($A190,'Data shares'!$C:$FB,98)</f>
        <v>994250</v>
      </c>
      <c r="G190" s="49">
        <f>VLOOKUP($A190,'Data shares'!$C:$FB,99)</f>
        <v>1511700</v>
      </c>
      <c r="H190" s="50">
        <f t="shared" si="16"/>
        <v>-34.229675200105838</v>
      </c>
      <c r="I190" s="49">
        <f>VLOOKUP($A190,'Data shares'!$C:$FB,66)</f>
        <v>1248750</v>
      </c>
      <c r="J190" s="49">
        <f>VLOOKUP($A190,'Data shares'!$C:$FB,67)</f>
        <v>2604500</v>
      </c>
      <c r="K190" s="50">
        <f t="shared" si="17"/>
        <v>-108.56856856856855</v>
      </c>
      <c r="L190" s="50">
        <f>VLOOKUP($A190,'Data shares'!$C:$FB,118)</f>
        <v>0.62</v>
      </c>
      <c r="M190" s="50">
        <f>VLOOKUP($A190,'Data shares'!$C:$FB,119)</f>
        <v>0.89</v>
      </c>
      <c r="N190" s="50">
        <f>VLOOKUP($A190,'Data shares'!$C:$FB,121)*100</f>
        <v>-30.34</v>
      </c>
      <c r="O190" s="50">
        <f>VLOOKUP($A190,'Data shares'!$C:$FB,124)</f>
        <v>0.65</v>
      </c>
      <c r="P190" s="50">
        <f>VLOOKUP($A190,'Data shares'!$C:$FB,125)</f>
        <v>0.7</v>
      </c>
      <c r="Q190" s="50">
        <f>VLOOKUP($A190,'Data shares'!$C:$FB,127)*100</f>
        <v>-7.1400000000000006</v>
      </c>
    </row>
    <row r="191" spans="1:17" x14ac:dyDescent="0.25">
      <c r="A191" s="97" t="str">
        <f>'Data Vlaue (Cr)'!C186</f>
        <v>SONACOMS</v>
      </c>
      <c r="B191" s="140">
        <f>VLOOKUP($A191,'Data shares'!$C:$FB,7)</f>
        <v>608</v>
      </c>
      <c r="C191" s="140">
        <f>VLOOKUP($A191,'Data shares'!$C:$FB,3)</f>
        <v>609.25</v>
      </c>
      <c r="D191" s="140">
        <f>VLOOKUP($A191,'Data shares'!$C:$FB,4)</f>
        <v>597.29999999999995</v>
      </c>
      <c r="E191" s="50">
        <f t="shared" si="15"/>
        <v>2.0006696802276989</v>
      </c>
      <c r="F191" s="49">
        <f>VLOOKUP($A191,'Data shares'!$C:$FB,98)</f>
        <v>18199825</v>
      </c>
      <c r="G191" s="49">
        <f>VLOOKUP($A191,'Data shares'!$C:$FB,99)</f>
        <v>23306850</v>
      </c>
      <c r="H191" s="50">
        <f t="shared" si="16"/>
        <v>-21.912120256491114</v>
      </c>
      <c r="I191" s="49">
        <f>VLOOKUP($A191,'Data shares'!$C:$FB,66)</f>
        <v>17875200</v>
      </c>
      <c r="J191" s="49">
        <f>VLOOKUP($A191,'Data shares'!$C:$FB,67)</f>
        <v>20104700</v>
      </c>
      <c r="K191" s="50">
        <f t="shared" si="17"/>
        <v>-12.472587719298247</v>
      </c>
      <c r="L191" s="50">
        <f>VLOOKUP($A191,'Data shares'!$C:$FB,118)</f>
        <v>0.77</v>
      </c>
      <c r="M191" s="50">
        <f>VLOOKUP($A191,'Data shares'!$C:$FB,119)</f>
        <v>0.6</v>
      </c>
      <c r="N191" s="50">
        <f>VLOOKUP($A191,'Data shares'!$C:$FB,121)*100</f>
        <v>28.33</v>
      </c>
      <c r="O191" s="50">
        <f>VLOOKUP($A191,'Data shares'!$C:$FB,124)</f>
        <v>0.5</v>
      </c>
      <c r="P191" s="50">
        <f>VLOOKUP($A191,'Data shares'!$C:$FB,125)</f>
        <v>0.62</v>
      </c>
      <c r="Q191" s="50">
        <f>VLOOKUP($A191,'Data shares'!$C:$FB,127)*100</f>
        <v>-19.350000000000001</v>
      </c>
    </row>
    <row r="192" spans="1:17" x14ac:dyDescent="0.25">
      <c r="A192" s="97" t="str">
        <f>'Data Vlaue (Cr)'!C187</f>
        <v>SRF</v>
      </c>
      <c r="B192" s="140">
        <f>VLOOKUP($A192,'Data shares'!$C:$FB,7)</f>
        <v>2749.7</v>
      </c>
      <c r="C192" s="140">
        <f>VLOOKUP($A192,'Data shares'!$C:$FB,3)</f>
        <v>2762.1</v>
      </c>
      <c r="D192" s="140">
        <f>VLOOKUP($A192,'Data shares'!$C:$FB,4)</f>
        <v>2731.3</v>
      </c>
      <c r="E192" s="50">
        <f t="shared" si="15"/>
        <v>1.1276681433749396</v>
      </c>
      <c r="F192" s="49">
        <f>VLOOKUP($A192,'Data shares'!$C:$FB,98)</f>
        <v>4311400</v>
      </c>
      <c r="G192" s="49">
        <f>VLOOKUP($A192,'Data shares'!$C:$FB,99)</f>
        <v>6963600</v>
      </c>
      <c r="H192" s="50">
        <f t="shared" si="16"/>
        <v>-38.086621862255157</v>
      </c>
      <c r="I192" s="49">
        <f>VLOOKUP($A192,'Data shares'!$C:$FB,66)</f>
        <v>6182400</v>
      </c>
      <c r="J192" s="49">
        <f>VLOOKUP($A192,'Data shares'!$C:$FB,67)</f>
        <v>5547000</v>
      </c>
      <c r="K192" s="50">
        <f t="shared" si="17"/>
        <v>10.277562111801242</v>
      </c>
      <c r="L192" s="50">
        <f>VLOOKUP($A192,'Data shares'!$C:$FB,118)</f>
        <v>0.57999999999999996</v>
      </c>
      <c r="M192" s="50">
        <f>VLOOKUP($A192,'Data shares'!$C:$FB,119)</f>
        <v>0.77</v>
      </c>
      <c r="N192" s="50">
        <f>VLOOKUP($A192,'Data shares'!$C:$FB,121)*100</f>
        <v>-24.68</v>
      </c>
      <c r="O192" s="50">
        <f>VLOOKUP($A192,'Data shares'!$C:$FB,124)</f>
        <v>0.38</v>
      </c>
      <c r="P192" s="50">
        <f>VLOOKUP($A192,'Data shares'!$C:$FB,125)</f>
        <v>0.4</v>
      </c>
      <c r="Q192" s="50">
        <f>VLOOKUP($A192,'Data shares'!$C:$FB,127)*100</f>
        <v>-5</v>
      </c>
    </row>
    <row r="193" spans="1:17" x14ac:dyDescent="0.25">
      <c r="A193" s="97" t="str">
        <f>'Data Vlaue (Cr)'!C188</f>
        <v>SUNPHARMA</v>
      </c>
      <c r="B193" s="140">
        <f>VLOOKUP($A193,'Data shares'!$C:$FB,7)</f>
        <v>1840.8</v>
      </c>
      <c r="C193" s="140">
        <f>VLOOKUP($A193,'Data shares'!$C:$FB,3)</f>
        <v>1855</v>
      </c>
      <c r="D193" s="140">
        <f>VLOOKUP($A193,'Data shares'!$C:$FB,4)</f>
        <v>1855.3</v>
      </c>
      <c r="E193" s="50">
        <f t="shared" si="15"/>
        <v>-1.6169891661723414E-2</v>
      </c>
      <c r="F193" s="49">
        <f>VLOOKUP($A193,'Data shares'!$C:$FB,98)</f>
        <v>31971450</v>
      </c>
      <c r="G193" s="49">
        <f>VLOOKUP($A193,'Data shares'!$C:$FB,99)</f>
        <v>57382150</v>
      </c>
      <c r="H193" s="50">
        <f t="shared" si="16"/>
        <v>-44.283283216122086</v>
      </c>
      <c r="I193" s="49">
        <f>VLOOKUP($A193,'Data shares'!$C:$FB,66)</f>
        <v>31150000</v>
      </c>
      <c r="J193" s="49">
        <f>VLOOKUP($A193,'Data shares'!$C:$FB,67)</f>
        <v>89863550</v>
      </c>
      <c r="K193" s="50">
        <f t="shared" si="17"/>
        <v>-188.48651685393259</v>
      </c>
      <c r="L193" s="50">
        <f>VLOOKUP($A193,'Data shares'!$C:$FB,118)</f>
        <v>0.94</v>
      </c>
      <c r="M193" s="50">
        <f>VLOOKUP($A193,'Data shares'!$C:$FB,119)</f>
        <v>0.62</v>
      </c>
      <c r="N193" s="50">
        <f>VLOOKUP($A193,'Data shares'!$C:$FB,121)*100</f>
        <v>51.61</v>
      </c>
      <c r="O193" s="50">
        <f>VLOOKUP($A193,'Data shares'!$C:$FB,124)</f>
        <v>0.94</v>
      </c>
      <c r="P193" s="50">
        <f>VLOOKUP($A193,'Data shares'!$C:$FB,125)</f>
        <v>0.7</v>
      </c>
      <c r="Q193" s="50">
        <f>VLOOKUP($A193,'Data shares'!$C:$FB,127)*100</f>
        <v>34.29</v>
      </c>
    </row>
    <row r="194" spans="1:17" x14ac:dyDescent="0.25">
      <c r="A194" s="97" t="str">
        <f>'Data Vlaue (Cr)'!C189</f>
        <v>SUPREMEIND</v>
      </c>
      <c r="B194" s="140">
        <f>VLOOKUP($A194,'Data shares'!$C:$FB,7)</f>
        <v>3570.9</v>
      </c>
      <c r="C194" s="140">
        <f>VLOOKUP($A194,'Data shares'!$C:$FB,3)</f>
        <v>3572.6</v>
      </c>
      <c r="D194" s="140">
        <f>VLOOKUP($A194,'Data shares'!$C:$FB,4)</f>
        <v>3609.5</v>
      </c>
      <c r="E194" s="50">
        <f t="shared" si="15"/>
        <v>-1.0223022579304637</v>
      </c>
      <c r="F194" s="49">
        <f>VLOOKUP($A194,'Data shares'!$C:$FB,98)</f>
        <v>2310000</v>
      </c>
      <c r="G194" s="49">
        <f>VLOOKUP($A194,'Data shares'!$C:$FB,99)</f>
        <v>3562825</v>
      </c>
      <c r="H194" s="50">
        <f t="shared" si="16"/>
        <v>-35.163809617368244</v>
      </c>
      <c r="I194" s="49">
        <f>VLOOKUP($A194,'Data shares'!$C:$FB,66)</f>
        <v>1621550</v>
      </c>
      <c r="J194" s="49">
        <f>VLOOKUP($A194,'Data shares'!$C:$FB,67)</f>
        <v>3389225</v>
      </c>
      <c r="K194" s="50">
        <f t="shared" si="17"/>
        <v>-109.01143967191884</v>
      </c>
      <c r="L194" s="50">
        <f>VLOOKUP($A194,'Data shares'!$C:$FB,118)</f>
        <v>1.02</v>
      </c>
      <c r="M194" s="50">
        <f>VLOOKUP($A194,'Data shares'!$C:$FB,119)</f>
        <v>0.41</v>
      </c>
      <c r="N194" s="50">
        <f>VLOOKUP($A194,'Data shares'!$C:$FB,121)*100</f>
        <v>148.78</v>
      </c>
      <c r="O194" s="50">
        <f>VLOOKUP($A194,'Data shares'!$C:$FB,124)</f>
        <v>0.38</v>
      </c>
      <c r="P194" s="50">
        <f>VLOOKUP($A194,'Data shares'!$C:$FB,125)</f>
        <v>0.8</v>
      </c>
      <c r="Q194" s="50">
        <f>VLOOKUP($A194,'Data shares'!$C:$FB,127)*100</f>
        <v>-52.5</v>
      </c>
    </row>
    <row r="195" spans="1:17" x14ac:dyDescent="0.25">
      <c r="A195" s="97" t="str">
        <f>'Data Vlaue (Cr)'!C190</f>
        <v>SUZLON</v>
      </c>
      <c r="B195" s="140">
        <f>VLOOKUP($A195,'Data shares'!$C:$FB,7)</f>
        <v>54.58</v>
      </c>
      <c r="C195" s="140">
        <f>VLOOKUP($A195,'Data shares'!$C:$FB,3)</f>
        <v>55.02</v>
      </c>
      <c r="D195" s="140">
        <f>VLOOKUP($A195,'Data shares'!$C:$FB,4)</f>
        <v>54.18</v>
      </c>
      <c r="E195" s="50">
        <f t="shared" si="15"/>
        <v>1.5503875968992311</v>
      </c>
      <c r="F195" s="49">
        <f>VLOOKUP($A195,'Data shares'!$C:$FB,98)</f>
        <v>460059625</v>
      </c>
      <c r="G195" s="49">
        <f>VLOOKUP($A195,'Data shares'!$C:$FB,99)</f>
        <v>618214525</v>
      </c>
      <c r="H195" s="50">
        <f t="shared" si="16"/>
        <v>-25.582527359738112</v>
      </c>
      <c r="I195" s="49">
        <f>VLOOKUP($A195,'Data shares'!$C:$FB,66)</f>
        <v>603303200</v>
      </c>
      <c r="J195" s="49">
        <f>VLOOKUP($A195,'Data shares'!$C:$FB,67)</f>
        <v>739905600</v>
      </c>
      <c r="K195" s="50">
        <f t="shared" si="17"/>
        <v>-22.642412637625657</v>
      </c>
      <c r="L195" s="50">
        <f>VLOOKUP($A195,'Data shares'!$C:$FB,118)</f>
        <v>0.57999999999999996</v>
      </c>
      <c r="M195" s="50">
        <f>VLOOKUP($A195,'Data shares'!$C:$FB,119)</f>
        <v>0.52</v>
      </c>
      <c r="N195" s="50">
        <f>VLOOKUP($A195,'Data shares'!$C:$FB,121)*100</f>
        <v>11.540000000000001</v>
      </c>
      <c r="O195" s="50">
        <f>VLOOKUP($A195,'Data shares'!$C:$FB,124)</f>
        <v>0.56000000000000005</v>
      </c>
      <c r="P195" s="50">
        <f>VLOOKUP($A195,'Data shares'!$C:$FB,125)</f>
        <v>0.61</v>
      </c>
      <c r="Q195" s="50">
        <f>VLOOKUP($A195,'Data shares'!$C:$FB,127)*100</f>
        <v>-8.2000000000000011</v>
      </c>
    </row>
    <row r="196" spans="1:17" x14ac:dyDescent="0.25">
      <c r="A196" s="97" t="str">
        <f>'Data Vlaue (Cr)'!C191</f>
        <v>SWIGGY</v>
      </c>
      <c r="B196" s="140">
        <f>VLOOKUP($A196,'Data shares'!$C:$FB,7)</f>
        <v>253.9</v>
      </c>
      <c r="C196" s="140">
        <f>VLOOKUP($A196,'Data shares'!$C:$FB,3)</f>
        <v>256.10000000000002</v>
      </c>
      <c r="D196" s="140">
        <f>VLOOKUP($A196,'Data shares'!$C:$FB,4)</f>
        <v>252.15</v>
      </c>
      <c r="E196" s="50">
        <f t="shared" si="15"/>
        <v>1.5665278604005621</v>
      </c>
      <c r="F196" s="49">
        <f>VLOOKUP($A196,'Data shares'!$C:$FB,98)</f>
        <v>50881275</v>
      </c>
      <c r="G196" s="49">
        <f>VLOOKUP($A196,'Data shares'!$C:$FB,99)</f>
        <v>72177800</v>
      </c>
      <c r="H196" s="50">
        <f t="shared" si="16"/>
        <v>-29.505644394813917</v>
      </c>
      <c r="I196" s="49">
        <f>VLOOKUP($A196,'Data shares'!$C:$FB,66)</f>
        <v>28977000</v>
      </c>
      <c r="J196" s="49">
        <f>VLOOKUP($A196,'Data shares'!$C:$FB,67)</f>
        <v>40500200</v>
      </c>
      <c r="K196" s="50">
        <f t="shared" si="17"/>
        <v>-39.766711529834012</v>
      </c>
      <c r="L196" s="50">
        <f>VLOOKUP($A196,'Data shares'!$C:$FB,118)</f>
        <v>0.41</v>
      </c>
      <c r="M196" s="50">
        <f>VLOOKUP($A196,'Data shares'!$C:$FB,119)</f>
        <v>0.37</v>
      </c>
      <c r="N196" s="50">
        <f>VLOOKUP($A196,'Data shares'!$C:$FB,121)*100</f>
        <v>10.81</v>
      </c>
      <c r="O196" s="50">
        <f>VLOOKUP($A196,'Data shares'!$C:$FB,124)</f>
        <v>0.4</v>
      </c>
      <c r="P196" s="50">
        <f>VLOOKUP($A196,'Data shares'!$C:$FB,125)</f>
        <v>0.42</v>
      </c>
      <c r="Q196" s="50">
        <f>VLOOKUP($A196,'Data shares'!$C:$FB,127)*100</f>
        <v>-4.7600000000000007</v>
      </c>
    </row>
    <row r="197" spans="1:17" x14ac:dyDescent="0.25">
      <c r="A197" s="97" t="str">
        <f>'Data Vlaue (Cr)'!C192</f>
        <v>TATACONSUM</v>
      </c>
      <c r="B197" s="140">
        <f>VLOOKUP($A197,'Data shares'!$C:$FB,7)</f>
        <v>1187.5999999999999</v>
      </c>
      <c r="C197" s="140">
        <f>VLOOKUP($A197,'Data shares'!$C:$FB,3)</f>
        <v>1197.7</v>
      </c>
      <c r="D197" s="140">
        <f>VLOOKUP($A197,'Data shares'!$C:$FB,4)</f>
        <v>1197.5</v>
      </c>
      <c r="E197" s="50">
        <f t="shared" si="15"/>
        <v>1.6701461377874361E-2</v>
      </c>
      <c r="F197" s="49">
        <f>VLOOKUP($A197,'Data shares'!$C:$FB,98)</f>
        <v>17134700</v>
      </c>
      <c r="G197" s="49">
        <f>VLOOKUP($A197,'Data shares'!$C:$FB,99)</f>
        <v>23318900</v>
      </c>
      <c r="H197" s="50">
        <f t="shared" si="16"/>
        <v>-26.520118873531771</v>
      </c>
      <c r="I197" s="49">
        <f>VLOOKUP($A197,'Data shares'!$C:$FB,66)</f>
        <v>11088000</v>
      </c>
      <c r="J197" s="49">
        <f>VLOOKUP($A197,'Data shares'!$C:$FB,67)</f>
        <v>13196700</v>
      </c>
      <c r="K197" s="50">
        <f t="shared" si="17"/>
        <v>-19.017857142857142</v>
      </c>
      <c r="L197" s="50">
        <f>VLOOKUP($A197,'Data shares'!$C:$FB,118)</f>
        <v>0.79</v>
      </c>
      <c r="M197" s="50">
        <f>VLOOKUP($A197,'Data shares'!$C:$FB,119)</f>
        <v>0.67</v>
      </c>
      <c r="N197" s="50">
        <f>VLOOKUP($A197,'Data shares'!$C:$FB,121)*100</f>
        <v>17.91</v>
      </c>
      <c r="O197" s="50">
        <f>VLOOKUP($A197,'Data shares'!$C:$FB,124)</f>
        <v>0.45</v>
      </c>
      <c r="P197" s="50">
        <f>VLOOKUP($A197,'Data shares'!$C:$FB,125)</f>
        <v>0.43</v>
      </c>
      <c r="Q197" s="50">
        <f>VLOOKUP($A197,'Data shares'!$C:$FB,127)*100</f>
        <v>4.6500000000000004</v>
      </c>
    </row>
    <row r="198" spans="1:17" x14ac:dyDescent="0.25">
      <c r="A198" s="97" t="str">
        <f>'Data Vlaue (Cr)'!C193</f>
        <v>TATAELXSI</v>
      </c>
      <c r="B198" s="140">
        <f>VLOOKUP($A198,'Data shares'!$C:$FB,7)</f>
        <v>4335.6000000000004</v>
      </c>
      <c r="C198" s="140">
        <f>VLOOKUP($A198,'Data shares'!$C:$FB,3)</f>
        <v>4247.2</v>
      </c>
      <c r="D198" s="140">
        <f>VLOOKUP($A198,'Data shares'!$C:$FB,4)</f>
        <v>4217.8</v>
      </c>
      <c r="E198" s="50">
        <f t="shared" si="15"/>
        <v>0.69704585328843549</v>
      </c>
      <c r="F198" s="49">
        <f>VLOOKUP($A198,'Data shares'!$C:$FB,98)</f>
        <v>2428825</v>
      </c>
      <c r="G198" s="49">
        <f>VLOOKUP($A198,'Data shares'!$C:$FB,99)</f>
        <v>3801150</v>
      </c>
      <c r="H198" s="50">
        <f t="shared" si="16"/>
        <v>-36.102889914894178</v>
      </c>
      <c r="I198" s="49">
        <f>VLOOKUP($A198,'Data shares'!$C:$FB,66)</f>
        <v>1812700</v>
      </c>
      <c r="J198" s="49">
        <f>VLOOKUP($A198,'Data shares'!$C:$FB,67)</f>
        <v>4629400</v>
      </c>
      <c r="K198" s="50">
        <f t="shared" si="17"/>
        <v>-155.38699178021736</v>
      </c>
      <c r="L198" s="50">
        <f>VLOOKUP($A198,'Data shares'!$C:$FB,118)</f>
        <v>0.71</v>
      </c>
      <c r="M198" s="50">
        <f>VLOOKUP($A198,'Data shares'!$C:$FB,119)</f>
        <v>0.51</v>
      </c>
      <c r="N198" s="50">
        <f>VLOOKUP($A198,'Data shares'!$C:$FB,121)*100</f>
        <v>39.22</v>
      </c>
      <c r="O198" s="50">
        <f>VLOOKUP($A198,'Data shares'!$C:$FB,124)</f>
        <v>0.25</v>
      </c>
      <c r="P198" s="50">
        <f>VLOOKUP($A198,'Data shares'!$C:$FB,125)</f>
        <v>0.3</v>
      </c>
      <c r="Q198" s="50">
        <f>VLOOKUP($A198,'Data shares'!$C:$FB,127)*100</f>
        <v>-16.669999999999998</v>
      </c>
    </row>
    <row r="199" spans="1:17" x14ac:dyDescent="0.25">
      <c r="A199" s="97" t="str">
        <f>'Data Vlaue (Cr)'!C194</f>
        <v>TATAPOWER</v>
      </c>
      <c r="B199" s="140">
        <f>VLOOKUP($A199,'Data shares'!$C:$FB,7)</f>
        <v>420.95</v>
      </c>
      <c r="C199" s="140">
        <f>VLOOKUP($A199,'Data shares'!$C:$FB,3)</f>
        <v>421.95</v>
      </c>
      <c r="D199" s="140">
        <f>VLOOKUP($A199,'Data shares'!$C:$FB,4)</f>
        <v>414.3</v>
      </c>
      <c r="E199" s="50">
        <f t="shared" si="15"/>
        <v>1.8464880521361278</v>
      </c>
      <c r="F199" s="49">
        <f>VLOOKUP($A199,'Data shares'!$C:$FB,98)</f>
        <v>90793200</v>
      </c>
      <c r="G199" s="49">
        <f>VLOOKUP($A199,'Data shares'!$C:$FB,99)</f>
        <v>122029100</v>
      </c>
      <c r="H199" s="50">
        <f t="shared" si="16"/>
        <v>-25.597091185627036</v>
      </c>
      <c r="I199" s="49">
        <f>VLOOKUP($A199,'Data shares'!$C:$FB,66)</f>
        <v>134864500</v>
      </c>
      <c r="J199" s="49">
        <f>VLOOKUP($A199,'Data shares'!$C:$FB,67)</f>
        <v>91012150</v>
      </c>
      <c r="K199" s="50">
        <f t="shared" si="17"/>
        <v>32.515858509837656</v>
      </c>
      <c r="L199" s="50">
        <f>VLOOKUP($A199,'Data shares'!$C:$FB,118)</f>
        <v>0.66</v>
      </c>
      <c r="M199" s="50">
        <f>VLOOKUP($A199,'Data shares'!$C:$FB,119)</f>
        <v>0.56999999999999995</v>
      </c>
      <c r="N199" s="50">
        <f>VLOOKUP($A199,'Data shares'!$C:$FB,121)*100</f>
        <v>15.790000000000001</v>
      </c>
      <c r="O199" s="50">
        <f>VLOOKUP($A199,'Data shares'!$C:$FB,124)</f>
        <v>0.3</v>
      </c>
      <c r="P199" s="50">
        <f>VLOOKUP($A199,'Data shares'!$C:$FB,125)</f>
        <v>0.51</v>
      </c>
      <c r="Q199" s="50">
        <f>VLOOKUP($A199,'Data shares'!$C:$FB,127)*100</f>
        <v>-41.18</v>
      </c>
    </row>
    <row r="200" spans="1:17" x14ac:dyDescent="0.25">
      <c r="A200" s="97" t="str">
        <f>'Data Vlaue (Cr)'!C195</f>
        <v>TATASTEEL</v>
      </c>
      <c r="B200" s="140">
        <f>VLOOKUP($A200,'Data shares'!$C:$FB,7)</f>
        <v>210.47</v>
      </c>
      <c r="C200" s="140">
        <f>VLOOKUP($A200,'Data shares'!$C:$FB,3)</f>
        <v>208.1</v>
      </c>
      <c r="D200" s="140">
        <f>VLOOKUP($A200,'Data shares'!$C:$FB,4)</f>
        <v>207.97</v>
      </c>
      <c r="E200" s="50">
        <f t="shared" si="15"/>
        <v>6.2509015723419464E-2</v>
      </c>
      <c r="F200" s="49">
        <f>VLOOKUP($A200,'Data shares'!$C:$FB,98)</f>
        <v>264448250</v>
      </c>
      <c r="G200" s="49">
        <f>VLOOKUP($A200,'Data shares'!$C:$FB,99)</f>
        <v>398689500</v>
      </c>
      <c r="H200" s="50">
        <f t="shared" si="16"/>
        <v>-33.670625888065771</v>
      </c>
      <c r="I200" s="49">
        <f>VLOOKUP($A200,'Data shares'!$C:$FB,66)</f>
        <v>253844250</v>
      </c>
      <c r="J200" s="49">
        <f>VLOOKUP($A200,'Data shares'!$C:$FB,67)</f>
        <v>353685750</v>
      </c>
      <c r="K200" s="50">
        <f t="shared" si="17"/>
        <v>-39.331794988462413</v>
      </c>
      <c r="L200" s="50">
        <f>VLOOKUP($A200,'Data shares'!$C:$FB,118)</f>
        <v>0.6</v>
      </c>
      <c r="M200" s="50">
        <f>VLOOKUP($A200,'Data shares'!$C:$FB,119)</f>
        <v>0.6</v>
      </c>
      <c r="N200" s="50">
        <f>VLOOKUP($A200,'Data shares'!$C:$FB,121)*100</f>
        <v>0</v>
      </c>
      <c r="O200" s="50">
        <f>VLOOKUP($A200,'Data shares'!$C:$FB,124)</f>
        <v>0.68</v>
      </c>
      <c r="P200" s="50">
        <f>VLOOKUP($A200,'Data shares'!$C:$FB,125)</f>
        <v>0.59</v>
      </c>
      <c r="Q200" s="50">
        <f>VLOOKUP($A200,'Data shares'!$C:$FB,127)*100</f>
        <v>15.25</v>
      </c>
    </row>
    <row r="201" spans="1:17" x14ac:dyDescent="0.25">
      <c r="A201" s="97" t="str">
        <f>'Data Vlaue (Cr)'!C196</f>
        <v>TCS</v>
      </c>
      <c r="B201" s="140">
        <f>VLOOKUP($A201,'Data shares'!$C:$FB,7)</f>
        <v>2276.1999999999998</v>
      </c>
      <c r="C201" s="140">
        <f>VLOOKUP($A201,'Data shares'!$C:$FB,3)</f>
        <v>2287.5</v>
      </c>
      <c r="D201" s="140">
        <f>VLOOKUP($A201,'Data shares'!$C:$FB,4)</f>
        <v>2277.6999999999998</v>
      </c>
      <c r="E201" s="50">
        <f t="shared" si="15"/>
        <v>0.43025859419590734</v>
      </c>
      <c r="F201" s="49">
        <f>VLOOKUP($A201,'Data shares'!$C:$FB,98)</f>
        <v>55335850</v>
      </c>
      <c r="G201" s="49">
        <f>VLOOKUP($A201,'Data shares'!$C:$FB,99)</f>
        <v>77126450</v>
      </c>
      <c r="H201" s="50">
        <f t="shared" si="16"/>
        <v>-28.253083086282331</v>
      </c>
      <c r="I201" s="49">
        <f>VLOOKUP($A201,'Data shares'!$C:$FB,66)</f>
        <v>34838300</v>
      </c>
      <c r="J201" s="49">
        <f>VLOOKUP($A201,'Data shares'!$C:$FB,67)</f>
        <v>58803150</v>
      </c>
      <c r="K201" s="50">
        <f t="shared" si="17"/>
        <v>-68.788804275753975</v>
      </c>
      <c r="L201" s="50">
        <f>VLOOKUP($A201,'Data shares'!$C:$FB,118)</f>
        <v>0.95</v>
      </c>
      <c r="M201" s="50">
        <f>VLOOKUP($A201,'Data shares'!$C:$FB,119)</f>
        <v>0.69</v>
      </c>
      <c r="N201" s="50">
        <f>VLOOKUP($A201,'Data shares'!$C:$FB,121)*100</f>
        <v>37.68</v>
      </c>
      <c r="O201" s="50">
        <f>VLOOKUP($A201,'Data shares'!$C:$FB,124)</f>
        <v>0.65</v>
      </c>
      <c r="P201" s="50">
        <f>VLOOKUP($A201,'Data shares'!$C:$FB,125)</f>
        <v>0.54</v>
      </c>
      <c r="Q201" s="50">
        <f>VLOOKUP($A201,'Data shares'!$C:$FB,127)*100</f>
        <v>20.369999999999997</v>
      </c>
    </row>
    <row r="202" spans="1:17" x14ac:dyDescent="0.25">
      <c r="A202" s="97" t="str">
        <f>'Data Vlaue (Cr)'!C197</f>
        <v>TECHM</v>
      </c>
      <c r="B202" s="140">
        <f>VLOOKUP($A202,'Data shares'!$C:$FB,7)</f>
        <v>1458.7</v>
      </c>
      <c r="C202" s="140">
        <f>VLOOKUP($A202,'Data shares'!$C:$FB,3)</f>
        <v>1452.3</v>
      </c>
      <c r="D202" s="140">
        <f>VLOOKUP($A202,'Data shares'!$C:$FB,4)</f>
        <v>1427</v>
      </c>
      <c r="E202" s="50">
        <f t="shared" si="15"/>
        <v>1.7729502452697936</v>
      </c>
      <c r="F202" s="49">
        <f>VLOOKUP($A202,'Data shares'!$C:$FB,98)</f>
        <v>22794600</v>
      </c>
      <c r="G202" s="49">
        <f>VLOOKUP($A202,'Data shares'!$C:$FB,99)</f>
        <v>35277000</v>
      </c>
      <c r="H202" s="50">
        <f t="shared" si="16"/>
        <v>-35.38396122119228</v>
      </c>
      <c r="I202" s="49">
        <f>VLOOKUP($A202,'Data shares'!$C:$FB,66)</f>
        <v>15642600</v>
      </c>
      <c r="J202" s="49">
        <f>VLOOKUP($A202,'Data shares'!$C:$FB,67)</f>
        <v>23791800</v>
      </c>
      <c r="K202" s="50">
        <f t="shared" si="17"/>
        <v>-52.096198841624798</v>
      </c>
      <c r="L202" s="50">
        <f>VLOOKUP($A202,'Data shares'!$C:$FB,118)</f>
        <v>0.8</v>
      </c>
      <c r="M202" s="50">
        <f>VLOOKUP($A202,'Data shares'!$C:$FB,119)</f>
        <v>0.63</v>
      </c>
      <c r="N202" s="50">
        <f>VLOOKUP($A202,'Data shares'!$C:$FB,121)*100</f>
        <v>26.979999999999997</v>
      </c>
      <c r="O202" s="50">
        <f>VLOOKUP($A202,'Data shares'!$C:$FB,124)</f>
        <v>0.44</v>
      </c>
      <c r="P202" s="50">
        <f>VLOOKUP($A202,'Data shares'!$C:$FB,125)</f>
        <v>0.42</v>
      </c>
      <c r="Q202" s="50">
        <f>VLOOKUP($A202,'Data shares'!$C:$FB,127)*100</f>
        <v>4.7600000000000007</v>
      </c>
    </row>
    <row r="203" spans="1:17" x14ac:dyDescent="0.25">
      <c r="A203" s="97" t="str">
        <f>'Data Vlaue (Cr)'!C198</f>
        <v>TIINDIA</v>
      </c>
      <c r="B203" s="140">
        <f>VLOOKUP($A203,'Data shares'!$C:$FB,7)</f>
        <v>3039.1</v>
      </c>
      <c r="C203" s="140">
        <f>VLOOKUP($A203,'Data shares'!$C:$FB,3)</f>
        <v>3053.8</v>
      </c>
      <c r="D203" s="140">
        <f>VLOOKUP($A203,'Data shares'!$C:$FB,4)</f>
        <v>3068.9</v>
      </c>
      <c r="E203" s="50">
        <f t="shared" si="15"/>
        <v>-0.49203297598487761</v>
      </c>
      <c r="F203" s="49">
        <f>VLOOKUP($A203,'Data shares'!$C:$FB,98)</f>
        <v>2470000</v>
      </c>
      <c r="G203" s="49">
        <f>VLOOKUP($A203,'Data shares'!$C:$FB,99)</f>
        <v>3454800</v>
      </c>
      <c r="H203" s="50">
        <f t="shared" si="16"/>
        <v>-28.505268032881787</v>
      </c>
      <c r="I203" s="49">
        <f>VLOOKUP($A203,'Data shares'!$C:$FB,66)</f>
        <v>1577200</v>
      </c>
      <c r="J203" s="49">
        <f>VLOOKUP($A203,'Data shares'!$C:$FB,67)</f>
        <v>4507800</v>
      </c>
      <c r="K203" s="50">
        <f t="shared" si="17"/>
        <v>-185.8102967283794</v>
      </c>
      <c r="L203" s="50">
        <f>VLOOKUP($A203,'Data shares'!$C:$FB,118)</f>
        <v>0.79</v>
      </c>
      <c r="M203" s="50">
        <f>VLOOKUP($A203,'Data shares'!$C:$FB,119)</f>
        <v>0.61</v>
      </c>
      <c r="N203" s="50">
        <f>VLOOKUP($A203,'Data shares'!$C:$FB,121)*100</f>
        <v>29.509999999999998</v>
      </c>
      <c r="O203" s="50">
        <f>VLOOKUP($A203,'Data shares'!$C:$FB,124)</f>
        <v>0.33</v>
      </c>
      <c r="P203" s="50">
        <f>VLOOKUP($A203,'Data shares'!$C:$FB,125)</f>
        <v>0.32</v>
      </c>
      <c r="Q203" s="50">
        <f>VLOOKUP($A203,'Data shares'!$C:$FB,127)*100</f>
        <v>3.1300000000000003</v>
      </c>
    </row>
    <row r="204" spans="1:17" x14ac:dyDescent="0.25">
      <c r="A204" s="97" t="str">
        <f>'Data Vlaue (Cr)'!C199</f>
        <v>TITAN</v>
      </c>
      <c r="B204" s="140">
        <f>VLOOKUP($A204,'Data shares'!$C:$FB,7)</f>
        <v>4105.8999999999996</v>
      </c>
      <c r="C204" s="140">
        <f>VLOOKUP($A204,'Data shares'!$C:$FB,3)</f>
        <v>4133.3999999999996</v>
      </c>
      <c r="D204" s="140">
        <f>VLOOKUP($A204,'Data shares'!$C:$FB,4)</f>
        <v>4176</v>
      </c>
      <c r="E204" s="50">
        <f t="shared" si="15"/>
        <v>-1.0201149425287444</v>
      </c>
      <c r="F204" s="49">
        <f>VLOOKUP($A204,'Data shares'!$C:$FB,98)</f>
        <v>10336025</v>
      </c>
      <c r="G204" s="49">
        <f>VLOOKUP($A204,'Data shares'!$C:$FB,99)</f>
        <v>16890825</v>
      </c>
      <c r="H204" s="50">
        <f t="shared" si="16"/>
        <v>-38.806867041722356</v>
      </c>
      <c r="I204" s="49">
        <f>VLOOKUP($A204,'Data shares'!$C:$FB,66)</f>
        <v>11038650</v>
      </c>
      <c r="J204" s="49">
        <f>VLOOKUP($A204,'Data shares'!$C:$FB,67)</f>
        <v>18243575</v>
      </c>
      <c r="K204" s="50">
        <f t="shared" si="17"/>
        <v>-65.269983195408855</v>
      </c>
      <c r="L204" s="50">
        <f>VLOOKUP($A204,'Data shares'!$C:$FB,118)</f>
        <v>0.76</v>
      </c>
      <c r="M204" s="50">
        <f>VLOOKUP($A204,'Data shares'!$C:$FB,119)</f>
        <v>0.56999999999999995</v>
      </c>
      <c r="N204" s="50">
        <f>VLOOKUP($A204,'Data shares'!$C:$FB,121)*100</f>
        <v>33.33</v>
      </c>
      <c r="O204" s="50">
        <f>VLOOKUP($A204,'Data shares'!$C:$FB,124)</f>
        <v>0.55000000000000004</v>
      </c>
      <c r="P204" s="50">
        <f>VLOOKUP($A204,'Data shares'!$C:$FB,125)</f>
        <v>0.48</v>
      </c>
      <c r="Q204" s="50">
        <f>VLOOKUP($A204,'Data shares'!$C:$FB,127)*100</f>
        <v>14.580000000000002</v>
      </c>
    </row>
    <row r="205" spans="1:17" x14ac:dyDescent="0.25">
      <c r="A205" s="97" t="str">
        <f>'Data Vlaue (Cr)'!C200</f>
        <v>TMPV</v>
      </c>
      <c r="B205" s="140">
        <f>VLOOKUP($A205,'Data shares'!$C:$FB,7)</f>
        <v>385.6</v>
      </c>
      <c r="C205" s="140">
        <f>VLOOKUP($A205,'Data shares'!$C:$FB,3)</f>
        <v>385.35</v>
      </c>
      <c r="D205" s="140">
        <f>VLOOKUP($A205,'Data shares'!$C:$FB,4)</f>
        <v>373.45</v>
      </c>
      <c r="E205" s="50">
        <f t="shared" si="15"/>
        <v>3.1865042174320615</v>
      </c>
      <c r="F205" s="49">
        <f>VLOOKUP($A205,'Data shares'!$C:$FB,98)</f>
        <v>104730400</v>
      </c>
      <c r="G205" s="49">
        <f>VLOOKUP($A205,'Data shares'!$C:$FB,99)</f>
        <v>167809600</v>
      </c>
      <c r="H205" s="50">
        <f t="shared" si="16"/>
        <v>-37.589744567652865</v>
      </c>
      <c r="I205" s="49">
        <f>VLOOKUP($A205,'Data shares'!$C:$FB,66)</f>
        <v>159017600</v>
      </c>
      <c r="J205" s="49">
        <f>VLOOKUP($A205,'Data shares'!$C:$FB,67)</f>
        <v>198757600</v>
      </c>
      <c r="K205" s="50">
        <f t="shared" si="17"/>
        <v>-24.99094439860745</v>
      </c>
      <c r="L205" s="50">
        <f>VLOOKUP($A205,'Data shares'!$C:$FB,118)</f>
        <v>0.78</v>
      </c>
      <c r="M205" s="50">
        <f>VLOOKUP($A205,'Data shares'!$C:$FB,119)</f>
        <v>0.65</v>
      </c>
      <c r="N205" s="50">
        <f>VLOOKUP($A205,'Data shares'!$C:$FB,121)*100</f>
        <v>20</v>
      </c>
      <c r="O205" s="50">
        <f>VLOOKUP($A205,'Data shares'!$C:$FB,124)</f>
        <v>0.32</v>
      </c>
      <c r="P205" s="50">
        <f>VLOOKUP($A205,'Data shares'!$C:$FB,125)</f>
        <v>0.41</v>
      </c>
      <c r="Q205" s="50">
        <f>VLOOKUP($A205,'Data shares'!$C:$FB,127)*100</f>
        <v>-21.95</v>
      </c>
    </row>
    <row r="206" spans="1:17" x14ac:dyDescent="0.25">
      <c r="A206" s="97" t="str">
        <f>'Data Vlaue (Cr)'!C201</f>
        <v>TORNTPHARM</v>
      </c>
      <c r="B206" s="140">
        <f>VLOOKUP($A206,'Data shares'!$C:$FB,7)</f>
        <v>4452.1000000000004</v>
      </c>
      <c r="C206" s="140">
        <f>VLOOKUP($A206,'Data shares'!$C:$FB,3)</f>
        <v>4459.7</v>
      </c>
      <c r="D206" s="140">
        <f>VLOOKUP($A206,'Data shares'!$C:$FB,4)</f>
        <v>4548.3999999999996</v>
      </c>
      <c r="E206" s="50">
        <f t="shared" si="15"/>
        <v>-1.9501363116700341</v>
      </c>
      <c r="F206" s="49">
        <f>VLOOKUP($A206,'Data shares'!$C:$FB,98)</f>
        <v>4029250</v>
      </c>
      <c r="G206" s="49">
        <f>VLOOKUP($A206,'Data shares'!$C:$FB,99)</f>
        <v>4941750</v>
      </c>
      <c r="H206" s="50">
        <f t="shared" si="16"/>
        <v>-18.46511863206354</v>
      </c>
      <c r="I206" s="49">
        <f>VLOOKUP($A206,'Data shares'!$C:$FB,66)</f>
        <v>4869375</v>
      </c>
      <c r="J206" s="49">
        <f>VLOOKUP($A206,'Data shares'!$C:$FB,67)</f>
        <v>26213125</v>
      </c>
      <c r="K206" s="50">
        <f t="shared" si="17"/>
        <v>-438.3262739057887</v>
      </c>
      <c r="L206" s="50">
        <f>VLOOKUP($A206,'Data shares'!$C:$FB,118)</f>
        <v>0.53</v>
      </c>
      <c r="M206" s="50">
        <f>VLOOKUP($A206,'Data shares'!$C:$FB,119)</f>
        <v>0.76</v>
      </c>
      <c r="N206" s="50">
        <f>VLOOKUP($A206,'Data shares'!$C:$FB,121)*100</f>
        <v>-30.259999999999998</v>
      </c>
      <c r="O206" s="50">
        <f>VLOOKUP($A206,'Data shares'!$C:$FB,124)</f>
        <v>0.88</v>
      </c>
      <c r="P206" s="50">
        <f>VLOOKUP($A206,'Data shares'!$C:$FB,125)</f>
        <v>0.42</v>
      </c>
      <c r="Q206" s="50">
        <f>VLOOKUP($A206,'Data shares'!$C:$FB,127)*100</f>
        <v>109.52</v>
      </c>
    </row>
    <row r="207" spans="1:17" x14ac:dyDescent="0.25">
      <c r="A207" s="97" t="str">
        <f>'Data Vlaue (Cr)'!C202</f>
        <v>TRENT</v>
      </c>
      <c r="B207" s="140">
        <f>VLOOKUP($A207,'Data shares'!$C:$FB,7)</f>
        <v>4239.6000000000004</v>
      </c>
      <c r="C207" s="140">
        <f>VLOOKUP($A207,'Data shares'!$C:$FB,3)</f>
        <v>4228.3999999999996</v>
      </c>
      <c r="D207" s="140">
        <f>VLOOKUP($A207,'Data shares'!$C:$FB,4)</f>
        <v>4266.5</v>
      </c>
      <c r="E207" s="50">
        <f t="shared" si="15"/>
        <v>-0.89300363295442087</v>
      </c>
      <c r="F207" s="49">
        <f>VLOOKUP($A207,'Data shares'!$C:$FB,98)</f>
        <v>7873300</v>
      </c>
      <c r="G207" s="49">
        <f>VLOOKUP($A207,'Data shares'!$C:$FB,99)</f>
        <v>11548900</v>
      </c>
      <c r="H207" s="50">
        <f t="shared" si="16"/>
        <v>-31.826407709825176</v>
      </c>
      <c r="I207" s="49">
        <f>VLOOKUP($A207,'Data shares'!$C:$FB,66)</f>
        <v>6982700</v>
      </c>
      <c r="J207" s="49">
        <f>VLOOKUP($A207,'Data shares'!$C:$FB,67)</f>
        <v>12682000</v>
      </c>
      <c r="K207" s="50">
        <f t="shared" si="17"/>
        <v>-81.620290145645669</v>
      </c>
      <c r="L207" s="50">
        <f>VLOOKUP($A207,'Data shares'!$C:$FB,118)</f>
        <v>0.63</v>
      </c>
      <c r="M207" s="50">
        <f>VLOOKUP($A207,'Data shares'!$C:$FB,119)</f>
        <v>0.52</v>
      </c>
      <c r="N207" s="50">
        <f>VLOOKUP($A207,'Data shares'!$C:$FB,121)*100</f>
        <v>21.15</v>
      </c>
      <c r="O207" s="50">
        <f>VLOOKUP($A207,'Data shares'!$C:$FB,124)</f>
        <v>0.52</v>
      </c>
      <c r="P207" s="50">
        <f>VLOOKUP($A207,'Data shares'!$C:$FB,125)</f>
        <v>0.4</v>
      </c>
      <c r="Q207" s="50">
        <f>VLOOKUP($A207,'Data shares'!$C:$FB,127)*100</f>
        <v>30</v>
      </c>
    </row>
    <row r="208" spans="1:17" x14ac:dyDescent="0.25">
      <c r="A208" s="97" t="str">
        <f>'Data Vlaue (Cr)'!C203</f>
        <v>TVSMOTOR</v>
      </c>
      <c r="B208" s="140">
        <f>VLOOKUP($A208,'Data shares'!$C:$FB,7)</f>
        <v>3454.9</v>
      </c>
      <c r="C208" s="140">
        <f>VLOOKUP($A208,'Data shares'!$C:$FB,3)</f>
        <v>3470.1</v>
      </c>
      <c r="D208" s="140">
        <f>VLOOKUP($A208,'Data shares'!$C:$FB,4)</f>
        <v>3498</v>
      </c>
      <c r="E208" s="50">
        <f t="shared" si="15"/>
        <v>-0.79759862778730972</v>
      </c>
      <c r="F208" s="49">
        <f>VLOOKUP($A208,'Data shares'!$C:$FB,98)</f>
        <v>10791025</v>
      </c>
      <c r="G208" s="49">
        <f>VLOOKUP($A208,'Data shares'!$C:$FB,99)</f>
        <v>14224350</v>
      </c>
      <c r="H208" s="50">
        <f t="shared" si="16"/>
        <v>-24.136955291454441</v>
      </c>
      <c r="I208" s="49">
        <f>VLOOKUP($A208,'Data shares'!$C:$FB,66)</f>
        <v>6498275</v>
      </c>
      <c r="J208" s="49">
        <f>VLOOKUP($A208,'Data shares'!$C:$FB,67)</f>
        <v>15109325</v>
      </c>
      <c r="K208" s="50">
        <f t="shared" si="17"/>
        <v>-132.5128591818598</v>
      </c>
      <c r="L208" s="50">
        <f>VLOOKUP($A208,'Data shares'!$C:$FB,118)</f>
        <v>1.04</v>
      </c>
      <c r="M208" s="50">
        <f>VLOOKUP($A208,'Data shares'!$C:$FB,119)</f>
        <v>0.72</v>
      </c>
      <c r="N208" s="50">
        <f>VLOOKUP($A208,'Data shares'!$C:$FB,121)*100</f>
        <v>44.440000000000005</v>
      </c>
      <c r="O208" s="50">
        <f>VLOOKUP($A208,'Data shares'!$C:$FB,124)</f>
        <v>0.98</v>
      </c>
      <c r="P208" s="50">
        <f>VLOOKUP($A208,'Data shares'!$C:$FB,125)</f>
        <v>0.43</v>
      </c>
      <c r="Q208" s="50">
        <f>VLOOKUP($A208,'Data shares'!$C:$FB,127)*100</f>
        <v>127.91</v>
      </c>
    </row>
    <row r="209" spans="1:17" x14ac:dyDescent="0.25">
      <c r="A209" s="97" t="str">
        <f>'Data Vlaue (Cr)'!C204</f>
        <v>ULTRACEMCO</v>
      </c>
      <c r="B209" s="140">
        <f>VLOOKUP($A209,'Data shares'!$C:$FB,7)</f>
        <v>11623</v>
      </c>
      <c r="C209" s="140">
        <f>VLOOKUP($A209,'Data shares'!$C:$FB,3)</f>
        <v>11700</v>
      </c>
      <c r="D209" s="140">
        <f>VLOOKUP($A209,'Data shares'!$C:$FB,4)</f>
        <v>11815</v>
      </c>
      <c r="E209" s="50">
        <f t="shared" si="15"/>
        <v>-0.97333897587812102</v>
      </c>
      <c r="F209" s="49">
        <f>VLOOKUP($A209,'Data shares'!$C:$FB,98)</f>
        <v>2763400</v>
      </c>
      <c r="G209" s="49">
        <f>VLOOKUP($A209,'Data shares'!$C:$FB,99)</f>
        <v>4322050</v>
      </c>
      <c r="H209" s="50">
        <f t="shared" si="16"/>
        <v>-36.062748001527048</v>
      </c>
      <c r="I209" s="49">
        <f>VLOOKUP($A209,'Data shares'!$C:$FB,66)</f>
        <v>1571850</v>
      </c>
      <c r="J209" s="49">
        <f>VLOOKUP($A209,'Data shares'!$C:$FB,67)</f>
        <v>2867350</v>
      </c>
      <c r="K209" s="50">
        <f t="shared" si="17"/>
        <v>-82.418805865699653</v>
      </c>
      <c r="L209" s="50">
        <f>VLOOKUP($A209,'Data shares'!$C:$FB,118)</f>
        <v>0.76</v>
      </c>
      <c r="M209" s="50">
        <f>VLOOKUP($A209,'Data shares'!$C:$FB,119)</f>
        <v>0.48</v>
      </c>
      <c r="N209" s="50">
        <f>VLOOKUP($A209,'Data shares'!$C:$FB,121)*100</f>
        <v>58.330000000000005</v>
      </c>
      <c r="O209" s="50">
        <f>VLOOKUP($A209,'Data shares'!$C:$FB,124)</f>
        <v>0.44</v>
      </c>
      <c r="P209" s="50">
        <f>VLOOKUP($A209,'Data shares'!$C:$FB,125)</f>
        <v>0.4</v>
      </c>
      <c r="Q209" s="50">
        <f>VLOOKUP($A209,'Data shares'!$C:$FB,127)*100</f>
        <v>10</v>
      </c>
    </row>
    <row r="210" spans="1:17" x14ac:dyDescent="0.25">
      <c r="A210" s="97" t="str">
        <f>'Data Vlaue (Cr)'!C205</f>
        <v>UNIONBANK</v>
      </c>
      <c r="B210" s="140">
        <f>VLOOKUP($A210,'Data shares'!$C:$FB,7)</f>
        <v>167.56</v>
      </c>
      <c r="C210" s="140">
        <f>VLOOKUP($A210,'Data shares'!$C:$FB,3)</f>
        <v>168.99</v>
      </c>
      <c r="D210" s="140">
        <f>VLOOKUP($A210,'Data shares'!$C:$FB,4)</f>
        <v>169.14</v>
      </c>
      <c r="E210" s="50">
        <f t="shared" ref="E210:E217" si="18">(C210-D210)/D210*100</f>
        <v>-8.8683930471785077E-2</v>
      </c>
      <c r="F210" s="49">
        <f>VLOOKUP($A210,'Data shares'!$C:$FB,98)</f>
        <v>156406050</v>
      </c>
      <c r="G210" s="49">
        <f>VLOOKUP($A210,'Data shares'!$C:$FB,99)</f>
        <v>209904300</v>
      </c>
      <c r="H210" s="50">
        <f t="shared" ref="H210:H217" si="19">(F210-G210)/G210*100</f>
        <v>-25.486971920060714</v>
      </c>
      <c r="I210" s="49">
        <f>VLOOKUP($A210,'Data shares'!$C:$FB,66)</f>
        <v>123975225</v>
      </c>
      <c r="J210" s="49">
        <f>VLOOKUP($A210,'Data shares'!$C:$FB,67)</f>
        <v>221750025</v>
      </c>
      <c r="K210" s="50">
        <f t="shared" ref="K210:K217" si="20">(I210-J210)/I210*100</f>
        <v>-78.866402541314201</v>
      </c>
      <c r="L210" s="50">
        <f>VLOOKUP($A210,'Data shares'!$C:$FB,118)</f>
        <v>0.79</v>
      </c>
      <c r="M210" s="50">
        <f>VLOOKUP($A210,'Data shares'!$C:$FB,119)</f>
        <v>0.59</v>
      </c>
      <c r="N210" s="50">
        <f>VLOOKUP($A210,'Data shares'!$C:$FB,121)*100</f>
        <v>33.900000000000006</v>
      </c>
      <c r="O210" s="50">
        <f>VLOOKUP($A210,'Data shares'!$C:$FB,124)</f>
        <v>0.35</v>
      </c>
      <c r="P210" s="50">
        <f>VLOOKUP($A210,'Data shares'!$C:$FB,125)</f>
        <v>0.34</v>
      </c>
      <c r="Q210" s="50">
        <f>VLOOKUP($A210,'Data shares'!$C:$FB,127)*100</f>
        <v>2.94</v>
      </c>
    </row>
    <row r="211" spans="1:17" x14ac:dyDescent="0.25">
      <c r="A211" s="97" t="str">
        <f>'Data Vlaue (Cr)'!C206</f>
        <v>UNITDSPR</v>
      </c>
      <c r="B211" s="140">
        <f>VLOOKUP($A211,'Data shares'!$C:$FB,7)</f>
        <v>1293.4000000000001</v>
      </c>
      <c r="C211" s="140">
        <f>VLOOKUP($A211,'Data shares'!$C:$FB,3)</f>
        <v>1301.5</v>
      </c>
      <c r="D211" s="140">
        <f>VLOOKUP($A211,'Data shares'!$C:$FB,4)</f>
        <v>1295.0999999999999</v>
      </c>
      <c r="E211" s="50">
        <f t="shared" si="18"/>
        <v>0.49417033433712387</v>
      </c>
      <c r="F211" s="49">
        <f>VLOOKUP($A211,'Data shares'!$C:$FB,98)</f>
        <v>13460000</v>
      </c>
      <c r="G211" s="49">
        <f>VLOOKUP($A211,'Data shares'!$C:$FB,99)</f>
        <v>20234000</v>
      </c>
      <c r="H211" s="50">
        <f t="shared" si="19"/>
        <v>-33.478303845013343</v>
      </c>
      <c r="I211" s="49">
        <f>VLOOKUP($A211,'Data shares'!$C:$FB,66)</f>
        <v>8592800</v>
      </c>
      <c r="J211" s="49">
        <f>VLOOKUP($A211,'Data shares'!$C:$FB,67)</f>
        <v>11309600</v>
      </c>
      <c r="K211" s="50">
        <f t="shared" si="20"/>
        <v>-31.617167861465411</v>
      </c>
      <c r="L211" s="50">
        <f>VLOOKUP($A211,'Data shares'!$C:$FB,118)</f>
        <v>0.89</v>
      </c>
      <c r="M211" s="50">
        <f>VLOOKUP($A211,'Data shares'!$C:$FB,119)</f>
        <v>0.81</v>
      </c>
      <c r="N211" s="50">
        <f>VLOOKUP($A211,'Data shares'!$C:$FB,121)*100</f>
        <v>9.879999999999999</v>
      </c>
      <c r="O211" s="50">
        <f>VLOOKUP($A211,'Data shares'!$C:$FB,124)</f>
        <v>0.85</v>
      </c>
      <c r="P211" s="50">
        <f>VLOOKUP($A211,'Data shares'!$C:$FB,125)</f>
        <v>0.76</v>
      </c>
      <c r="Q211" s="50">
        <f>VLOOKUP($A211,'Data shares'!$C:$FB,127)*100</f>
        <v>11.84</v>
      </c>
    </row>
    <row r="212" spans="1:17" x14ac:dyDescent="0.25">
      <c r="A212" s="97" t="str">
        <f>'Data Vlaue (Cr)'!C207</f>
        <v>UNOMINDA</v>
      </c>
      <c r="B212" s="140">
        <f>VLOOKUP($A212,'Data shares'!$C:$FB,7)</f>
        <v>1114.9000000000001</v>
      </c>
      <c r="C212" s="140">
        <f>VLOOKUP($A212,'Data shares'!$C:$FB,3)</f>
        <v>1121</v>
      </c>
      <c r="D212" s="140">
        <f>VLOOKUP($A212,'Data shares'!$C:$FB,4)</f>
        <v>1122</v>
      </c>
      <c r="E212" s="50">
        <f t="shared" si="18"/>
        <v>-8.9126559714795009E-2</v>
      </c>
      <c r="F212" s="49">
        <f>VLOOKUP($A212,'Data shares'!$C:$FB,98)</f>
        <v>4903250</v>
      </c>
      <c r="G212" s="49">
        <f>VLOOKUP($A212,'Data shares'!$C:$FB,99)</f>
        <v>8401250</v>
      </c>
      <c r="H212" s="50">
        <f t="shared" si="19"/>
        <v>-41.636661211129294</v>
      </c>
      <c r="I212" s="49">
        <f>VLOOKUP($A212,'Data shares'!$C:$FB,66)</f>
        <v>4269650</v>
      </c>
      <c r="J212" s="49">
        <f>VLOOKUP($A212,'Data shares'!$C:$FB,67)</f>
        <v>7541050</v>
      </c>
      <c r="K212" s="50">
        <f t="shared" si="20"/>
        <v>-76.619863454849934</v>
      </c>
      <c r="L212" s="50">
        <f>VLOOKUP($A212,'Data shares'!$C:$FB,118)</f>
        <v>0.85</v>
      </c>
      <c r="M212" s="50">
        <f>VLOOKUP($A212,'Data shares'!$C:$FB,119)</f>
        <v>0.66</v>
      </c>
      <c r="N212" s="50">
        <f>VLOOKUP($A212,'Data shares'!$C:$FB,121)*100</f>
        <v>28.79</v>
      </c>
      <c r="O212" s="50">
        <f>VLOOKUP($A212,'Data shares'!$C:$FB,124)</f>
        <v>0.23</v>
      </c>
      <c r="P212" s="50">
        <f>VLOOKUP($A212,'Data shares'!$C:$FB,125)</f>
        <v>0.32</v>
      </c>
      <c r="Q212" s="50">
        <f>VLOOKUP($A212,'Data shares'!$C:$FB,127)*100</f>
        <v>-28.13</v>
      </c>
    </row>
    <row r="213" spans="1:17" x14ac:dyDescent="0.25">
      <c r="A213" s="97" t="str">
        <f>'Data Vlaue (Cr)'!C208</f>
        <v>UPL</v>
      </c>
      <c r="B213" s="140">
        <f>VLOOKUP($A213,'Data shares'!$C:$FB,7)</f>
        <v>655</v>
      </c>
      <c r="C213" s="140">
        <f>VLOOKUP($A213,'Data shares'!$C:$FB,3)</f>
        <v>659.45</v>
      </c>
      <c r="D213" s="140">
        <f>VLOOKUP($A213,'Data shares'!$C:$FB,4)</f>
        <v>655.25</v>
      </c>
      <c r="E213" s="50">
        <f t="shared" si="18"/>
        <v>0.64097672644029691</v>
      </c>
      <c r="F213" s="49">
        <f>VLOOKUP($A213,'Data shares'!$C:$FB,98)</f>
        <v>32022715</v>
      </c>
      <c r="G213" s="49">
        <f>VLOOKUP($A213,'Data shares'!$C:$FB,99)</f>
        <v>46175690</v>
      </c>
      <c r="H213" s="50">
        <f t="shared" si="19"/>
        <v>-30.650272903339399</v>
      </c>
      <c r="I213" s="49">
        <f>VLOOKUP($A213,'Data shares'!$C:$FB,66)</f>
        <v>30093195</v>
      </c>
      <c r="J213" s="49">
        <f>VLOOKUP($A213,'Data shares'!$C:$FB,67)</f>
        <v>34536240</v>
      </c>
      <c r="K213" s="50">
        <f t="shared" si="20"/>
        <v>-14.764284749425908</v>
      </c>
      <c r="L213" s="50">
        <f>VLOOKUP($A213,'Data shares'!$C:$FB,118)</f>
        <v>0.88</v>
      </c>
      <c r="M213" s="50">
        <f>VLOOKUP($A213,'Data shares'!$C:$FB,119)</f>
        <v>0.68</v>
      </c>
      <c r="N213" s="50">
        <f>VLOOKUP($A213,'Data shares'!$C:$FB,121)*100</f>
        <v>29.409999999999997</v>
      </c>
      <c r="O213" s="50">
        <f>VLOOKUP($A213,'Data shares'!$C:$FB,124)</f>
        <v>0.5</v>
      </c>
      <c r="P213" s="50">
        <f>VLOOKUP($A213,'Data shares'!$C:$FB,125)</f>
        <v>0.46</v>
      </c>
      <c r="Q213" s="50">
        <f>VLOOKUP($A213,'Data shares'!$C:$FB,127)*100</f>
        <v>8.6999999999999993</v>
      </c>
    </row>
    <row r="214" spans="1:17" x14ac:dyDescent="0.25">
      <c r="A214" s="97" t="str">
        <f>'Data Vlaue (Cr)'!C209</f>
        <v>VBL</v>
      </c>
      <c r="B214" s="140">
        <f>VLOOKUP($A214,'Data shares'!$C:$FB,7)</f>
        <v>531.29999999999995</v>
      </c>
      <c r="C214" s="140">
        <f>VLOOKUP($A214,'Data shares'!$C:$FB,3)</f>
        <v>535.35</v>
      </c>
      <c r="D214" s="140">
        <f>VLOOKUP($A214,'Data shares'!$C:$FB,4)</f>
        <v>533.65</v>
      </c>
      <c r="E214" s="50">
        <f t="shared" si="18"/>
        <v>0.31856085449265353</v>
      </c>
      <c r="F214" s="49">
        <f>VLOOKUP($A214,'Data shares'!$C:$FB,98)</f>
        <v>57585975</v>
      </c>
      <c r="G214" s="49">
        <f>VLOOKUP($A214,'Data shares'!$C:$FB,99)</f>
        <v>74914950</v>
      </c>
      <c r="H214" s="50">
        <f t="shared" si="19"/>
        <v>-23.131531156331281</v>
      </c>
      <c r="I214" s="49">
        <f>VLOOKUP($A214,'Data shares'!$C:$FB,66)</f>
        <v>31980375</v>
      </c>
      <c r="J214" s="49">
        <f>VLOOKUP($A214,'Data shares'!$C:$FB,67)</f>
        <v>69936750</v>
      </c>
      <c r="K214" s="50">
        <f t="shared" si="20"/>
        <v>-118.68646005558097</v>
      </c>
      <c r="L214" s="50">
        <f>VLOOKUP($A214,'Data shares'!$C:$FB,118)</f>
        <v>0.49</v>
      </c>
      <c r="M214" s="50">
        <f>VLOOKUP($A214,'Data shares'!$C:$FB,119)</f>
        <v>0.59</v>
      </c>
      <c r="N214" s="50">
        <f>VLOOKUP($A214,'Data shares'!$C:$FB,121)*100</f>
        <v>-16.950000000000003</v>
      </c>
      <c r="O214" s="50">
        <f>VLOOKUP($A214,'Data shares'!$C:$FB,124)</f>
        <v>0.61</v>
      </c>
      <c r="P214" s="50">
        <f>VLOOKUP($A214,'Data shares'!$C:$FB,125)</f>
        <v>0.62</v>
      </c>
      <c r="Q214" s="50">
        <f>VLOOKUP($A214,'Data shares'!$C:$FB,127)*100</f>
        <v>-1.6099999999999999</v>
      </c>
    </row>
    <row r="215" spans="1:17" x14ac:dyDescent="0.25">
      <c r="A215" s="97" t="str">
        <f>'Data Vlaue (Cr)'!C210</f>
        <v>VEDL</v>
      </c>
      <c r="B215" s="140">
        <f>VLOOKUP($A215,'Data shares'!$C:$FB,7)</f>
        <v>344.9</v>
      </c>
      <c r="C215" s="140">
        <f>VLOOKUP($A215,'Data shares'!$C:$FB,3)</f>
        <v>347.1</v>
      </c>
      <c r="D215" s="140">
        <f>VLOOKUP($A215,'Data shares'!$C:$FB,4)</f>
        <v>332.55</v>
      </c>
      <c r="E215" s="50">
        <f t="shared" si="18"/>
        <v>4.3752819124943647</v>
      </c>
      <c r="F215" s="49">
        <f>VLOOKUP($A215,'Data shares'!$C:$FB,98)</f>
        <v>67396900</v>
      </c>
      <c r="G215" s="49">
        <f>VLOOKUP($A215,'Data shares'!$C:$FB,99)</f>
        <v>108418550</v>
      </c>
      <c r="H215" s="50">
        <f t="shared" si="19"/>
        <v>-37.836375786246911</v>
      </c>
      <c r="I215" s="49">
        <f>VLOOKUP($A215,'Data shares'!$C:$FB,66)</f>
        <v>192989550</v>
      </c>
      <c r="J215" s="49">
        <f>VLOOKUP($A215,'Data shares'!$C:$FB,67)</f>
        <v>108581850</v>
      </c>
      <c r="K215" s="50">
        <f t="shared" si="20"/>
        <v>43.736927724843135</v>
      </c>
      <c r="L215" s="50">
        <f>VLOOKUP($A215,'Data shares'!$C:$FB,118)</f>
        <v>0.64</v>
      </c>
      <c r="M215" s="50">
        <f>VLOOKUP($A215,'Data shares'!$C:$FB,119)</f>
        <v>0.77</v>
      </c>
      <c r="N215" s="50">
        <f>VLOOKUP($A215,'Data shares'!$C:$FB,121)*100</f>
        <v>-16.88</v>
      </c>
      <c r="O215" s="50">
        <f>VLOOKUP($A215,'Data shares'!$C:$FB,124)</f>
        <v>0.39</v>
      </c>
      <c r="P215" s="50">
        <f>VLOOKUP($A215,'Data shares'!$C:$FB,125)</f>
        <v>0.56000000000000005</v>
      </c>
      <c r="Q215" s="50">
        <f>VLOOKUP($A215,'Data shares'!$C:$FB,127)*100</f>
        <v>-30.36</v>
      </c>
    </row>
    <row r="216" spans="1:17" x14ac:dyDescent="0.25">
      <c r="A216" s="97" t="str">
        <f>'Data Vlaue (Cr)'!C211</f>
        <v>VMM</v>
      </c>
      <c r="B216" s="140">
        <f>VLOOKUP($A216,'Data shares'!$C:$FB,7)</f>
        <v>121.08</v>
      </c>
      <c r="C216" s="140">
        <f>VLOOKUP($A216,'Data shares'!$C:$FB,3)</f>
        <v>121.82</v>
      </c>
      <c r="D216" s="140">
        <f>VLOOKUP($A216,'Data shares'!$C:$FB,4)</f>
        <v>122.07</v>
      </c>
      <c r="E216" s="50">
        <f t="shared" si="18"/>
        <v>-0.20480052428934217</v>
      </c>
      <c r="F216" s="49">
        <f>VLOOKUP($A216,'Data shares'!$C:$FB,98)</f>
        <v>34250700</v>
      </c>
      <c r="G216" s="49">
        <f>VLOOKUP($A216,'Data shares'!$C:$FB,99)</f>
        <v>45677300</v>
      </c>
      <c r="H216" s="50">
        <f t="shared" si="19"/>
        <v>-25.01592694839669</v>
      </c>
      <c r="I216" s="49">
        <f>VLOOKUP($A216,'Data shares'!$C:$FB,66)</f>
        <v>20690100</v>
      </c>
      <c r="J216" s="49">
        <f>VLOOKUP($A216,'Data shares'!$C:$FB,67)</f>
        <v>30288250</v>
      </c>
      <c r="K216" s="50">
        <f t="shared" si="20"/>
        <v>-46.390060947022974</v>
      </c>
      <c r="L216" s="50">
        <f>VLOOKUP($A216,'Data shares'!$C:$FB,118)</f>
        <v>1.71</v>
      </c>
      <c r="M216" s="50">
        <f>VLOOKUP($A216,'Data shares'!$C:$FB,119)</f>
        <v>0.69</v>
      </c>
      <c r="N216" s="50">
        <f>VLOOKUP($A216,'Data shares'!$C:$FB,121)*100</f>
        <v>147.82999999999998</v>
      </c>
      <c r="O216" s="50">
        <f>VLOOKUP($A216,'Data shares'!$C:$FB,124)</f>
        <v>0.37</v>
      </c>
      <c r="P216" s="50">
        <f>VLOOKUP($A216,'Data shares'!$C:$FB,125)</f>
        <v>0.28999999999999998</v>
      </c>
      <c r="Q216" s="50">
        <f>VLOOKUP($A216,'Data shares'!$C:$FB,127)*100</f>
        <v>27.589999999999996</v>
      </c>
    </row>
    <row r="217" spans="1:17" x14ac:dyDescent="0.25">
      <c r="A217" s="97" t="str">
        <f>'Data Vlaue (Cr)'!C212</f>
        <v>VOLTAS</v>
      </c>
      <c r="B217" s="140">
        <f>VLOOKUP($A217,'Data shares'!$C:$FB,7)</f>
        <v>1271.4000000000001</v>
      </c>
      <c r="C217" s="140">
        <f>VLOOKUP($A217,'Data shares'!$C:$FB,3)</f>
        <v>1261.8</v>
      </c>
      <c r="D217" s="140">
        <f>VLOOKUP($A217,'Data shares'!$C:$FB,4)</f>
        <v>1267.4000000000001</v>
      </c>
      <c r="E217" s="50">
        <f t="shared" si="18"/>
        <v>-0.44184945557836008</v>
      </c>
      <c r="F217" s="49">
        <f>VLOOKUP($A217,'Data shares'!$C:$FB,98)</f>
        <v>14063625</v>
      </c>
      <c r="G217" s="49">
        <f>VLOOKUP($A217,'Data shares'!$C:$FB,99)</f>
        <v>21682875</v>
      </c>
      <c r="H217" s="50">
        <f t="shared" si="19"/>
        <v>-35.139482195050242</v>
      </c>
      <c r="I217" s="49">
        <f>VLOOKUP($A217,'Data shares'!$C:$FB,66)</f>
        <v>9932250</v>
      </c>
      <c r="J217" s="49">
        <f>VLOOKUP($A217,'Data shares'!$C:$FB,67)</f>
        <v>21184500</v>
      </c>
      <c r="K217" s="50">
        <f t="shared" si="20"/>
        <v>-113.29004002114324</v>
      </c>
      <c r="L217" s="50">
        <f>VLOOKUP($A217,'Data shares'!$C:$FB,118)</f>
        <v>0.78</v>
      </c>
      <c r="M217" s="50">
        <f>VLOOKUP($A217,'Data shares'!$C:$FB,119)</f>
        <v>0.65</v>
      </c>
      <c r="N217" s="50">
        <f>VLOOKUP($A217,'Data shares'!$C:$FB,121)*100</f>
        <v>20</v>
      </c>
      <c r="O217" s="50">
        <f>VLOOKUP($A217,'Data shares'!$C:$FB,124)</f>
        <v>0.54</v>
      </c>
      <c r="P217" s="50">
        <f>VLOOKUP($A217,'Data shares'!$C:$FB,125)</f>
        <v>0.43</v>
      </c>
      <c r="Q217" s="50">
        <f>VLOOKUP($A217,'Data shares'!$C:$FB,127)*100</f>
        <v>25.580000000000002</v>
      </c>
    </row>
    <row r="218" spans="1:17" x14ac:dyDescent="0.25">
      <c r="A218" s="97" t="str">
        <f>'Data Vlaue (Cr)'!C213</f>
        <v>WAAREEENER</v>
      </c>
      <c r="B218" s="140">
        <f>VLOOKUP($A218,'Data shares'!$C:$FB,7)</f>
        <v>3088.1</v>
      </c>
      <c r="C218" s="140">
        <f>VLOOKUP($A218,'Data shares'!$C:$FB,3)</f>
        <v>3107.6</v>
      </c>
      <c r="D218" s="140">
        <f>VLOOKUP($A218,'Data shares'!$C:$FB,4)</f>
        <v>3004.9</v>
      </c>
      <c r="E218" s="50">
        <f t="shared" ref="E218:E221" si="21">(C218-D218)/D218*100</f>
        <v>3.4177510066890679</v>
      </c>
      <c r="F218" s="49">
        <f>VLOOKUP($A218,'Data shares'!$C:$FB,98)</f>
        <v>7369425</v>
      </c>
      <c r="G218" s="49">
        <f>VLOOKUP($A218,'Data shares'!$C:$FB,99)</f>
        <v>12504625</v>
      </c>
      <c r="H218" s="50">
        <f t="shared" ref="H218:H221" si="22">(F218-G218)/G218*100</f>
        <v>-41.066405429990901</v>
      </c>
      <c r="I218" s="49">
        <f>VLOOKUP($A218,'Data shares'!$C:$FB,66)</f>
        <v>22111950</v>
      </c>
      <c r="J218" s="49">
        <f>VLOOKUP($A218,'Data shares'!$C:$FB,67)</f>
        <v>12765725</v>
      </c>
      <c r="K218" s="50">
        <f t="shared" ref="K218:K221" si="23">(I218-J218)/I218*100</f>
        <v>42.267755670576321</v>
      </c>
      <c r="L218" s="50">
        <f>VLOOKUP($A218,'Data shares'!$C:$FB,118)</f>
        <v>0.7</v>
      </c>
      <c r="M218" s="50">
        <f>VLOOKUP($A218,'Data shares'!$C:$FB,119)</f>
        <v>0.44</v>
      </c>
      <c r="N218" s="50">
        <f>VLOOKUP($A218,'Data shares'!$C:$FB,121)*100</f>
        <v>59.089999999999996</v>
      </c>
      <c r="O218" s="50">
        <f>VLOOKUP($A218,'Data shares'!$C:$FB,124)</f>
        <v>0.33</v>
      </c>
      <c r="P218" s="50">
        <f>VLOOKUP($A218,'Data shares'!$C:$FB,125)</f>
        <v>0.25</v>
      </c>
      <c r="Q218" s="50">
        <f>VLOOKUP($A218,'Data shares'!$C:$FB,127)*100</f>
        <v>32</v>
      </c>
    </row>
    <row r="219" spans="1:17" x14ac:dyDescent="0.25">
      <c r="A219" s="97" t="str">
        <f>'Data Vlaue (Cr)'!C214</f>
        <v>WIPRO</v>
      </c>
      <c r="B219" s="140">
        <f>VLOOKUP($A219,'Data shares'!$C:$FB,7)</f>
        <v>203.73</v>
      </c>
      <c r="C219" s="140">
        <f>VLOOKUP($A219,'Data shares'!$C:$FB,3)</f>
        <v>181.41</v>
      </c>
      <c r="D219" s="140">
        <f>VLOOKUP($A219,'Data shares'!$C:$FB,4)</f>
        <v>180.6</v>
      </c>
      <c r="E219" s="50">
        <f t="shared" si="21"/>
        <v>0.44850498338870565</v>
      </c>
      <c r="F219" s="49">
        <f>VLOOKUP($A219,'Data shares'!$C:$FB,98)</f>
        <v>480396000</v>
      </c>
      <c r="G219" s="49">
        <f>VLOOKUP($A219,'Data shares'!$C:$FB,99)</f>
        <v>616209000</v>
      </c>
      <c r="H219" s="50">
        <f t="shared" si="22"/>
        <v>-22.040087048387804</v>
      </c>
      <c r="I219" s="49">
        <f>VLOOKUP($A219,'Data shares'!$C:$FB,66)</f>
        <v>473889000</v>
      </c>
      <c r="J219" s="49">
        <f>VLOOKUP($A219,'Data shares'!$C:$FB,67)</f>
        <v>733695000</v>
      </c>
      <c r="K219" s="50">
        <f t="shared" si="23"/>
        <v>-54.824230990801645</v>
      </c>
      <c r="L219" s="50">
        <f>VLOOKUP($A219,'Data shares'!$C:$FB,118)</f>
        <v>0.66</v>
      </c>
      <c r="M219" s="50">
        <f>VLOOKUP($A219,'Data shares'!$C:$FB,119)</f>
        <v>0.6</v>
      </c>
      <c r="N219" s="50">
        <f>VLOOKUP($A219,'Data shares'!$C:$FB,121)*100</f>
        <v>10</v>
      </c>
      <c r="O219" s="50">
        <f>VLOOKUP($A219,'Data shares'!$C:$FB,124)</f>
        <v>0.57999999999999996</v>
      </c>
      <c r="P219" s="50">
        <f>VLOOKUP($A219,'Data shares'!$C:$FB,125)</f>
        <v>0.45</v>
      </c>
      <c r="Q219" s="50">
        <f>VLOOKUP($A219,'Data shares'!$C:$FB,127)*100</f>
        <v>28.89</v>
      </c>
    </row>
    <row r="220" spans="1:17" x14ac:dyDescent="0.25">
      <c r="A220" s="97" t="str">
        <f>'Data Vlaue (Cr)'!C215</f>
        <v>YESBANK</v>
      </c>
      <c r="B220" s="140">
        <f>VLOOKUP($A220,'Data shares'!$C:$FB,7)</f>
        <v>22.83</v>
      </c>
      <c r="C220" s="140">
        <f>VLOOKUP($A220,'Data shares'!$C:$FB,3)</f>
        <v>23.01</v>
      </c>
      <c r="D220" s="140">
        <f>VLOOKUP($A220,'Data shares'!$C:$FB,4)</f>
        <v>22.46</v>
      </c>
      <c r="E220" s="50">
        <f t="shared" si="21"/>
        <v>2.4487978628673228</v>
      </c>
      <c r="F220" s="49">
        <f>VLOOKUP($A220,'Data shares'!$C:$FB,98)</f>
        <v>1507603600</v>
      </c>
      <c r="G220" s="49">
        <f>VLOOKUP($A220,'Data shares'!$C:$FB,99)</f>
        <v>1905839100</v>
      </c>
      <c r="H220" s="50">
        <f t="shared" si="22"/>
        <v>-20.895546743688907</v>
      </c>
      <c r="I220" s="49">
        <f>VLOOKUP($A220,'Data shares'!$C:$FB,66)</f>
        <v>1218964500</v>
      </c>
      <c r="J220" s="49">
        <f>VLOOKUP($A220,'Data shares'!$C:$FB,67)</f>
        <v>1092232000</v>
      </c>
      <c r="K220" s="50">
        <f t="shared" si="23"/>
        <v>10.396734277331293</v>
      </c>
      <c r="L220" s="50">
        <f>VLOOKUP($A220,'Data shares'!$C:$FB,118)</f>
        <v>0.65</v>
      </c>
      <c r="M220" s="50">
        <f>VLOOKUP($A220,'Data shares'!$C:$FB,119)</f>
        <v>0.64</v>
      </c>
      <c r="N220" s="50">
        <f>VLOOKUP($A220,'Data shares'!$C:$FB,121)*100</f>
        <v>1.5599999999999998</v>
      </c>
      <c r="O220" s="50">
        <f>VLOOKUP($A220,'Data shares'!$C:$FB,124)</f>
        <v>0.43</v>
      </c>
      <c r="P220" s="50">
        <f>VLOOKUP($A220,'Data shares'!$C:$FB,125)</f>
        <v>0.7</v>
      </c>
      <c r="Q220" s="50">
        <f>VLOOKUP($A220,'Data shares'!$C:$FB,127)*100</f>
        <v>-38.57</v>
      </c>
    </row>
    <row r="221" spans="1:17" x14ac:dyDescent="0.25">
      <c r="A221" s="97" t="str">
        <f>'Data Vlaue (Cr)'!C216</f>
        <v>ZYDUSLIFE</v>
      </c>
      <c r="B221" s="140">
        <f>VLOOKUP($A221,'Data shares'!$C:$FB,7)</f>
        <v>1079.05</v>
      </c>
      <c r="C221" s="140">
        <f>VLOOKUP($A221,'Data shares'!$C:$FB,3)</f>
        <v>1084.55</v>
      </c>
      <c r="D221" s="140">
        <f>VLOOKUP($A221,'Data shares'!$C:$FB,4)</f>
        <v>1078.5</v>
      </c>
      <c r="E221" s="50">
        <f t="shared" si="21"/>
        <v>0.56096430227166938</v>
      </c>
      <c r="F221" s="49">
        <f>VLOOKUP($A221,'Data shares'!$C:$FB,98)</f>
        <v>15024600</v>
      </c>
      <c r="G221" s="49">
        <f>VLOOKUP($A221,'Data shares'!$C:$FB,99)</f>
        <v>24757200</v>
      </c>
      <c r="H221" s="50">
        <f t="shared" si="22"/>
        <v>-39.312200087247348</v>
      </c>
      <c r="I221" s="49">
        <f>VLOOKUP($A221,'Data shares'!$C:$FB,66)</f>
        <v>16324200</v>
      </c>
      <c r="J221" s="49">
        <f>VLOOKUP($A221,'Data shares'!$C:$FB,67)</f>
        <v>39277800</v>
      </c>
      <c r="K221" s="50">
        <f t="shared" si="23"/>
        <v>-140.61087220200682</v>
      </c>
      <c r="L221" s="50">
        <f>VLOOKUP($A221,'Data shares'!$C:$FB,118)</f>
        <v>0.62</v>
      </c>
      <c r="M221" s="50">
        <f>VLOOKUP($A221,'Data shares'!$C:$FB,119)</f>
        <v>0.66</v>
      </c>
      <c r="N221" s="50">
        <f>VLOOKUP($A221,'Data shares'!$C:$FB,121)*100</f>
        <v>-6.0600000000000005</v>
      </c>
      <c r="O221" s="50">
        <f>VLOOKUP($A221,'Data shares'!$C:$FB,124)</f>
        <v>0.44</v>
      </c>
      <c r="P221" s="50">
        <f>VLOOKUP($A221,'Data shares'!$C:$FB,125)</f>
        <v>0.28999999999999998</v>
      </c>
      <c r="Q221" s="50">
        <f>VLOOKUP($A221,'Data shares'!$C:$FB,127)*100</f>
        <v>51.72</v>
      </c>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7"/>
      <c r="B230" s="140"/>
      <c r="C230" s="140"/>
      <c r="D230" s="140"/>
      <c r="E230" s="50"/>
      <c r="F230" s="49"/>
      <c r="G230" s="49"/>
      <c r="H230" s="50"/>
      <c r="I230" s="49"/>
      <c r="J230" s="49"/>
      <c r="K230" s="50"/>
      <c r="L230" s="50"/>
      <c r="M230" s="50"/>
      <c r="N230" s="50"/>
      <c r="O230" s="50"/>
      <c r="P230" s="50"/>
      <c r="Q230" s="50"/>
    </row>
    <row r="231" spans="1:17" x14ac:dyDescent="0.25">
      <c r="A231" s="97"/>
      <c r="B231" s="140"/>
      <c r="C231" s="140"/>
      <c r="D231" s="140"/>
      <c r="E231" s="50"/>
      <c r="F231" s="49"/>
      <c r="G231" s="49"/>
      <c r="H231" s="50"/>
      <c r="I231" s="49"/>
      <c r="J231" s="49"/>
      <c r="K231" s="50"/>
      <c r="L231" s="50"/>
      <c r="M231" s="50"/>
      <c r="N231" s="50"/>
      <c r="O231" s="50"/>
      <c r="P231" s="50"/>
      <c r="Q231" s="50"/>
    </row>
    <row r="232" spans="1:17" x14ac:dyDescent="0.25">
      <c r="A232" s="97"/>
      <c r="B232" s="140"/>
      <c r="C232" s="140"/>
      <c r="D232" s="140"/>
      <c r="E232" s="50"/>
      <c r="F232" s="49"/>
      <c r="G232" s="49"/>
      <c r="H232" s="50"/>
      <c r="I232" s="49"/>
      <c r="J232" s="49"/>
      <c r="K232" s="50"/>
      <c r="L232" s="50"/>
      <c r="M232" s="50"/>
      <c r="N232" s="50"/>
      <c r="O232" s="50"/>
      <c r="P232" s="50"/>
      <c r="Q232" s="50"/>
    </row>
    <row r="233" spans="1:17" x14ac:dyDescent="0.25">
      <c r="A233" s="97"/>
      <c r="B233" s="140"/>
      <c r="C233" s="140"/>
      <c r="D233" s="140"/>
      <c r="E233" s="50"/>
      <c r="F233" s="49"/>
      <c r="G233" s="49"/>
      <c r="H233" s="50"/>
      <c r="I233" s="49"/>
      <c r="J233" s="49"/>
      <c r="K233" s="50"/>
      <c r="L233" s="50"/>
      <c r="M233" s="50"/>
      <c r="N233" s="50"/>
      <c r="O233" s="50"/>
      <c r="P233" s="50"/>
      <c r="Q233" s="50"/>
    </row>
    <row r="234" spans="1:17" x14ac:dyDescent="0.25">
      <c r="A234" s="97"/>
      <c r="B234" s="140"/>
      <c r="C234" s="140"/>
      <c r="D234" s="140"/>
      <c r="E234" s="50"/>
      <c r="F234" s="49"/>
      <c r="G234" s="49"/>
      <c r="H234" s="50"/>
      <c r="I234" s="49"/>
      <c r="J234" s="49"/>
      <c r="K234" s="50"/>
      <c r="L234" s="50"/>
      <c r="M234" s="50"/>
      <c r="N234" s="50"/>
      <c r="O234" s="50"/>
      <c r="P234" s="50"/>
      <c r="Q234" s="50"/>
    </row>
    <row r="235" spans="1:17" x14ac:dyDescent="0.25">
      <c r="A235" s="98"/>
      <c r="B235" s="17"/>
      <c r="C235" s="17"/>
      <c r="D235" s="17"/>
      <c r="E235" s="17"/>
      <c r="F235" s="17"/>
      <c r="G235" s="17"/>
      <c r="H235" s="17"/>
      <c r="I235" s="17"/>
      <c r="J235" s="17"/>
      <c r="K235" s="17"/>
      <c r="L235" s="17"/>
      <c r="M235" s="17"/>
      <c r="N235" s="17"/>
      <c r="O235" s="17"/>
      <c r="P235" s="17"/>
      <c r="Q235" s="17"/>
    </row>
    <row r="236" spans="1:17" s="64" customFormat="1" x14ac:dyDescent="0.25">
      <c r="A236" s="264" t="s">
        <v>391</v>
      </c>
      <c r="B236" s="264"/>
      <c r="C236" s="264"/>
      <c r="D236" s="264"/>
      <c r="E236" s="264"/>
      <c r="F236" s="113">
        <f>SUM(F7:F221)</f>
        <v>21341804562</v>
      </c>
      <c r="G236" s="113">
        <f>SUM(G7:G223)</f>
        <v>27802484081</v>
      </c>
      <c r="H236" s="114">
        <f>(F236-G236)/G236*100</f>
        <v>-23.237777963211485</v>
      </c>
      <c r="I236" s="113">
        <f>SUM(I7:I222)</f>
        <v>40358713090</v>
      </c>
      <c r="J236" s="113">
        <f>SUM(J7:J223)</f>
        <v>29544154621</v>
      </c>
      <c r="K236" s="114">
        <f>(I236-J236)/J236*100</f>
        <v>36.604731486589927</v>
      </c>
      <c r="L236" s="113"/>
      <c r="M236" s="113"/>
      <c r="N236" s="113"/>
      <c r="O236" s="113"/>
      <c r="P236" s="264"/>
      <c r="Q236" s="264"/>
    </row>
    <row r="237" spans="1:17" s="64" customFormat="1" x14ac:dyDescent="0.25">
      <c r="A237" s="264" t="s">
        <v>398</v>
      </c>
      <c r="B237" s="264"/>
      <c r="C237" s="264"/>
      <c r="D237" s="264"/>
      <c r="E237" s="264"/>
      <c r="F237" s="113">
        <f>F236/10000000</f>
        <v>2134.1804562000002</v>
      </c>
      <c r="G237" s="113">
        <f>G236/10000000</f>
        <v>2780.2484080999998</v>
      </c>
      <c r="H237" s="114">
        <f>(F237-G237)/G237*100</f>
        <v>-23.237777963211474</v>
      </c>
      <c r="I237" s="113">
        <f>I236/10000000</f>
        <v>4035.8713090000001</v>
      </c>
      <c r="J237" s="113">
        <f>J236/10000000</f>
        <v>2954.4154620999998</v>
      </c>
      <c r="K237" s="114">
        <f>(I237-J237)/J237*100</f>
        <v>36.604731486589941</v>
      </c>
      <c r="L237" s="113"/>
      <c r="M237" s="113"/>
      <c r="N237" s="113"/>
      <c r="O237" s="113"/>
      <c r="P237" s="264"/>
      <c r="Q237" s="264"/>
    </row>
  </sheetData>
  <mergeCells count="15">
    <mergeCell ref="A237:E237"/>
    <mergeCell ref="P236:Q236"/>
    <mergeCell ref="P237:Q237"/>
    <mergeCell ref="A236:E236"/>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V23" sqref="V23"/>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(Value)'!H154</f>
        <v>741644</v>
      </c>
      <c r="C3" s="159">
        <f>'OI(Volume)'!G150</f>
        <v>-0.25869999999999999</v>
      </c>
      <c r="D3" s="153">
        <f>'Snapshot (Value)'!P150</f>
        <v>0.76</v>
      </c>
      <c r="E3" s="153">
        <f>'Snapshot (Value)'!R150</f>
        <v>0.34</v>
      </c>
      <c r="F3" s="153">
        <f>IV!E150</f>
        <v>17.47</v>
      </c>
      <c r="G3" s="153">
        <f>IV!B150</f>
        <v>15.09</v>
      </c>
      <c r="H3" s="153">
        <f>'Snapshot (Value)'!C154</f>
        <v>23913.7</v>
      </c>
      <c r="I3" s="153">
        <f>'Snapshot (Value)'!D154</f>
        <v>23978.9</v>
      </c>
      <c r="J3" s="153">
        <f>'Snapshot (Value)'!E154</f>
        <v>24106.400000000001</v>
      </c>
      <c r="K3" s="153">
        <f>(I3-H3)</f>
        <v>65.200000000000728</v>
      </c>
      <c r="L3" s="232">
        <f>'Data Vlaue (Cr)'!V145</f>
        <v>24064.7</v>
      </c>
    </row>
    <row r="4" spans="1:12" x14ac:dyDescent="0.25">
      <c r="A4" t="s">
        <v>464</v>
      </c>
      <c r="B4" s="154">
        <f>'Snapshot (Value)'!H38</f>
        <v>116494</v>
      </c>
      <c r="C4" s="159">
        <f>'OI(Volume)'!G34</f>
        <v>-0.1991</v>
      </c>
      <c r="D4" s="153">
        <f>'Snapshot (Value)'!P38</f>
        <v>0.98</v>
      </c>
      <c r="E4" s="153">
        <f>'Snapshot (Value)'!R38</f>
        <v>1</v>
      </c>
      <c r="F4" s="153">
        <f>IV!E34</f>
        <v>21.31</v>
      </c>
      <c r="G4" s="153">
        <f>IV!B34</f>
        <v>17.829999999999998</v>
      </c>
      <c r="H4" s="153">
        <f>'Snapshot (Value)'!C38</f>
        <v>55092.9</v>
      </c>
      <c r="I4" s="153">
        <f>'Snapshot (Value)'!D38</f>
        <v>55457.8</v>
      </c>
      <c r="J4" s="153">
        <f>'Snapshot (Value)'!E38</f>
        <v>55647.199999999997</v>
      </c>
      <c r="K4" s="153">
        <f>(I4-H4)</f>
        <v>364.90000000000146</v>
      </c>
      <c r="L4" s="232">
        <f>'Data Vlaue (Cr)'!V29</f>
        <v>55754.400000000001</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559</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8" t="s">
        <v>393</v>
      </c>
      <c r="B1" s="330" t="s">
        <v>631</v>
      </c>
      <c r="C1" s="331"/>
      <c r="D1" s="332"/>
      <c r="E1" s="333" t="s">
        <v>632</v>
      </c>
      <c r="F1" s="334"/>
      <c r="G1" s="335"/>
      <c r="H1" s="336" t="s">
        <v>633</v>
      </c>
      <c r="I1" s="337"/>
      <c r="J1" s="338"/>
      <c r="K1" s="339" t="s">
        <v>634</v>
      </c>
      <c r="L1" s="340"/>
      <c r="M1" s="341"/>
    </row>
    <row r="2" spans="1:13" ht="26.25" thickBot="1" x14ac:dyDescent="0.25">
      <c r="A2" s="329"/>
      <c r="B2" s="201" t="s">
        <v>635</v>
      </c>
      <c r="C2" s="201" t="s">
        <v>636</v>
      </c>
      <c r="D2" s="201" t="s">
        <v>369</v>
      </c>
      <c r="E2" s="202" t="s">
        <v>635</v>
      </c>
      <c r="F2" s="202" t="s">
        <v>636</v>
      </c>
      <c r="G2" s="202" t="s">
        <v>369</v>
      </c>
      <c r="H2" s="203" t="s">
        <v>635</v>
      </c>
      <c r="I2" s="203" t="s">
        <v>636</v>
      </c>
      <c r="J2" s="203" t="s">
        <v>369</v>
      </c>
      <c r="K2" s="204" t="s">
        <v>635</v>
      </c>
      <c r="L2" s="204" t="s">
        <v>636</v>
      </c>
      <c r="M2" s="204" t="s">
        <v>369</v>
      </c>
    </row>
    <row r="3" spans="1:13" x14ac:dyDescent="0.2">
      <c r="A3" s="205" t="s">
        <v>637</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638</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639</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8" t="s">
        <v>640</v>
      </c>
      <c r="B6" s="330" t="s">
        <v>631</v>
      </c>
      <c r="C6" s="331"/>
      <c r="D6" s="332"/>
      <c r="E6" s="333" t="s">
        <v>632</v>
      </c>
      <c r="F6" s="334"/>
      <c r="G6" s="335"/>
      <c r="H6" s="336" t="s">
        <v>633</v>
      </c>
      <c r="I6" s="337"/>
      <c r="J6" s="338"/>
      <c r="K6" s="339" t="s">
        <v>634</v>
      </c>
      <c r="L6" s="340"/>
      <c r="M6" s="341"/>
    </row>
    <row r="7" spans="1:13" ht="26.25" thickBot="1" x14ac:dyDescent="0.25">
      <c r="A7" s="329"/>
      <c r="B7" s="201" t="s">
        <v>635</v>
      </c>
      <c r="C7" s="201" t="s">
        <v>636</v>
      </c>
      <c r="D7" s="201" t="s">
        <v>369</v>
      </c>
      <c r="E7" s="202" t="s">
        <v>635</v>
      </c>
      <c r="F7" s="202" t="s">
        <v>636</v>
      </c>
      <c r="G7" s="202" t="s">
        <v>369</v>
      </c>
      <c r="H7" s="203" t="s">
        <v>635</v>
      </c>
      <c r="I7" s="203" t="s">
        <v>636</v>
      </c>
      <c r="J7" s="203" t="s">
        <v>369</v>
      </c>
      <c r="K7" s="204" t="s">
        <v>635</v>
      </c>
      <c r="L7" s="204" t="s">
        <v>636</v>
      </c>
      <c r="M7" s="204" t="s">
        <v>369</v>
      </c>
    </row>
    <row r="8" spans="1:13" x14ac:dyDescent="0.2">
      <c r="A8" s="205" t="s">
        <v>637</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638</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639</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8" t="s">
        <v>641</v>
      </c>
      <c r="B11" s="330" t="s">
        <v>631</v>
      </c>
      <c r="C11" s="331"/>
      <c r="D11" s="332"/>
      <c r="E11" s="333" t="s">
        <v>632</v>
      </c>
      <c r="F11" s="334"/>
      <c r="G11" s="335"/>
      <c r="H11" s="336" t="s">
        <v>633</v>
      </c>
      <c r="I11" s="337"/>
      <c r="J11" s="338"/>
      <c r="K11" s="339" t="s">
        <v>634</v>
      </c>
      <c r="L11" s="340"/>
      <c r="M11" s="341"/>
    </row>
    <row r="12" spans="1:13" ht="26.25" thickBot="1" x14ac:dyDescent="0.25">
      <c r="A12" s="329"/>
      <c r="B12" s="201" t="s">
        <v>635</v>
      </c>
      <c r="C12" s="201" t="s">
        <v>636</v>
      </c>
      <c r="D12" s="201" t="s">
        <v>369</v>
      </c>
      <c r="E12" s="202" t="s">
        <v>635</v>
      </c>
      <c r="F12" s="202" t="s">
        <v>636</v>
      </c>
      <c r="G12" s="202" t="s">
        <v>369</v>
      </c>
      <c r="H12" s="203" t="s">
        <v>635</v>
      </c>
      <c r="I12" s="203" t="s">
        <v>636</v>
      </c>
      <c r="J12" s="203" t="s">
        <v>369</v>
      </c>
      <c r="K12" s="204" t="s">
        <v>635</v>
      </c>
      <c r="L12" s="204" t="s">
        <v>636</v>
      </c>
      <c r="M12" s="204" t="s">
        <v>369</v>
      </c>
    </row>
    <row r="13" spans="1:13" x14ac:dyDescent="0.2">
      <c r="A13" s="205" t="s">
        <v>637</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638</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639</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8" t="s">
        <v>395</v>
      </c>
      <c r="B16" s="330" t="s">
        <v>631</v>
      </c>
      <c r="C16" s="331"/>
      <c r="D16" s="332"/>
      <c r="E16" s="333" t="s">
        <v>632</v>
      </c>
      <c r="F16" s="334"/>
      <c r="G16" s="335"/>
      <c r="H16" s="336" t="s">
        <v>633</v>
      </c>
      <c r="I16" s="337"/>
      <c r="J16" s="338"/>
      <c r="K16" s="339" t="s">
        <v>634</v>
      </c>
      <c r="L16" s="340"/>
      <c r="M16" s="341"/>
    </row>
    <row r="17" spans="1:13" ht="26.25" thickBot="1" x14ac:dyDescent="0.25">
      <c r="A17" s="329"/>
      <c r="B17" s="201" t="s">
        <v>635</v>
      </c>
      <c r="C17" s="201" t="s">
        <v>636</v>
      </c>
      <c r="D17" s="201" t="s">
        <v>369</v>
      </c>
      <c r="E17" s="202" t="s">
        <v>635</v>
      </c>
      <c r="F17" s="202" t="s">
        <v>636</v>
      </c>
      <c r="G17" s="202" t="s">
        <v>369</v>
      </c>
      <c r="H17" s="203" t="s">
        <v>635</v>
      </c>
      <c r="I17" s="203" t="s">
        <v>636</v>
      </c>
      <c r="J17" s="203" t="s">
        <v>369</v>
      </c>
      <c r="K17" s="204" t="s">
        <v>635</v>
      </c>
      <c r="L17" s="204" t="s">
        <v>636</v>
      </c>
      <c r="M17" s="204" t="s">
        <v>369</v>
      </c>
    </row>
    <row r="18" spans="1:13" x14ac:dyDescent="0.2">
      <c r="A18" s="205" t="s">
        <v>637</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638</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639</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8" t="s">
        <v>642</v>
      </c>
      <c r="B21" s="330" t="s">
        <v>631</v>
      </c>
      <c r="C21" s="331"/>
      <c r="D21" s="332"/>
      <c r="E21" s="333" t="s">
        <v>632</v>
      </c>
      <c r="F21" s="334"/>
      <c r="G21" s="335"/>
      <c r="H21" s="336" t="s">
        <v>633</v>
      </c>
      <c r="I21" s="337"/>
      <c r="J21" s="338"/>
      <c r="K21" s="339" t="s">
        <v>634</v>
      </c>
      <c r="L21" s="340"/>
      <c r="M21" s="341"/>
    </row>
    <row r="22" spans="1:13" ht="26.25" thickBot="1" x14ac:dyDescent="0.25">
      <c r="A22" s="329"/>
      <c r="B22" s="201" t="s">
        <v>635</v>
      </c>
      <c r="C22" s="201" t="s">
        <v>636</v>
      </c>
      <c r="D22" s="201" t="s">
        <v>369</v>
      </c>
      <c r="E22" s="202" t="s">
        <v>635</v>
      </c>
      <c r="F22" s="202" t="s">
        <v>636</v>
      </c>
      <c r="G22" s="202" t="s">
        <v>369</v>
      </c>
      <c r="H22" s="203" t="s">
        <v>635</v>
      </c>
      <c r="I22" s="203" t="s">
        <v>636</v>
      </c>
      <c r="J22" s="203" t="s">
        <v>369</v>
      </c>
      <c r="K22" s="204" t="s">
        <v>635</v>
      </c>
      <c r="L22" s="204" t="s">
        <v>636</v>
      </c>
      <c r="M22" s="204" t="s">
        <v>369</v>
      </c>
    </row>
    <row r="23" spans="1:13" x14ac:dyDescent="0.2">
      <c r="A23" s="205" t="s">
        <v>637</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638</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639</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8" t="s">
        <v>643</v>
      </c>
      <c r="B26" s="330" t="s">
        <v>631</v>
      </c>
      <c r="C26" s="331"/>
      <c r="D26" s="332"/>
      <c r="E26" s="333" t="s">
        <v>632</v>
      </c>
      <c r="F26" s="334"/>
      <c r="G26" s="335"/>
      <c r="H26" s="336" t="s">
        <v>633</v>
      </c>
      <c r="I26" s="337"/>
      <c r="J26" s="338"/>
      <c r="K26" s="339" t="s">
        <v>634</v>
      </c>
      <c r="L26" s="340"/>
      <c r="M26" s="341"/>
    </row>
    <row r="27" spans="1:13" ht="26.25" thickBot="1" x14ac:dyDescent="0.25">
      <c r="A27" s="329"/>
      <c r="B27" s="201" t="s">
        <v>635</v>
      </c>
      <c r="C27" s="201" t="s">
        <v>636</v>
      </c>
      <c r="D27" s="201" t="s">
        <v>369</v>
      </c>
      <c r="E27" s="202" t="s">
        <v>635</v>
      </c>
      <c r="F27" s="202" t="s">
        <v>636</v>
      </c>
      <c r="G27" s="202" t="s">
        <v>369</v>
      </c>
      <c r="H27" s="203" t="s">
        <v>635</v>
      </c>
      <c r="I27" s="203" t="s">
        <v>636</v>
      </c>
      <c r="J27" s="203" t="s">
        <v>369</v>
      </c>
      <c r="K27" s="204" t="s">
        <v>635</v>
      </c>
      <c r="L27" s="204" t="s">
        <v>636</v>
      </c>
      <c r="M27" s="204" t="s">
        <v>369</v>
      </c>
    </row>
    <row r="28" spans="1:13" x14ac:dyDescent="0.2">
      <c r="A28" s="205" t="s">
        <v>637</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638</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639</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646</v>
      </c>
      <c r="B1" s="216" t="s">
        <v>249</v>
      </c>
      <c r="C1" s="200"/>
      <c r="D1" s="200"/>
    </row>
    <row r="2" spans="1:4" x14ac:dyDescent="0.25">
      <c r="A2" s="217" t="s">
        <v>647</v>
      </c>
      <c r="B2" s="218">
        <f>VLOOKUP($B$1,'Snapshot (Value)'!$A:$S,2,0)</f>
        <v>175</v>
      </c>
      <c r="C2" s="200"/>
      <c r="D2" s="200"/>
    </row>
    <row r="3" spans="1:4" x14ac:dyDescent="0.25">
      <c r="A3" s="217" t="s">
        <v>312</v>
      </c>
      <c r="B3" s="219">
        <f>VLOOKUP($B$1,'Snapshot (Value)'!$A:$S,3,0)</f>
        <v>4037.8</v>
      </c>
      <c r="C3" s="200"/>
      <c r="D3" s="200"/>
    </row>
    <row r="4" spans="1:4" x14ac:dyDescent="0.25">
      <c r="A4" s="217" t="s">
        <v>320</v>
      </c>
      <c r="B4" s="220">
        <f>VLOOKUP($B$1,'Snapshot (Value)'!$A:$S,6,0)</f>
        <v>19.899999999999636</v>
      </c>
      <c r="C4" s="200"/>
      <c r="D4" s="200"/>
    </row>
    <row r="5" spans="1:4" x14ac:dyDescent="0.25">
      <c r="A5" s="221"/>
      <c r="B5" s="222" t="s">
        <v>648</v>
      </c>
      <c r="C5" s="222" t="s">
        <v>649</v>
      </c>
      <c r="D5" s="222" t="s">
        <v>650</v>
      </c>
    </row>
    <row r="6" spans="1:4" x14ac:dyDescent="0.25">
      <c r="A6" s="217" t="s">
        <v>651</v>
      </c>
      <c r="B6" s="219">
        <f>VLOOKUP($B$1,'Snapshot (Value)'!$A:$S,4,0)</f>
        <v>4057.7</v>
      </c>
      <c r="C6" s="219">
        <f>VLOOKUP($B$1,'Snapshot (Value)'!$A:$S,5,0)</f>
        <v>4057.4</v>
      </c>
      <c r="D6" s="219">
        <f>+(B6/C6-1)*100</f>
        <v>7.393897569873964E-3</v>
      </c>
    </row>
    <row r="7" spans="1:4" x14ac:dyDescent="0.25">
      <c r="A7" s="217" t="s">
        <v>316</v>
      </c>
      <c r="B7" s="219">
        <f>VLOOKUP($B$1,'Snapshot (Volume)'!$A:$S,12,0)</f>
        <v>1.33</v>
      </c>
      <c r="C7" s="219">
        <f>VLOOKUP($B$1,'Snapshot (Volume)'!$A:$S,13,0)</f>
        <v>0.78</v>
      </c>
      <c r="D7" s="219">
        <f>+(B7/C7-1)*100</f>
        <v>70.512820512820511</v>
      </c>
    </row>
    <row r="8" spans="1:4" x14ac:dyDescent="0.25">
      <c r="A8" s="217" t="s">
        <v>652</v>
      </c>
      <c r="B8" s="219">
        <f>VLOOKUP($B$1,'Snapshot (Volume)'!$A:$S,15,0)</f>
        <v>0.53</v>
      </c>
      <c r="C8" s="219">
        <f>VLOOKUP($B$1,'Snapshot (Volume)'!$A:$S,16,0)</f>
        <v>0.52</v>
      </c>
      <c r="D8" s="219">
        <f>+(B8/C8-1)*100</f>
        <v>1.9230769230769162</v>
      </c>
    </row>
    <row r="9" spans="1:4" x14ac:dyDescent="0.25">
      <c r="A9" s="215" t="s">
        <v>653</v>
      </c>
      <c r="B9" s="222" t="s">
        <v>654</v>
      </c>
      <c r="C9" s="222" t="s">
        <v>369</v>
      </c>
      <c r="D9" s="222" t="s">
        <v>650</v>
      </c>
    </row>
    <row r="10" spans="1:4" x14ac:dyDescent="0.25">
      <c r="A10" s="217" t="s">
        <v>655</v>
      </c>
      <c r="B10" s="219">
        <f>VLOOKUP($B$1,'OI(Value)'!$A:$O,5,0)</f>
        <v>5917</v>
      </c>
      <c r="C10" s="219">
        <f>VLOOKUP($B$1,'OI(Value)'!$A:$O,6,0)</f>
        <v>-629</v>
      </c>
      <c r="D10" s="219">
        <f>VLOOKUP($B$1,'OI(Value)'!$A:$O,7,0)*100</f>
        <v>-9.6100000000000012</v>
      </c>
    </row>
    <row r="11" spans="1:4" x14ac:dyDescent="0.25">
      <c r="A11" s="217" t="s">
        <v>656</v>
      </c>
      <c r="B11" s="219">
        <f>VLOOKUP($B$1,'OI(Value)'!$A:$O,8,0)</f>
        <v>1035</v>
      </c>
      <c r="C11" s="219">
        <f>VLOOKUP($B$1,'OI(Value)'!$A:$O,9,0)</f>
        <v>-2016</v>
      </c>
      <c r="D11" s="219">
        <f>VLOOKUP($B$1,'OI(Value)'!$A:$O,10,0)*100</f>
        <v>-66.080000000000013</v>
      </c>
    </row>
    <row r="12" spans="1:4" x14ac:dyDescent="0.25">
      <c r="A12" s="217" t="s">
        <v>657</v>
      </c>
      <c r="B12" s="219">
        <f>VLOOKUP($B$1,'OI(Value)'!$A:$O,11,0)</f>
        <v>1373</v>
      </c>
      <c r="C12" s="219">
        <f>VLOOKUP($B$1,'OI(Value)'!$A:$O,12,0)</f>
        <v>-1018</v>
      </c>
      <c r="D12" s="219">
        <f>VLOOKUP($B$1,'OI(Value)'!$A:$O,13,0)*100</f>
        <v>-42.58</v>
      </c>
    </row>
    <row r="13" spans="1:4" x14ac:dyDescent="0.25">
      <c r="A13" s="215" t="s">
        <v>658</v>
      </c>
      <c r="B13" s="223">
        <f>VLOOKUP($B$1,'OI(Value)'!$A:$O,2,0)</f>
        <v>8325</v>
      </c>
      <c r="C13" s="223">
        <f>VLOOKUP($B$1,'OI(Value)'!$A:$O,3,0)</f>
        <v>-3663</v>
      </c>
      <c r="D13" s="223">
        <f>VLOOKUP($B$1,'OI(Value)'!$A:$O,4,0)*100</f>
        <v>-30.56</v>
      </c>
    </row>
    <row r="14" spans="1:4" x14ac:dyDescent="0.25">
      <c r="A14" s="215" t="s">
        <v>659</v>
      </c>
      <c r="B14" s="222" t="s">
        <v>660</v>
      </c>
      <c r="C14" s="222" t="s">
        <v>369</v>
      </c>
      <c r="D14" s="222" t="s">
        <v>650</v>
      </c>
    </row>
    <row r="15" spans="1:4" x14ac:dyDescent="0.25">
      <c r="A15" s="217" t="s">
        <v>655</v>
      </c>
      <c r="B15" s="219">
        <f>VLOOKUP($B$1,'OI(Volume)'!$A:$O,5,0)/10^5</f>
        <v>145.81</v>
      </c>
      <c r="C15" s="219">
        <f>VLOOKUP($B$1,'OI(Volume)'!$A:$O,6,0)/10^5</f>
        <v>-15.497999999999999</v>
      </c>
      <c r="D15" s="219">
        <f>(VLOOKUP($B$1,'OI(Volume)'!$A:$O,7,0))*100</f>
        <v>-9.6100000000000012</v>
      </c>
    </row>
    <row r="16" spans="1:4" x14ac:dyDescent="0.25">
      <c r="A16" s="217" t="s">
        <v>656</v>
      </c>
      <c r="B16" s="219">
        <f>VLOOKUP($B$1,'OI(Volume)'!$A:$O,8,0)/10^5</f>
        <v>25.506250000000001</v>
      </c>
      <c r="C16" s="219">
        <f>VLOOKUP($B$1,'OI(Volume)'!$A:$O,9,0)/10^5</f>
        <v>-49.687750000000001</v>
      </c>
      <c r="D16" s="219">
        <f>(VLOOKUP($B$1,'OI(Volume)'!$A:$O,10,0))*100</f>
        <v>-66.080000000000013</v>
      </c>
    </row>
    <row r="17" spans="1:4" x14ac:dyDescent="0.25">
      <c r="A17" s="217" t="s">
        <v>657</v>
      </c>
      <c r="B17" s="219">
        <f>VLOOKUP($B$1,'OI(Volume)'!$A:$O,11,0)/10^5</f>
        <v>33.843249999999998</v>
      </c>
      <c r="C17" s="219">
        <f>VLOOKUP($B$1,'OI(Volume)'!$A:$O,12,0)/10^5</f>
        <v>-25.094999999999999</v>
      </c>
      <c r="D17" s="219">
        <f>(VLOOKUP($B$1,'OI(Volume)'!$A:$O,13,0))*100</f>
        <v>-42.58</v>
      </c>
    </row>
    <row r="18" spans="1:4" x14ac:dyDescent="0.25">
      <c r="A18" s="215" t="s">
        <v>661</v>
      </c>
      <c r="B18" s="223">
        <f>VLOOKUP($B$1,'OI(Volume)'!$A:$O,2,0)/10^5</f>
        <v>205.15950000000001</v>
      </c>
      <c r="C18" s="223">
        <f>VLOOKUP($B$1,'OI(Volume)'!$A:$O,3,0)/10^5</f>
        <v>-90.280749999999998</v>
      </c>
      <c r="D18" s="223">
        <f>(VLOOKUP($B$1,'OI(Volume)'!$A:$O,4,0))*100</f>
        <v>-30.56</v>
      </c>
    </row>
    <row r="20" spans="1:4" x14ac:dyDescent="0.25">
      <c r="A20" s="17" t="s">
        <v>417</v>
      </c>
      <c r="B20" s="224">
        <f>VLOOKUP($B$1,'Open Interest Position'!$A:$F,2,0)/10^5</f>
        <v>1360.99497</v>
      </c>
    </row>
    <row r="21" spans="1:4" x14ac:dyDescent="0.25">
      <c r="A21" s="17" t="s">
        <v>412</v>
      </c>
      <c r="B21" s="224">
        <f>VLOOKUP($B$1,'Open Interest Position'!$A:$F,3,0)/10^5</f>
        <v>203.17325</v>
      </c>
    </row>
    <row r="22" spans="1:4" x14ac:dyDescent="0.25">
      <c r="A22" s="17" t="s">
        <v>418</v>
      </c>
      <c r="B22" s="224">
        <f>VLOOKUP($B$1,'Open Interest Position'!$A:$F,4,0)/10^5</f>
        <v>144.1780967963</v>
      </c>
    </row>
    <row r="23" spans="1:4" x14ac:dyDescent="0.25">
      <c r="A23" s="17" t="s">
        <v>419</v>
      </c>
      <c r="B23" s="225">
        <f>VLOOKUP($B$1,'Open Interest Position'!$A:$F,6,0)</f>
        <v>0.14928288089117625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6" t="s">
        <v>329</v>
      </c>
      <c r="B3" s="267"/>
      <c r="C3" s="267"/>
      <c r="D3" s="267"/>
      <c r="E3" s="267"/>
      <c r="F3" s="267"/>
      <c r="G3" s="267"/>
      <c r="H3" s="267"/>
      <c r="I3" s="268"/>
      <c r="J3" s="268"/>
      <c r="K3" s="268"/>
      <c r="L3" s="268"/>
      <c r="M3" s="268"/>
      <c r="N3" s="268"/>
      <c r="O3" s="268"/>
      <c r="P3" s="269"/>
    </row>
    <row r="4" spans="1:36" x14ac:dyDescent="0.25">
      <c r="A4" s="270" t="s">
        <v>330</v>
      </c>
      <c r="B4" s="270"/>
      <c r="C4" s="77" t="s">
        <v>308</v>
      </c>
      <c r="D4" s="272" t="s">
        <v>326</v>
      </c>
      <c r="E4" s="272"/>
      <c r="F4" s="272"/>
      <c r="G4" s="272"/>
      <c r="H4" s="272" t="s">
        <v>457</v>
      </c>
      <c r="I4" s="272"/>
      <c r="J4" s="272"/>
      <c r="K4" s="270" t="s">
        <v>309</v>
      </c>
      <c r="L4" s="270"/>
      <c r="M4" s="270"/>
      <c r="N4" s="270" t="s">
        <v>331</v>
      </c>
      <c r="O4" s="270"/>
      <c r="P4" s="270"/>
    </row>
    <row r="5" spans="1:36" x14ac:dyDescent="0.25">
      <c r="A5" s="271"/>
      <c r="B5" s="271"/>
      <c r="C5" s="65" t="s">
        <v>312</v>
      </c>
      <c r="D5" s="273" t="s">
        <v>314</v>
      </c>
      <c r="E5" s="273"/>
      <c r="F5" s="273"/>
      <c r="G5" s="273"/>
      <c r="H5" s="273" t="s">
        <v>315</v>
      </c>
      <c r="I5" s="273"/>
      <c r="J5" s="273"/>
      <c r="K5" s="271" t="s">
        <v>314</v>
      </c>
      <c r="L5" s="271"/>
      <c r="M5" s="271"/>
      <c r="N5" s="271" t="s">
        <v>315</v>
      </c>
      <c r="O5" s="271"/>
      <c r="P5" s="271"/>
    </row>
    <row r="6" spans="1:36" x14ac:dyDescent="0.25">
      <c r="A6" s="78" t="s">
        <v>332</v>
      </c>
      <c r="B6" s="78" t="s">
        <v>318</v>
      </c>
      <c r="C6" s="65" t="s">
        <v>328</v>
      </c>
      <c r="D6" s="66">
        <f>'Snapshot (Volume)'!B6</f>
        <v>46168</v>
      </c>
      <c r="E6" s="66" t="s">
        <v>368</v>
      </c>
      <c r="F6" s="71" t="s">
        <v>333</v>
      </c>
      <c r="G6" s="71" t="s">
        <v>328</v>
      </c>
      <c r="H6" s="66">
        <f>D6</f>
        <v>46168</v>
      </c>
      <c r="I6" s="71" t="s">
        <v>322</v>
      </c>
      <c r="J6" s="71" t="s">
        <v>328</v>
      </c>
      <c r="K6" s="66">
        <f>D6</f>
        <v>46168</v>
      </c>
      <c r="L6" s="78" t="s">
        <v>333</v>
      </c>
      <c r="M6" s="78" t="s">
        <v>328</v>
      </c>
      <c r="N6" s="66">
        <f>D6</f>
        <v>46168</v>
      </c>
      <c r="O6" s="78" t="s">
        <v>322</v>
      </c>
      <c r="P6" s="78" t="s">
        <v>328</v>
      </c>
    </row>
    <row r="7" spans="1:36" x14ac:dyDescent="0.25">
      <c r="A7" s="79" t="str">
        <f>'Data shares'!B2</f>
        <v>Finance</v>
      </c>
      <c r="B7" s="79" t="str">
        <f>'Data shares'!C2</f>
        <v>360ONE</v>
      </c>
      <c r="C7" s="79">
        <f>VLOOKUP($B7,'Data shares'!$C:$FB,7)</f>
        <v>1125.3</v>
      </c>
      <c r="D7" s="165">
        <f>VLOOKUP($B7,'Data shares'!$C:$FB,98)</f>
        <v>5321000</v>
      </c>
      <c r="E7" s="165">
        <f>VLOOKUP(B7,'Snapshot (Volume)'!$A$7:$G$168,7,0)</f>
        <v>7181000</v>
      </c>
      <c r="F7" s="165">
        <f>D7-E7</f>
        <v>-1860000</v>
      </c>
      <c r="G7" s="166">
        <f>F7/E7</f>
        <v>-0.25901685002088848</v>
      </c>
      <c r="H7" s="165">
        <f>VLOOKUP($B7,'Data shares'!$C:$FB,66)</f>
        <v>4819500</v>
      </c>
      <c r="I7" s="165">
        <f>VLOOKUP($B7,'Data shares'!$C:$FB,67)</f>
        <v>6725500</v>
      </c>
      <c r="J7" s="81">
        <f>(H7-I7)/I7*100</f>
        <v>-28.339900379153963</v>
      </c>
      <c r="K7" s="81">
        <f>VLOOKUP($B7,'Data Vlaue (Cr)'!$C:$FB,99)</f>
        <v>603</v>
      </c>
      <c r="L7" s="81">
        <f>VLOOKUP(B7,'OI(Value)'!$A$7:$C$232,3,0)</f>
        <v>-211</v>
      </c>
      <c r="M7" s="81">
        <f t="shared" ref="M7:M36" si="0">L7/K7*100</f>
        <v>-34.991708126036485</v>
      </c>
      <c r="N7" s="81">
        <f>VLOOKUP($B7,'Data Vlaue (Cr)'!$C:$FB,67)</f>
        <v>547</v>
      </c>
      <c r="O7" s="81">
        <f>VLOOKUP($B7,'Data Vlaue (Cr)'!$C:$FB,68)</f>
        <v>763</v>
      </c>
      <c r="P7" s="81">
        <f t="shared" ref="P7:P23" si="1">(N7-O7)/N7*100</f>
        <v>-39.488117001828158</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6804</v>
      </c>
      <c r="D8" s="165">
        <f>VLOOKUP($B8,'Data shares'!$C:$FB,98)</f>
        <v>3501750</v>
      </c>
      <c r="E8" s="165">
        <f>VLOOKUP(B8,'Snapshot (Volume)'!$A$7:$G$168,7,0)</f>
        <v>5883500</v>
      </c>
      <c r="F8" s="165">
        <f t="shared" ref="F8:F23" si="2">D8-E8</f>
        <v>-2381750</v>
      </c>
      <c r="G8" s="166">
        <f t="shared" ref="G8:G23" si="3">F8/E8</f>
        <v>-0.40481856038072578</v>
      </c>
      <c r="H8" s="165">
        <f>VLOOKUP($B8,'Data shares'!$C:$FB,66)</f>
        <v>3326000</v>
      </c>
      <c r="I8" s="165">
        <f>VLOOKUP($B8,'Data shares'!$C:$FB,67)</f>
        <v>7660125</v>
      </c>
      <c r="J8" s="81">
        <f t="shared" ref="J8:J22" si="4">(H8-I8)/I8*100</f>
        <v>-56.580343010068376</v>
      </c>
      <c r="K8" s="81">
        <f>VLOOKUP($B8,'Data Vlaue (Cr)'!$C:$FB,99)</f>
        <v>2376</v>
      </c>
      <c r="L8" s="81">
        <f>VLOOKUP(B8,'OI(Value)'!$A$7:$C$232,3,0)</f>
        <v>-1616</v>
      </c>
      <c r="M8" s="81">
        <f t="shared" si="0"/>
        <v>-68.013468013468014</v>
      </c>
      <c r="N8" s="81">
        <f>VLOOKUP($B8,'Data Vlaue (Cr)'!$C:$FB,67)</f>
        <v>2257</v>
      </c>
      <c r="O8" s="81">
        <f>VLOOKUP($B8,'Data Vlaue (Cr)'!$C:$FB,68)</f>
        <v>5197</v>
      </c>
      <c r="P8" s="81">
        <f t="shared" si="1"/>
        <v>-130.26140894993355</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363.05</v>
      </c>
      <c r="D9" s="165">
        <f>VLOOKUP($B9,'Data shares'!$C:$FB,98)</f>
        <v>66640700</v>
      </c>
      <c r="E9" s="165">
        <f>VLOOKUP(B9,'Snapshot (Volume)'!$A$7:$G$168,7,0)</f>
        <v>87271200</v>
      </c>
      <c r="F9" s="165">
        <f t="shared" si="2"/>
        <v>-20630500</v>
      </c>
      <c r="G9" s="166">
        <f t="shared" si="3"/>
        <v>-0.23639528275078148</v>
      </c>
      <c r="H9" s="165">
        <f>VLOOKUP($B9,'Data shares'!$C:$FB,66)</f>
        <v>32612000</v>
      </c>
      <c r="I9" s="165">
        <f>VLOOKUP($B9,'Data shares'!$C:$FB,67)</f>
        <v>67322700</v>
      </c>
      <c r="J9" s="81">
        <f t="shared" si="4"/>
        <v>-51.558686743104474</v>
      </c>
      <c r="K9" s="81">
        <f>VLOOKUP($B9,'Data Vlaue (Cr)'!$C:$FB,99)</f>
        <v>2431</v>
      </c>
      <c r="L9" s="81">
        <f>VLOOKUP(B9,'OI(Value)'!$A$7:$C$232,3,0)</f>
        <v>-753</v>
      </c>
      <c r="M9" s="81">
        <f t="shared" si="0"/>
        <v>-30.974907445495681</v>
      </c>
      <c r="N9" s="81">
        <f>VLOOKUP($B9,'Data Vlaue (Cr)'!$C:$FB,67)</f>
        <v>1190</v>
      </c>
      <c r="O9" s="81">
        <f>VLOOKUP($B9,'Data Vlaue (Cr)'!$C:$FB,68)</f>
        <v>2456</v>
      </c>
      <c r="P9" s="81">
        <f t="shared" si="1"/>
        <v>-106.38655462184875</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1463.3</v>
      </c>
      <c r="D10" s="82">
        <f>VLOOKUP($B10,'Data shares'!$C:$FB,98)</f>
        <v>24331050</v>
      </c>
      <c r="E10" s="165">
        <f>VLOOKUP(B10,'Snapshot (Volume)'!$A$7:$G$168,7,0)</f>
        <v>31290975</v>
      </c>
      <c r="F10" s="165">
        <f t="shared" si="2"/>
        <v>-6959925</v>
      </c>
      <c r="G10" s="166">
        <f t="shared" si="3"/>
        <v>-0.22242595508768903</v>
      </c>
      <c r="H10" s="165">
        <f>VLOOKUP($B10,'Data shares'!$C:$FB,66)</f>
        <v>30981150</v>
      </c>
      <c r="I10" s="165">
        <f>VLOOKUP($B10,'Data shares'!$C:$FB,67)</f>
        <v>41207400</v>
      </c>
      <c r="J10" s="81">
        <f t="shared" si="4"/>
        <v>-24.81653780631634</v>
      </c>
      <c r="K10" s="5">
        <f>VLOOKUP($B10,'Data Vlaue (Cr)'!$C:$FB,99)</f>
        <v>3575</v>
      </c>
      <c r="L10" s="81">
        <f>VLOOKUP(B10,'OI(Value)'!$A$7:$C$232,3,0)</f>
        <v>-1023</v>
      </c>
      <c r="M10" s="33">
        <f t="shared" si="0"/>
        <v>-28.615384615384613</v>
      </c>
      <c r="N10" s="5">
        <f>VLOOKUP($B10,'Data Vlaue (Cr)'!$C:$FB,67)</f>
        <v>4552</v>
      </c>
      <c r="O10" s="5">
        <f>VLOOKUP($B10,'Data Vlaue (Cr)'!$C:$FB,68)</f>
        <v>6055</v>
      </c>
      <c r="P10" s="5">
        <f t="shared" si="1"/>
        <v>-33.018453427065026</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2969.3</v>
      </c>
      <c r="D11" s="82">
        <f>VLOOKUP($B11,'Data shares'!$C:$FB,98)</f>
        <v>28415022</v>
      </c>
      <c r="E11" s="165">
        <f>VLOOKUP(B11,'Snapshot (Volume)'!$A$7:$G$168,7,0)</f>
        <v>39496071</v>
      </c>
      <c r="F11" s="165">
        <f t="shared" si="2"/>
        <v>-11081049</v>
      </c>
      <c r="G11" s="166">
        <f t="shared" si="3"/>
        <v>-0.2805607929963464</v>
      </c>
      <c r="H11" s="165">
        <f>VLOOKUP($B11,'Data shares'!$C:$FB,66)</f>
        <v>57575970</v>
      </c>
      <c r="I11" s="165">
        <f>VLOOKUP($B11,'Data shares'!$C:$FB,67)</f>
        <v>83879286</v>
      </c>
      <c r="J11" s="81">
        <f t="shared" si="4"/>
        <v>-31.358535884532923</v>
      </c>
      <c r="K11" s="5">
        <f>VLOOKUP($B11,'Data Vlaue (Cr)'!$C:$FB,99)</f>
        <v>8485</v>
      </c>
      <c r="L11" s="81">
        <f>VLOOKUP(B11,'OI(Value)'!$A$7:$C$232,3,0)</f>
        <v>-3309</v>
      </c>
      <c r="M11" s="33">
        <f t="shared" si="0"/>
        <v>-38.998232174425453</v>
      </c>
      <c r="N11" s="5">
        <f>VLOOKUP($B11,'Data Vlaue (Cr)'!$C:$FB,67)</f>
        <v>17192</v>
      </c>
      <c r="O11" s="5">
        <f>VLOOKUP($B11,'Data Vlaue (Cr)'!$C:$FB,68)</f>
        <v>25046</v>
      </c>
      <c r="P11" s="5">
        <f t="shared" si="1"/>
        <v>-45.68403908794788</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1457.4</v>
      </c>
      <c r="D12" s="82">
        <f>VLOOKUP($B12,'Data shares'!$C:$FB,98)</f>
        <v>28196400</v>
      </c>
      <c r="E12" s="165">
        <f>VLOOKUP(B12,'Snapshot (Volume)'!$A$7:$G$168,7,0)</f>
        <v>40557600</v>
      </c>
      <c r="F12" s="165">
        <f t="shared" si="2"/>
        <v>-12361200</v>
      </c>
      <c r="G12" s="166">
        <f t="shared" si="3"/>
        <v>-0.30478134800875789</v>
      </c>
      <c r="H12" s="165">
        <f>VLOOKUP($B12,'Data shares'!$C:$FB,66)</f>
        <v>46539000</v>
      </c>
      <c r="I12" s="165">
        <f>VLOOKUP($B12,'Data shares'!$C:$FB,67)</f>
        <v>60339600</v>
      </c>
      <c r="J12" s="81">
        <f t="shared" si="4"/>
        <v>-22.871547043732473</v>
      </c>
      <c r="K12" s="5">
        <f>VLOOKUP($B12,'Data Vlaue (Cr)'!$C:$FB,99)</f>
        <v>4140</v>
      </c>
      <c r="L12" s="81">
        <f>VLOOKUP(B12,'OI(Value)'!$A$7:$C$232,3,0)</f>
        <v>-1815</v>
      </c>
      <c r="M12" s="33">
        <f t="shared" si="0"/>
        <v>-43.840579710144929</v>
      </c>
      <c r="N12" s="5">
        <f>VLOOKUP($B12,'Data Vlaue (Cr)'!$C:$FB,67)</f>
        <v>6834</v>
      </c>
      <c r="O12" s="5">
        <f>VLOOKUP($B12,'Data Vlaue (Cr)'!$C:$FB,68)</f>
        <v>8860</v>
      </c>
      <c r="P12" s="5">
        <f t="shared" si="1"/>
        <v>-29.64588820602868</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1811.2</v>
      </c>
      <c r="D13" s="82">
        <f>VLOOKUP($B13,'Data shares'!$C:$FB,98)</f>
        <v>27310125</v>
      </c>
      <c r="E13" s="165">
        <f>VLOOKUP(B13,'Snapshot (Volume)'!$A$7:$G$168,7,0)</f>
        <v>41012925</v>
      </c>
      <c r="F13" s="165">
        <f t="shared" si="2"/>
        <v>-13702800</v>
      </c>
      <c r="G13" s="166">
        <f t="shared" si="3"/>
        <v>-0.33410930822417567</v>
      </c>
      <c r="H13" s="165">
        <f>VLOOKUP($B13,'Data shares'!$C:$FB,66)</f>
        <v>23068850</v>
      </c>
      <c r="I13" s="165">
        <f>VLOOKUP($B13,'Data shares'!$C:$FB,67)</f>
        <v>46546200</v>
      </c>
      <c r="J13" s="81">
        <f t="shared" si="4"/>
        <v>-50.438811331537266</v>
      </c>
      <c r="K13" s="5">
        <f>VLOOKUP($B13,'Data Vlaue (Cr)'!$C:$FB,99)</f>
        <v>4961</v>
      </c>
      <c r="L13" s="81">
        <f>VLOOKUP(B13,'OI(Value)'!$A$7:$C$232,3,0)</f>
        <v>-2489</v>
      </c>
      <c r="M13" s="33">
        <f t="shared" si="0"/>
        <v>-50.171336424108034</v>
      </c>
      <c r="N13" s="5">
        <f>VLOOKUP($B13,'Data Vlaue (Cr)'!$C:$FB,67)</f>
        <v>4191</v>
      </c>
      <c r="O13" s="5">
        <f>VLOOKUP($B13,'Data Vlaue (Cr)'!$C:$FB,68)</f>
        <v>8456</v>
      </c>
      <c r="P13" s="5">
        <f t="shared" si="1"/>
        <v>-101.76568837986161</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Power</v>
      </c>
      <c r="B14" s="79" t="str">
        <f>'Data shares'!C9</f>
        <v>ADANIPOWER</v>
      </c>
      <c r="C14" s="4">
        <f>VLOOKUP($B14,'Data shares'!$C:$FB,7)</f>
        <v>244.53</v>
      </c>
      <c r="D14" s="82">
        <f>VLOOKUP($B14,'Data shares'!$C:$FB,98)</f>
        <v>139749300</v>
      </c>
      <c r="E14" s="165">
        <f>VLOOKUP(B14,'Snapshot (Volume)'!$A$7:$G$168,7,0)</f>
        <v>168550450</v>
      </c>
      <c r="F14" s="165">
        <f t="shared" si="2"/>
        <v>-28801150</v>
      </c>
      <c r="G14" s="166">
        <f t="shared" si="3"/>
        <v>-0.17087554497777965</v>
      </c>
      <c r="H14" s="165">
        <f>VLOOKUP($B14,'Data shares'!$C:$FB,66)</f>
        <v>371720500</v>
      </c>
      <c r="I14" s="165">
        <f>VLOOKUP($B14,'Data shares'!$C:$FB,67)</f>
        <v>449341250</v>
      </c>
      <c r="J14" s="81">
        <f t="shared" si="4"/>
        <v>-17.274343274738296</v>
      </c>
      <c r="K14" s="5">
        <f>VLOOKUP($B14,'Data Vlaue (Cr)'!$C:$FB,99)</f>
        <v>3445</v>
      </c>
      <c r="L14" s="81">
        <f>VLOOKUP(B14,'OI(Value)'!$A$7:$C$232,3,0)</f>
        <v>-710</v>
      </c>
      <c r="M14" s="33">
        <f t="shared" si="0"/>
        <v>-20.609579100145137</v>
      </c>
      <c r="N14" s="5">
        <f>VLOOKUP($B14,'Data Vlaue (Cr)'!$C:$FB,67)</f>
        <v>9163</v>
      </c>
      <c r="O14" s="5">
        <f>VLOOKUP($B14,'Data Vlaue (Cr)'!$C:$FB,68)</f>
        <v>11076</v>
      </c>
      <c r="P14" s="5">
        <f t="shared" si="1"/>
        <v>-20.877441885845247</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Pharma</v>
      </c>
      <c r="B15" s="79" t="str">
        <f>'Data shares'!C10</f>
        <v>ALKEM</v>
      </c>
      <c r="C15" s="4">
        <f>VLOOKUP($B15,'Data shares'!$C:$FB,7)</f>
        <v>5380</v>
      </c>
      <c r="D15" s="82">
        <f>VLOOKUP($B15,'Data shares'!$C:$FB,98)</f>
        <v>1427125</v>
      </c>
      <c r="E15" s="165">
        <f>VLOOKUP(B15,'Snapshot (Volume)'!$A$7:$G$168,7,0)</f>
        <v>1869500</v>
      </c>
      <c r="F15" s="165">
        <f t="shared" si="2"/>
        <v>-442375</v>
      </c>
      <c r="G15" s="166">
        <f t="shared" si="3"/>
        <v>-0.23662744049211018</v>
      </c>
      <c r="H15" s="165">
        <f>VLOOKUP($B15,'Data shares'!$C:$FB,66)</f>
        <v>1604500</v>
      </c>
      <c r="I15" s="165">
        <f>VLOOKUP($B15,'Data shares'!$C:$FB,67)</f>
        <v>1596875</v>
      </c>
      <c r="J15" s="81">
        <f t="shared" si="4"/>
        <v>0.47749510763209396</v>
      </c>
      <c r="K15" s="5">
        <f>VLOOKUP($B15,'Data Vlaue (Cr)'!$C:$FB,99)</f>
        <v>774</v>
      </c>
      <c r="L15" s="81">
        <f>VLOOKUP(B15,'OI(Value)'!$A$7:$C$232,3,0)</f>
        <v>-240</v>
      </c>
      <c r="M15" s="33">
        <f t="shared" si="0"/>
        <v>-31.007751937984494</v>
      </c>
      <c r="N15" s="5">
        <f>VLOOKUP($B15,'Data Vlaue (Cr)'!$C:$FB,67)</f>
        <v>870</v>
      </c>
      <c r="O15" s="5">
        <f>VLOOKUP($B15,'Data Vlaue (Cr)'!$C:$FB,68)</f>
        <v>866</v>
      </c>
      <c r="P15" s="5">
        <f t="shared" si="1"/>
        <v>0.45977011494252873</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Capital_Goods</v>
      </c>
      <c r="B16" s="79" t="str">
        <f>'Data shares'!C11</f>
        <v>AMBER</v>
      </c>
      <c r="C16" s="4">
        <f>VLOOKUP($B16,'Data shares'!$C:$FB,7)</f>
        <v>7312</v>
      </c>
      <c r="D16" s="82">
        <f>VLOOKUP($B16,'Data shares'!$C:$FB,98)</f>
        <v>4963900</v>
      </c>
      <c r="E16" s="165">
        <f>VLOOKUP(B16,'Snapshot (Volume)'!$A$7:$G$168,7,0)</f>
        <v>8243900</v>
      </c>
      <c r="F16" s="165">
        <f t="shared" si="2"/>
        <v>-3280000</v>
      </c>
      <c r="G16" s="166">
        <f t="shared" si="3"/>
        <v>-0.39786994019820715</v>
      </c>
      <c r="H16" s="165">
        <f>VLOOKUP($B16,'Data shares'!$C:$FB,66)</f>
        <v>7051200</v>
      </c>
      <c r="I16" s="165">
        <f>VLOOKUP($B16,'Data shares'!$C:$FB,67)</f>
        <v>12365100</v>
      </c>
      <c r="J16" s="81">
        <f t="shared" si="4"/>
        <v>-42.974986049445619</v>
      </c>
      <c r="K16" s="5">
        <f>VLOOKUP($B16,'Data Vlaue (Cr)'!$C:$FB,99)</f>
        <v>3662</v>
      </c>
      <c r="L16" s="81">
        <f>VLOOKUP(B16,'OI(Value)'!$A$7:$C$232,3,0)</f>
        <v>-2420</v>
      </c>
      <c r="M16" s="33">
        <f t="shared" si="0"/>
        <v>-66.084107045330427</v>
      </c>
      <c r="N16" s="5">
        <f>VLOOKUP($B16,'Data Vlaue (Cr)'!$C:$FB,67)</f>
        <v>5202</v>
      </c>
      <c r="O16" s="5">
        <f>VLOOKUP($B16,'Data Vlaue (Cr)'!$C:$FB,68)</f>
        <v>9122</v>
      </c>
      <c r="P16" s="5">
        <f t="shared" si="1"/>
        <v>-75.355632449058049</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Cement</v>
      </c>
      <c r="B17" s="79" t="str">
        <f>'Data shares'!C12</f>
        <v>AMBUJACEM</v>
      </c>
      <c r="C17" s="4">
        <f>VLOOKUP($B17,'Data shares'!$C:$FB,7)</f>
        <v>449.7</v>
      </c>
      <c r="D17" s="82">
        <f>VLOOKUP($B17,'Data shares'!$C:$FB,98)</f>
        <v>86918250</v>
      </c>
      <c r="E17" s="165">
        <f>VLOOKUP(B17,'Snapshot (Volume)'!$A$7:$G$168,7,0)</f>
        <v>102726300</v>
      </c>
      <c r="F17" s="165">
        <f t="shared" si="2"/>
        <v>-15808050</v>
      </c>
      <c r="G17" s="166">
        <f t="shared" si="3"/>
        <v>-0.15388512970875035</v>
      </c>
      <c r="H17" s="165">
        <f>VLOOKUP($B17,'Data shares'!$C:$FB,66)</f>
        <v>71360100</v>
      </c>
      <c r="I17" s="165">
        <f>VLOOKUP($B17,'Data shares'!$C:$FB,67)</f>
        <v>61493250</v>
      </c>
      <c r="J17" s="81">
        <f t="shared" si="4"/>
        <v>16.0454196192265</v>
      </c>
      <c r="K17" s="5">
        <f>VLOOKUP($B17,'Data Vlaue (Cr)'!$C:$FB,99)</f>
        <v>3922</v>
      </c>
      <c r="L17" s="81">
        <f>VLOOKUP(B17,'OI(Value)'!$A$7:$C$232,3,0)</f>
        <v>-713</v>
      </c>
      <c r="M17" s="33">
        <f t="shared" si="0"/>
        <v>-18.179500254971952</v>
      </c>
      <c r="N17" s="5">
        <f>VLOOKUP($B17,'Data Vlaue (Cr)'!$C:$FB,67)</f>
        <v>3220</v>
      </c>
      <c r="O17" s="5">
        <f>VLOOKUP($B17,'Data Vlaue (Cr)'!$C:$FB,68)</f>
        <v>2775</v>
      </c>
      <c r="P17" s="5">
        <f t="shared" si="1"/>
        <v>13.819875776397517</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Finance</v>
      </c>
      <c r="B18" s="79" t="str">
        <f>'Data shares'!C13</f>
        <v>ANGELONE</v>
      </c>
      <c r="C18" s="4">
        <f>VLOOKUP($B18,'Data shares'!$C:$FB,7)</f>
        <v>344.45</v>
      </c>
      <c r="D18" s="82">
        <f>VLOOKUP($B18,'Data shares'!$C:$FB,98)</f>
        <v>38817500</v>
      </c>
      <c r="E18" s="165">
        <f>VLOOKUP(B18,'Snapshot (Volume)'!$A$7:$G$168,7,0)</f>
        <v>69337500</v>
      </c>
      <c r="F18" s="165">
        <f t="shared" si="2"/>
        <v>-30520000</v>
      </c>
      <c r="G18" s="166">
        <f t="shared" si="3"/>
        <v>-0.44016585541734271</v>
      </c>
      <c r="H18" s="165">
        <f>VLOOKUP($B18,'Data shares'!$C:$FB,66)</f>
        <v>63477500</v>
      </c>
      <c r="I18" s="165">
        <f>VLOOKUP($B18,'Data shares'!$C:$FB,67)</f>
        <v>117345000</v>
      </c>
      <c r="J18" s="81">
        <f t="shared" si="4"/>
        <v>-45.90523669521496</v>
      </c>
      <c r="K18" s="5">
        <f>VLOOKUP($B18,'Data Vlaue (Cr)'!$C:$FB,99)</f>
        <v>1344</v>
      </c>
      <c r="L18" s="81">
        <f>VLOOKUP(B18,'OI(Value)'!$A$7:$C$232,3,0)</f>
        <v>-1057</v>
      </c>
      <c r="M18" s="33">
        <f t="shared" si="0"/>
        <v>-78.645833333333343</v>
      </c>
      <c r="N18" s="5">
        <f>VLOOKUP($B18,'Data Vlaue (Cr)'!$C:$FB,67)</f>
        <v>2198</v>
      </c>
      <c r="O18" s="5">
        <f>VLOOKUP($B18,'Data Vlaue (Cr)'!$C:$FB,68)</f>
        <v>4062</v>
      </c>
      <c r="P18" s="5">
        <f t="shared" si="1"/>
        <v>-84.804367606915378</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Metals</v>
      </c>
      <c r="B19" s="79" t="str">
        <f>'Data shares'!C14</f>
        <v>APLAPOLLO</v>
      </c>
      <c r="C19" s="4">
        <f>VLOOKUP($B19,'Data shares'!$C:$FB,7)</f>
        <v>1874.1</v>
      </c>
      <c r="D19" s="82">
        <f>VLOOKUP($B19,'Data shares'!$C:$FB,98)</f>
        <v>6459600</v>
      </c>
      <c r="E19" s="165">
        <f>VLOOKUP(B19,'Snapshot (Volume)'!$A$7:$G$168,7,0)</f>
        <v>8925000</v>
      </c>
      <c r="F19" s="165">
        <f t="shared" si="2"/>
        <v>-2465400</v>
      </c>
      <c r="G19" s="166">
        <f t="shared" si="3"/>
        <v>-0.27623529411764708</v>
      </c>
      <c r="H19" s="165">
        <f>VLOOKUP($B19,'Data shares'!$C:$FB,66)</f>
        <v>6525750</v>
      </c>
      <c r="I19" s="165">
        <f>VLOOKUP($B19,'Data shares'!$C:$FB,67)</f>
        <v>6941550</v>
      </c>
      <c r="J19" s="81">
        <f t="shared" si="4"/>
        <v>-5.9900166389351082</v>
      </c>
      <c r="K19" s="5">
        <f>VLOOKUP($B19,'Data Vlaue (Cr)'!$C:$FB,99)</f>
        <v>1217</v>
      </c>
      <c r="L19" s="81">
        <f>VLOOKUP(B19,'OI(Value)'!$A$7:$C$232,3,0)</f>
        <v>-464</v>
      </c>
      <c r="M19" s="33">
        <f t="shared" si="0"/>
        <v>-38.126540673788</v>
      </c>
      <c r="N19" s="5">
        <f>VLOOKUP($B19,'Data Vlaue (Cr)'!$C:$FB,67)</f>
        <v>1229</v>
      </c>
      <c r="O19" s="5">
        <f>VLOOKUP($B19,'Data Vlaue (Cr)'!$C:$FB,68)</f>
        <v>1308</v>
      </c>
      <c r="P19" s="5">
        <f t="shared" si="1"/>
        <v>-6.4279902359641987</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Pharma</v>
      </c>
      <c r="B20" s="79" t="str">
        <f>'Data shares'!C15</f>
        <v>APOLLOHOSP</v>
      </c>
      <c r="C20" s="4">
        <f>VLOOKUP($B20,'Data shares'!$C:$FB,7)</f>
        <v>8258.5</v>
      </c>
      <c r="D20" s="82">
        <f>VLOOKUP($B20,'Data shares'!$C:$FB,98)</f>
        <v>2733500</v>
      </c>
      <c r="E20" s="165">
        <f>VLOOKUP(B20,'Snapshot (Volume)'!$A$7:$G$168,7,0)</f>
        <v>4885250</v>
      </c>
      <c r="F20" s="165">
        <f t="shared" si="2"/>
        <v>-2151750</v>
      </c>
      <c r="G20" s="166">
        <f t="shared" si="3"/>
        <v>-0.44045852310526584</v>
      </c>
      <c r="H20" s="165">
        <f>VLOOKUP($B20,'Data shares'!$C:$FB,66)</f>
        <v>3564000</v>
      </c>
      <c r="I20" s="165">
        <f>VLOOKUP($B20,'Data shares'!$C:$FB,67)</f>
        <v>5913750</v>
      </c>
      <c r="J20" s="81">
        <f t="shared" si="4"/>
        <v>-39.733671528218132</v>
      </c>
      <c r="K20" s="5">
        <f>VLOOKUP($B20,'Data Vlaue (Cr)'!$C:$FB,99)</f>
        <v>2273</v>
      </c>
      <c r="L20" s="81">
        <f>VLOOKUP(B20,'OI(Value)'!$A$7:$C$232,3,0)</f>
        <v>-1789</v>
      </c>
      <c r="M20" s="33">
        <f t="shared" si="0"/>
        <v>-78.706555213374401</v>
      </c>
      <c r="N20" s="5">
        <f>VLOOKUP($B20,'Data Vlaue (Cr)'!$C:$FB,67)</f>
        <v>2963</v>
      </c>
      <c r="O20" s="5">
        <f>VLOOKUP($B20,'Data Vlaue (Cr)'!$C:$FB,68)</f>
        <v>4917</v>
      </c>
      <c r="P20" s="5">
        <f t="shared" si="1"/>
        <v>-65.946675666554171</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Automobile</v>
      </c>
      <c r="B21" s="79" t="str">
        <f>'Data shares'!C16</f>
        <v>ASHOKLEY</v>
      </c>
      <c r="C21" s="4">
        <f>VLOOKUP($B21,'Data shares'!$C:$FB,7)</f>
        <v>160.54</v>
      </c>
      <c r="D21" s="82">
        <f>VLOOKUP($B21,'Data shares'!$C:$FB,98)</f>
        <v>263205000</v>
      </c>
      <c r="E21" s="165">
        <f>VLOOKUP(B21,'Snapshot (Volume)'!$A$7:$G$168,7,0)</f>
        <v>363310000</v>
      </c>
      <c r="F21" s="165">
        <f t="shared" si="2"/>
        <v>-100105000</v>
      </c>
      <c r="G21" s="166">
        <f t="shared" si="3"/>
        <v>-0.2755360435991302</v>
      </c>
      <c r="H21" s="165">
        <f>VLOOKUP($B21,'Data shares'!$C:$FB,66)</f>
        <v>209260000</v>
      </c>
      <c r="I21" s="165">
        <f>VLOOKUP($B21,'Data shares'!$C:$FB,67)</f>
        <v>513735000</v>
      </c>
      <c r="J21" s="81">
        <f t="shared" si="4"/>
        <v>-59.266937234177149</v>
      </c>
      <c r="K21" s="5">
        <f>VLOOKUP($B21,'Data Vlaue (Cr)'!$C:$FB,99)</f>
        <v>4231</v>
      </c>
      <c r="L21" s="81">
        <f>VLOOKUP(B21,'OI(Value)'!$A$7:$C$232,3,0)</f>
        <v>-1609</v>
      </c>
      <c r="M21" s="33">
        <f t="shared" si="0"/>
        <v>-38.028834790829592</v>
      </c>
      <c r="N21" s="5">
        <f>VLOOKUP($B21,'Data Vlaue (Cr)'!$C:$FB,67)</f>
        <v>3364</v>
      </c>
      <c r="O21" s="5">
        <f>VLOOKUP($B21,'Data Vlaue (Cr)'!$C:$FB,68)</f>
        <v>8258</v>
      </c>
      <c r="P21" s="5">
        <f t="shared" si="1"/>
        <v>-145.48156956004757</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FMCG</v>
      </c>
      <c r="B22" s="79" t="str">
        <f>'Data shares'!C17</f>
        <v>ASIANPAINT</v>
      </c>
      <c r="C22" s="4">
        <f>VLOOKUP($B22,'Data shares'!$C:$FB,7)</f>
        <v>2647</v>
      </c>
      <c r="D22" s="82">
        <f>VLOOKUP($B22,'Data shares'!$C:$FB,98)</f>
        <v>14338750</v>
      </c>
      <c r="E22" s="165">
        <f>VLOOKUP(B22,'Snapshot (Volume)'!$A$7:$G$168,7,0)</f>
        <v>25281250</v>
      </c>
      <c r="F22" s="165">
        <f t="shared" si="2"/>
        <v>-10942500</v>
      </c>
      <c r="G22" s="166">
        <f t="shared" si="3"/>
        <v>-0.43283065512978985</v>
      </c>
      <c r="H22" s="165">
        <f>VLOOKUP($B22,'Data shares'!$C:$FB,66)</f>
        <v>13047250</v>
      </c>
      <c r="I22" s="165">
        <f>VLOOKUP($B22,'Data shares'!$C:$FB,67)</f>
        <v>30847250</v>
      </c>
      <c r="J22" s="81">
        <f t="shared" si="4"/>
        <v>-57.703685093484836</v>
      </c>
      <c r="K22" s="5">
        <f>VLOOKUP($B22,'Data Vlaue (Cr)'!$C:$FB,99)</f>
        <v>3795</v>
      </c>
      <c r="L22" s="81">
        <f>VLOOKUP(B22,'OI(Value)'!$A$7:$C$232,3,0)</f>
        <v>-2896</v>
      </c>
      <c r="M22" s="33">
        <f t="shared" si="0"/>
        <v>-76.310935441370219</v>
      </c>
      <c r="N22" s="5">
        <f>VLOOKUP($B22,'Data Vlaue (Cr)'!$C:$FB,67)</f>
        <v>3453</v>
      </c>
      <c r="O22" s="5">
        <f>VLOOKUP($B22,'Data Vlaue (Cr)'!$C:$FB,68)</f>
        <v>8163</v>
      </c>
      <c r="P22" s="5">
        <f t="shared" si="1"/>
        <v>-136.40312771503039</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Capital_Goods</v>
      </c>
      <c r="B23" s="79" t="str">
        <f>'Data shares'!C18</f>
        <v>ASTRAL</v>
      </c>
      <c r="C23" s="4">
        <f>VLOOKUP($B23,'Data shares'!$C:$FB,7)</f>
        <v>1578.8</v>
      </c>
      <c r="D23" s="82">
        <f>VLOOKUP($B23,'Data shares'!$C:$FB,98)</f>
        <v>9464325</v>
      </c>
      <c r="E23" s="165">
        <f>VLOOKUP(B23,'Snapshot (Volume)'!$A$7:$G$168,7,0)</f>
        <v>14555825</v>
      </c>
      <c r="F23" s="165">
        <f t="shared" si="2"/>
        <v>-5091500</v>
      </c>
      <c r="G23" s="166">
        <f t="shared" si="3"/>
        <v>-0.34979123478057755</v>
      </c>
      <c r="H23" s="165">
        <f>VLOOKUP($B23,'Data shares'!$C:$FB,66)</f>
        <v>11031300</v>
      </c>
      <c r="I23" s="165">
        <f>VLOOKUP($B23,'Data shares'!$C:$FB,67)</f>
        <v>15293625</v>
      </c>
      <c r="J23" s="81">
        <f>(H23-I23)/I23*100</f>
        <v>-27.86994581075448</v>
      </c>
      <c r="K23" s="5">
        <f>VLOOKUP($B23,'Data Vlaue (Cr)'!$C:$FB,99)</f>
        <v>1482</v>
      </c>
      <c r="L23" s="81">
        <f>VLOOKUP(B23,'OI(Value)'!$A$7:$C$232,3,0)</f>
        <v>-797</v>
      </c>
      <c r="M23" s="33">
        <f t="shared" si="0"/>
        <v>-53.778677462887991</v>
      </c>
      <c r="N23" s="5">
        <f>VLOOKUP($B23,'Data Vlaue (Cr)'!$C:$FB,67)</f>
        <v>1727</v>
      </c>
      <c r="O23" s="5">
        <f>VLOOKUP($B23,'Data Vlaue (Cr)'!$C:$FB,68)</f>
        <v>2395</v>
      </c>
      <c r="P23" s="5">
        <f t="shared" si="1"/>
        <v>-38.679791546033584</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Banking</v>
      </c>
      <c r="B24" s="79" t="str">
        <f>'Data shares'!C19</f>
        <v>AUBANK</v>
      </c>
      <c r="C24" s="79">
        <f>VLOOKUP($B24,'Data shares'!$C:$FB,7)</f>
        <v>1011.8</v>
      </c>
      <c r="D24" s="80">
        <f>VLOOKUP($B24,'Data shares'!$C:$FB,98)</f>
        <v>29751000</v>
      </c>
      <c r="E24" s="165">
        <f>VLOOKUP(B24,'Snapshot (Volume)'!$A$7:$G$168,7,0)</f>
        <v>39502000</v>
      </c>
      <c r="F24" s="165">
        <f t="shared" ref="F24:F36" si="5">D24-E24</f>
        <v>-9751000</v>
      </c>
      <c r="G24" s="166">
        <f t="shared" ref="G24:G36" si="6">F24/E24</f>
        <v>-0.24684826084755201</v>
      </c>
      <c r="H24" s="165">
        <f>VLOOKUP($B24,'Data shares'!$C:$FB,66)</f>
        <v>19299000</v>
      </c>
      <c r="I24" s="165">
        <f>VLOOKUP($B24,'Data shares'!$C:$FB,67)</f>
        <v>40868000</v>
      </c>
      <c r="J24" s="81">
        <f t="shared" ref="J24:J36" si="7">(H24-I24)/I24*100</f>
        <v>-52.777234021728489</v>
      </c>
      <c r="K24" s="81">
        <f>VLOOKUP($B24,'Data Vlaue (Cr)'!$C:$FB,99)</f>
        <v>3038</v>
      </c>
      <c r="L24" s="81">
        <f>VLOOKUP(B24,'OI(Value)'!$A$7:$C$232,3,0)</f>
        <v>-996</v>
      </c>
      <c r="M24" s="81">
        <f t="shared" si="0"/>
        <v>-32.784726793943385</v>
      </c>
      <c r="N24" s="81">
        <f>VLOOKUP($B24,'Data Vlaue (Cr)'!$C:$FB,67)</f>
        <v>1970</v>
      </c>
      <c r="O24" s="81">
        <f>VLOOKUP($B24,'Data Vlaue (Cr)'!$C:$FB,68)</f>
        <v>4173</v>
      </c>
      <c r="P24" s="81">
        <f t="shared" ref="P24:P36" si="8">(N24-O24)/N24*100</f>
        <v>-111.82741116751269</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Pharma</v>
      </c>
      <c r="B25" s="79" t="str">
        <f>'Data shares'!C20</f>
        <v>AUROPHARMA</v>
      </c>
      <c r="C25" s="4">
        <f>VLOOKUP($B25,'Data shares'!$C:$FB,7)</f>
        <v>1461.2</v>
      </c>
      <c r="D25" s="82">
        <f>VLOOKUP($B25,'Data shares'!$C:$FB,98)</f>
        <v>22388850</v>
      </c>
      <c r="E25" s="165">
        <f>VLOOKUP(B25,'Snapshot (Volume)'!$A$7:$G$168,7,0)</f>
        <v>28098950</v>
      </c>
      <c r="F25" s="165">
        <f t="shared" si="5"/>
        <v>-5710100</v>
      </c>
      <c r="G25" s="166">
        <f t="shared" si="6"/>
        <v>-0.20321399909961049</v>
      </c>
      <c r="H25" s="165">
        <f>VLOOKUP($B25,'Data shares'!$C:$FB,66)</f>
        <v>11557150</v>
      </c>
      <c r="I25" s="165">
        <f>VLOOKUP($B25,'Data shares'!$C:$FB,67)</f>
        <v>22926200</v>
      </c>
      <c r="J25" s="81">
        <f t="shared" si="7"/>
        <v>-49.589770655407349</v>
      </c>
      <c r="K25" s="5">
        <f>VLOOKUP($B25,'Data Vlaue (Cr)'!$C:$FB,99)</f>
        <v>3301</v>
      </c>
      <c r="L25" s="81">
        <f>VLOOKUP(B25,'OI(Value)'!$A$7:$C$232,3,0)</f>
        <v>-842</v>
      </c>
      <c r="M25" s="33">
        <f t="shared" si="0"/>
        <v>-25.507421993335356</v>
      </c>
      <c r="N25" s="5">
        <f>VLOOKUP($B25,'Data Vlaue (Cr)'!$C:$FB,67)</f>
        <v>1704</v>
      </c>
      <c r="O25" s="5">
        <f>VLOOKUP($B25,'Data Vlaue (Cr)'!$C:$FB,68)</f>
        <v>3380</v>
      </c>
      <c r="P25" s="5">
        <f t="shared" si="8"/>
        <v>-98.356807511737088</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Banking</v>
      </c>
      <c r="B26" s="79" t="str">
        <f>'Data shares'!C21</f>
        <v>AXISBANK</v>
      </c>
      <c r="C26" s="4">
        <f>VLOOKUP($B26,'Data shares'!$C:$FB,7)</f>
        <v>1299.3</v>
      </c>
      <c r="D26" s="82">
        <f>VLOOKUP($B26,'Data shares'!$C:$FB,98)</f>
        <v>75337500</v>
      </c>
      <c r="E26" s="165">
        <f>VLOOKUP(B26,'Snapshot (Volume)'!$A$7:$G$168,7,0)</f>
        <v>103333750</v>
      </c>
      <c r="F26" s="165">
        <f t="shared" si="5"/>
        <v>-27996250</v>
      </c>
      <c r="G26" s="166">
        <f t="shared" si="6"/>
        <v>-0.2709303591517776</v>
      </c>
      <c r="H26" s="165">
        <f>VLOOKUP($B26,'Data shares'!$C:$FB,66)</f>
        <v>62730625</v>
      </c>
      <c r="I26" s="165">
        <f>VLOOKUP($B26,'Data shares'!$C:$FB,67)</f>
        <v>120286250</v>
      </c>
      <c r="J26" s="81">
        <f t="shared" si="7"/>
        <v>-47.848881314364696</v>
      </c>
      <c r="K26" s="5">
        <f>VLOOKUP($B26,'Data Vlaue (Cr)'!$C:$FB,99)</f>
        <v>9847</v>
      </c>
      <c r="L26" s="81">
        <f>VLOOKUP(B26,'OI(Value)'!$A$7:$C$232,3,0)</f>
        <v>-3659</v>
      </c>
      <c r="M26" s="33">
        <f t="shared" si="0"/>
        <v>-37.158525439220071</v>
      </c>
      <c r="N26" s="5">
        <f>VLOOKUP($B26,'Data Vlaue (Cr)'!$C:$FB,67)</f>
        <v>8199</v>
      </c>
      <c r="O26" s="5">
        <f>VLOOKUP($B26,'Data Vlaue (Cr)'!$C:$FB,68)</f>
        <v>15721</v>
      </c>
      <c r="P26" s="5">
        <f t="shared" si="8"/>
        <v>-91.742895475057935</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Automobile</v>
      </c>
      <c r="B27" s="79" t="str">
        <f>'Data shares'!C22</f>
        <v>BAJAJ-AUTO</v>
      </c>
      <c r="C27" s="4">
        <f>VLOOKUP($B27,'Data shares'!$C:$FB,7)</f>
        <v>10593</v>
      </c>
      <c r="D27" s="82">
        <f>VLOOKUP($B27,'Data shares'!$C:$FB,98)</f>
        <v>3618075</v>
      </c>
      <c r="E27" s="165">
        <f>VLOOKUP(B27,'Snapshot (Volume)'!$A$7:$G$168,7,0)</f>
        <v>6355575</v>
      </c>
      <c r="F27" s="165">
        <f t="shared" si="5"/>
        <v>-2737500</v>
      </c>
      <c r="G27" s="166">
        <f t="shared" si="6"/>
        <v>-0.43072420670041656</v>
      </c>
      <c r="H27" s="165">
        <f>VLOOKUP($B27,'Data shares'!$C:$FB,66)</f>
        <v>5704275</v>
      </c>
      <c r="I27" s="165">
        <f>VLOOKUP($B27,'Data shares'!$C:$FB,67)</f>
        <v>12952950</v>
      </c>
      <c r="J27" s="81">
        <f t="shared" si="7"/>
        <v>-55.961576320452103</v>
      </c>
      <c r="K27" s="5">
        <f>VLOOKUP($B27,'Data Vlaue (Cr)'!$C:$FB,99)</f>
        <v>3724</v>
      </c>
      <c r="L27" s="81">
        <f>VLOOKUP(B27,'OI(Value)'!$A$7:$C$232,3,0)</f>
        <v>-2817</v>
      </c>
      <c r="M27" s="33">
        <f t="shared" si="0"/>
        <v>-75.644468313641241</v>
      </c>
      <c r="N27" s="5">
        <f>VLOOKUP($B27,'Data Vlaue (Cr)'!$C:$FB,67)</f>
        <v>5871</v>
      </c>
      <c r="O27" s="5">
        <f>VLOOKUP($B27,'Data Vlaue (Cr)'!$C:$FB,68)</f>
        <v>13331</v>
      </c>
      <c r="P27" s="5">
        <f t="shared" si="8"/>
        <v>-127.06523590529721</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BAJAJFINSV</v>
      </c>
      <c r="C28" s="4">
        <f>VLOOKUP($B28,'Data shares'!$C:$FB,7)</f>
        <v>1800.7</v>
      </c>
      <c r="D28" s="82">
        <f>VLOOKUP($B28,'Data shares'!$C:$FB,98)</f>
        <v>14065650</v>
      </c>
      <c r="E28" s="165">
        <f>VLOOKUP(B28,'Snapshot (Volume)'!$A$7:$G$168,7,0)</f>
        <v>21956600</v>
      </c>
      <c r="F28" s="165">
        <f t="shared" si="5"/>
        <v>-7890950</v>
      </c>
      <c r="G28" s="166">
        <f t="shared" si="6"/>
        <v>-0.35938852099141033</v>
      </c>
      <c r="H28" s="165">
        <f>VLOOKUP($B28,'Data shares'!$C:$FB,66)</f>
        <v>8925000</v>
      </c>
      <c r="I28" s="165">
        <f>VLOOKUP($B28,'Data shares'!$C:$FB,67)</f>
        <v>22581500</v>
      </c>
      <c r="J28" s="81">
        <f t="shared" si="7"/>
        <v>-60.476496246927795</v>
      </c>
      <c r="K28" s="5">
        <f>VLOOKUP($B28,'Data Vlaue (Cr)'!$C:$FB,99)</f>
        <v>2547</v>
      </c>
      <c r="L28" s="81">
        <f>VLOOKUP(B28,'OI(Value)'!$A$7:$C$232,3,0)</f>
        <v>-1429</v>
      </c>
      <c r="M28" s="33">
        <f t="shared" si="0"/>
        <v>-56.105221829603458</v>
      </c>
      <c r="N28" s="5">
        <f>VLOOKUP($B28,'Data Vlaue (Cr)'!$C:$FB,67)</f>
        <v>1616</v>
      </c>
      <c r="O28" s="5">
        <f>VLOOKUP($B28,'Data Vlaue (Cr)'!$C:$FB,68)</f>
        <v>4089</v>
      </c>
      <c r="P28" s="5">
        <f t="shared" si="8"/>
        <v>-153.03217821782178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BAJAJHLDNG</v>
      </c>
      <c r="C29" s="4">
        <f>VLOOKUP($B29,'Data shares'!$C:$FB,7)</f>
        <v>10705</v>
      </c>
      <c r="D29" s="82">
        <f>VLOOKUP($B29,'Data shares'!$C:$FB,98)</f>
        <v>303650</v>
      </c>
      <c r="E29" s="165">
        <f>VLOOKUP(B29,'Snapshot (Volume)'!$A$7:$G$168,7,0)</f>
        <v>438950</v>
      </c>
      <c r="F29" s="165">
        <f t="shared" si="5"/>
        <v>-135300</v>
      </c>
      <c r="G29" s="166">
        <f t="shared" si="6"/>
        <v>-0.30823556213691766</v>
      </c>
      <c r="H29" s="165">
        <f>VLOOKUP($B29,'Data shares'!$C:$FB,66)</f>
        <v>459950</v>
      </c>
      <c r="I29" s="165">
        <f>VLOOKUP($B29,'Data shares'!$C:$FB,67)</f>
        <v>729500</v>
      </c>
      <c r="J29" s="81">
        <f t="shared" si="7"/>
        <v>-36.949965729952019</v>
      </c>
      <c r="K29" s="5">
        <f>VLOOKUP($B29,'Data Vlaue (Cr)'!$C:$FB,99)</f>
        <v>323</v>
      </c>
      <c r="L29" s="81">
        <f>VLOOKUP(B29,'OI(Value)'!$A$7:$C$232,3,0)</f>
        <v>-144</v>
      </c>
      <c r="M29" s="33">
        <f t="shared" si="0"/>
        <v>-44.582043343653247</v>
      </c>
      <c r="N29" s="5">
        <f>VLOOKUP($B29,'Data Vlaue (Cr)'!$C:$FB,67)</f>
        <v>489</v>
      </c>
      <c r="O29" s="5">
        <f>VLOOKUP($B29,'Data Vlaue (Cr)'!$C:$FB,68)</f>
        <v>775</v>
      </c>
      <c r="P29" s="5">
        <f t="shared" si="8"/>
        <v>-58.486707566462172</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Finance</v>
      </c>
      <c r="B30" s="79" t="str">
        <f>'Data shares'!C25</f>
        <v>BAJFINANCE</v>
      </c>
      <c r="C30" s="4">
        <f>VLOOKUP($B30,'Data shares'!$C:$FB,7)</f>
        <v>930.2</v>
      </c>
      <c r="D30" s="82">
        <f>VLOOKUP($B30,'Data shares'!$C:$FB,98)</f>
        <v>88527000</v>
      </c>
      <c r="E30" s="165">
        <f>VLOOKUP(B30,'Snapshot (Volume)'!$A$7:$G$168,7,0)</f>
        <v>103698000</v>
      </c>
      <c r="F30" s="165">
        <f t="shared" si="5"/>
        <v>-15171000</v>
      </c>
      <c r="G30" s="166">
        <f t="shared" si="6"/>
        <v>-0.14629983220505699</v>
      </c>
      <c r="H30" s="165">
        <f>VLOOKUP($B30,'Data shares'!$C:$FB,66)</f>
        <v>47604000</v>
      </c>
      <c r="I30" s="165">
        <f>VLOOKUP($B30,'Data shares'!$C:$FB,67)</f>
        <v>96652500</v>
      </c>
      <c r="J30" s="81">
        <f t="shared" si="7"/>
        <v>-50.747264685341818</v>
      </c>
      <c r="K30" s="5">
        <f>VLOOKUP($B30,'Data Vlaue (Cr)'!$C:$FB,99)</f>
        <v>8216</v>
      </c>
      <c r="L30" s="81">
        <f>VLOOKUP(B30,'OI(Value)'!$A$7:$C$232,3,0)</f>
        <v>-1408</v>
      </c>
      <c r="M30" s="33">
        <f t="shared" si="0"/>
        <v>-17.137293086660176</v>
      </c>
      <c r="N30" s="5">
        <f>VLOOKUP($B30,'Data Vlaue (Cr)'!$C:$FB,67)</f>
        <v>4418</v>
      </c>
      <c r="O30" s="5">
        <f>VLOOKUP($B30,'Data Vlaue (Cr)'!$C:$FB,68)</f>
        <v>8970</v>
      </c>
      <c r="P30" s="5">
        <f t="shared" si="8"/>
        <v>-103.03304662743322</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BANDHANBNK</v>
      </c>
      <c r="C31" s="4">
        <f>VLOOKUP($B31,'Data shares'!$C:$FB,7)</f>
        <v>200.4</v>
      </c>
      <c r="D31" s="82">
        <f>VLOOKUP($B31,'Data shares'!$C:$FB,98)</f>
        <v>133142400</v>
      </c>
      <c r="E31" s="165">
        <f>VLOOKUP(B31,'Snapshot (Volume)'!$A$7:$G$168,7,0)</f>
        <v>163540800</v>
      </c>
      <c r="F31" s="165">
        <f t="shared" si="5"/>
        <v>-30398400</v>
      </c>
      <c r="G31" s="166">
        <f t="shared" si="6"/>
        <v>-0.18587655190631328</v>
      </c>
      <c r="H31" s="165">
        <f>VLOOKUP($B31,'Data shares'!$C:$FB,66)</f>
        <v>139982400</v>
      </c>
      <c r="I31" s="165">
        <f>VLOOKUP($B31,'Data shares'!$C:$FB,67)</f>
        <v>123429600</v>
      </c>
      <c r="J31" s="81">
        <f t="shared" si="7"/>
        <v>13.410721577320189</v>
      </c>
      <c r="K31" s="5">
        <f>VLOOKUP($B31,'Data Vlaue (Cr)'!$C:$FB,99)</f>
        <v>2692</v>
      </c>
      <c r="L31" s="81">
        <f>VLOOKUP(B31,'OI(Value)'!$A$7:$C$232,3,0)</f>
        <v>-615</v>
      </c>
      <c r="M31" s="33">
        <f t="shared" si="0"/>
        <v>-22.845468053491828</v>
      </c>
      <c r="N31" s="5">
        <f>VLOOKUP($B31,'Data Vlaue (Cr)'!$C:$FB,67)</f>
        <v>2831</v>
      </c>
      <c r="O31" s="5">
        <f>VLOOKUP($B31,'Data Vlaue (Cr)'!$C:$FB,68)</f>
        <v>2496</v>
      </c>
      <c r="P31" s="5">
        <f t="shared" si="8"/>
        <v>11.833274461321087</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BANKBARODA</v>
      </c>
      <c r="C32" s="4">
        <f>VLOOKUP($B32,'Data shares'!$C:$FB,7)</f>
        <v>270.55</v>
      </c>
      <c r="D32" s="82">
        <f>VLOOKUP($B32,'Data shares'!$C:$FB,98)</f>
        <v>156695175</v>
      </c>
      <c r="E32" s="165">
        <f>VLOOKUP(B32,'Snapshot (Volume)'!$A$7:$G$168,7,0)</f>
        <v>215341425</v>
      </c>
      <c r="F32" s="165">
        <f t="shared" si="5"/>
        <v>-58646250</v>
      </c>
      <c r="G32" s="166">
        <f t="shared" si="6"/>
        <v>-0.2723407723339808</v>
      </c>
      <c r="H32" s="165">
        <f>VLOOKUP($B32,'Data shares'!$C:$FB,66)</f>
        <v>91213200</v>
      </c>
      <c r="I32" s="165">
        <f>VLOOKUP($B32,'Data shares'!$C:$FB,67)</f>
        <v>164016450</v>
      </c>
      <c r="J32" s="81">
        <f t="shared" si="7"/>
        <v>-44.38777329956843</v>
      </c>
      <c r="K32" s="5">
        <f>VLOOKUP($B32,'Data Vlaue (Cr)'!$C:$FB,99)</f>
        <v>4275</v>
      </c>
      <c r="L32" s="81">
        <f>VLOOKUP(B32,'OI(Value)'!$A$7:$C$232,3,0)</f>
        <v>-1600</v>
      </c>
      <c r="M32" s="33">
        <f t="shared" si="0"/>
        <v>-37.42690058479532</v>
      </c>
      <c r="N32" s="5">
        <f>VLOOKUP($B32,'Data Vlaue (Cr)'!$C:$FB,67)</f>
        <v>2489</v>
      </c>
      <c r="O32" s="5">
        <f>VLOOKUP($B32,'Data Vlaue (Cr)'!$C:$FB,68)</f>
        <v>4475</v>
      </c>
      <c r="P32" s="5">
        <f t="shared" si="8"/>
        <v>-79.791080755323421</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Banking</v>
      </c>
      <c r="B33" s="79" t="str">
        <f>'Data shares'!C28</f>
        <v>BANKINDIA</v>
      </c>
      <c r="C33" s="4">
        <f>VLOOKUP($B33,'Data shares'!$C:$FB,7)</f>
        <v>144.99</v>
      </c>
      <c r="D33" s="82">
        <f>VLOOKUP($B33,'Data shares'!$C:$FB,98)</f>
        <v>81338400</v>
      </c>
      <c r="E33" s="165">
        <f>VLOOKUP(B33,'Snapshot (Volume)'!$A$7:$G$168,7,0)</f>
        <v>120993600</v>
      </c>
      <c r="F33" s="165">
        <f t="shared" si="5"/>
        <v>-39655200</v>
      </c>
      <c r="G33" s="166">
        <f t="shared" si="6"/>
        <v>-0.32774626095925735</v>
      </c>
      <c r="H33" s="165">
        <f>VLOOKUP($B33,'Data shares'!$C:$FB,66)</f>
        <v>71786000</v>
      </c>
      <c r="I33" s="165">
        <f>VLOOKUP($B33,'Data shares'!$C:$FB,67)</f>
        <v>125918000</v>
      </c>
      <c r="J33" s="81">
        <f t="shared" si="7"/>
        <v>-42.989882304356804</v>
      </c>
      <c r="K33" s="5">
        <f>VLOOKUP($B33,'Data Vlaue (Cr)'!$C:$FB,99)</f>
        <v>1186</v>
      </c>
      <c r="L33" s="81">
        <f>VLOOKUP(B33,'OI(Value)'!$A$7:$C$232,3,0)</f>
        <v>-578</v>
      </c>
      <c r="M33" s="33">
        <f t="shared" si="0"/>
        <v>-48.735244519392914</v>
      </c>
      <c r="N33" s="5">
        <f>VLOOKUP($B33,'Data Vlaue (Cr)'!$C:$FB,67)</f>
        <v>1047</v>
      </c>
      <c r="O33" s="5">
        <f>VLOOKUP($B33,'Data Vlaue (Cr)'!$C:$FB,68)</f>
        <v>1837</v>
      </c>
      <c r="P33" s="5">
        <f t="shared" si="8"/>
        <v>-75.453677172874876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Index</v>
      </c>
      <c r="B34" s="79" t="str">
        <f>'Data shares'!C29</f>
        <v>BANKNIFTY</v>
      </c>
      <c r="C34" s="4">
        <f>VLOOKUP($B34,'Data shares'!$C:$FB,7)</f>
        <v>55092.9</v>
      </c>
      <c r="D34" s="82">
        <f>VLOOKUP($B34,'Data shares'!$C:$FB,98)</f>
        <v>21005910</v>
      </c>
      <c r="E34" s="165">
        <f>VLOOKUP(B34,'Snapshot (Volume)'!$A$7:$G$168,7,0)</f>
        <v>54469290</v>
      </c>
      <c r="F34" s="165">
        <f t="shared" si="5"/>
        <v>-33463380</v>
      </c>
      <c r="G34" s="166">
        <f t="shared" si="6"/>
        <v>-0.61435315202382845</v>
      </c>
      <c r="H34" s="165">
        <f>VLOOKUP($B34,'Data shares'!$C:$FB,66)</f>
        <v>2661727410</v>
      </c>
      <c r="I34" s="165">
        <f>VLOOKUP($B34,'Data shares'!$C:$FB,67)</f>
        <v>465838230</v>
      </c>
      <c r="J34" s="81">
        <f t="shared" si="7"/>
        <v>471.38449328214216</v>
      </c>
      <c r="K34" s="5">
        <f>VLOOKUP($B34,'Data Vlaue (Cr)'!$C:$FB,99)</f>
        <v>116494</v>
      </c>
      <c r="L34" s="81">
        <f>VLOOKUP(B34,'OI(Value)'!$A$7:$C$232,3,0)</f>
        <v>-185581</v>
      </c>
      <c r="M34" s="33">
        <f t="shared" si="0"/>
        <v>-159.30520026782494</v>
      </c>
      <c r="N34" s="5">
        <f>VLOOKUP($B34,'Data Vlaue (Cr)'!$C:$FB,67)</f>
        <v>14761355</v>
      </c>
      <c r="O34" s="5">
        <f>VLOOKUP($B34,'Data Vlaue (Cr)'!$C:$FB,68)</f>
        <v>2583436</v>
      </c>
      <c r="P34" s="5">
        <f t="shared" si="8"/>
        <v>82.498652732083201</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BDL</v>
      </c>
      <c r="C35" s="4">
        <f>VLOOKUP($B35,'Data shares'!$C:$FB,7)</f>
        <v>1329.9</v>
      </c>
      <c r="D35" s="82">
        <f>VLOOKUP($B35,'Data shares'!$C:$FB,98)</f>
        <v>5612825</v>
      </c>
      <c r="E35" s="165">
        <f>VLOOKUP(B35,'Snapshot (Volume)'!$A$7:$G$168,7,0)</f>
        <v>9724625</v>
      </c>
      <c r="F35" s="165">
        <f t="shared" si="5"/>
        <v>-4111800</v>
      </c>
      <c r="G35" s="166">
        <f t="shared" si="6"/>
        <v>-0.4228235021916012</v>
      </c>
      <c r="H35" s="165">
        <f>VLOOKUP($B35,'Data shares'!$C:$FB,66)</f>
        <v>6822200</v>
      </c>
      <c r="I35" s="165">
        <f>VLOOKUP($B35,'Data shares'!$C:$FB,67)</f>
        <v>8856750</v>
      </c>
      <c r="J35" s="81">
        <f t="shared" si="7"/>
        <v>-22.971744714483304</v>
      </c>
      <c r="K35" s="5">
        <f>VLOOKUP($B35,'Data Vlaue (Cr)'!$C:$FB,99)</f>
        <v>743</v>
      </c>
      <c r="L35" s="81">
        <f>VLOOKUP(B35,'OI(Value)'!$A$7:$C$232,3,0)</f>
        <v>-545</v>
      </c>
      <c r="M35" s="33">
        <f t="shared" si="0"/>
        <v>-73.351278600269183</v>
      </c>
      <c r="N35" s="5">
        <f>VLOOKUP($B35,'Data Vlaue (Cr)'!$C:$FB,67)</f>
        <v>904</v>
      </c>
      <c r="O35" s="5">
        <f>VLOOKUP($B35,'Data Vlaue (Cr)'!$C:$FB,68)</f>
        <v>1173</v>
      </c>
      <c r="P35" s="5">
        <f t="shared" si="8"/>
        <v>-29.756637168141591</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Capital_Goods</v>
      </c>
      <c r="B36" s="79" t="str">
        <f>'Data shares'!C31</f>
        <v>BEL</v>
      </c>
      <c r="C36" s="4">
        <f>VLOOKUP($B36,'Data shares'!$C:$FB,7)</f>
        <v>420.1</v>
      </c>
      <c r="D36" s="82">
        <f>VLOOKUP($B36,'Data shares'!$C:$FB,98)</f>
        <v>153047850</v>
      </c>
      <c r="E36" s="165">
        <f>VLOOKUP(B36,'Snapshot (Volume)'!$A$7:$G$168,7,0)</f>
        <v>211920300</v>
      </c>
      <c r="F36" s="165">
        <f t="shared" si="5"/>
        <v>-58872450</v>
      </c>
      <c r="G36" s="166">
        <f t="shared" si="6"/>
        <v>-0.27780467468194409</v>
      </c>
      <c r="H36" s="165">
        <f>VLOOKUP($B36,'Data shares'!$C:$FB,66)</f>
        <v>125075100</v>
      </c>
      <c r="I36" s="165">
        <f>VLOOKUP($B36,'Data shares'!$C:$FB,67)</f>
        <v>155275125</v>
      </c>
      <c r="J36" s="81">
        <f t="shared" si="7"/>
        <v>-19.44936447483137</v>
      </c>
      <c r="K36" s="5">
        <f>VLOOKUP($B36,'Data Vlaue (Cr)'!$C:$FB,99)</f>
        <v>6478</v>
      </c>
      <c r="L36" s="81">
        <f>VLOOKUP(B36,'OI(Value)'!$A$7:$C$232,3,0)</f>
        <v>-2492</v>
      </c>
      <c r="M36" s="33">
        <f t="shared" si="0"/>
        <v>-38.468663167644337</v>
      </c>
      <c r="N36" s="5">
        <f>VLOOKUP($B36,'Data Vlaue (Cr)'!$C:$FB,67)</f>
        <v>5294</v>
      </c>
      <c r="O36" s="5">
        <f>VLOOKUP($B36,'Data Vlaue (Cr)'!$C:$FB,68)</f>
        <v>6572</v>
      </c>
      <c r="P36" s="5">
        <f t="shared" si="8"/>
        <v>-24.140536456365698</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Automobile</v>
      </c>
      <c r="B37" s="79" t="str">
        <f>'Data shares'!C32</f>
        <v>BHARATFORG</v>
      </c>
      <c r="C37" s="4">
        <f>VLOOKUP($B37,'Data shares'!$C:$FB,7)</f>
        <v>1930.4</v>
      </c>
      <c r="D37" s="82">
        <f>VLOOKUP($B37,'Data shares'!$C:$FB,98)</f>
        <v>8602000</v>
      </c>
      <c r="E37" s="165">
        <f>VLOOKUP(B37,'Snapshot (Volume)'!$A$7:$G$168,7,0)</f>
        <v>13353500</v>
      </c>
      <c r="F37" s="165">
        <f t="shared" ref="F37:F43" si="9">D37-E37</f>
        <v>-4751500</v>
      </c>
      <c r="G37" s="166">
        <f t="shared" ref="G37:G43" si="10">F37/E37</f>
        <v>-0.35582431572246975</v>
      </c>
      <c r="H37" s="165">
        <f>VLOOKUP($B37,'Data shares'!$C:$FB,66)</f>
        <v>8079000</v>
      </c>
      <c r="I37" s="165">
        <f>VLOOKUP($B37,'Data shares'!$C:$FB,67)</f>
        <v>13660000</v>
      </c>
      <c r="J37" s="81">
        <f t="shared" ref="J37:J43" si="11">(H37-I37)/I37*100</f>
        <v>-40.856515373352856</v>
      </c>
      <c r="K37" s="5">
        <f>VLOOKUP($B37,'Data Vlaue (Cr)'!$C:$FB,99)</f>
        <v>1675</v>
      </c>
      <c r="L37" s="81">
        <f>VLOOKUP(B37,'OI(Value)'!$A$7:$C$232,3,0)</f>
        <v>-925</v>
      </c>
      <c r="M37" s="33">
        <f t="shared" ref="M37:M65" si="12">L37/K37*100</f>
        <v>-55.223880597014926</v>
      </c>
      <c r="N37" s="5">
        <f>VLOOKUP($B37,'Data Vlaue (Cr)'!$C:$FB,67)</f>
        <v>1573</v>
      </c>
      <c r="O37" s="5">
        <f>VLOOKUP($B37,'Data Vlaue (Cr)'!$C:$FB,68)</f>
        <v>2660</v>
      </c>
      <c r="P37" s="5">
        <f t="shared" ref="P37:P43" si="13">(N37-O37)/N37*100</f>
        <v>-69.103623649078187</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Telecom</v>
      </c>
      <c r="B38" s="79" t="str">
        <f>'Data shares'!C33</f>
        <v>BHARTIARTL</v>
      </c>
      <c r="C38" s="4">
        <f>VLOOKUP($B38,'Data shares'!$C:$FB,7)</f>
        <v>1846.9</v>
      </c>
      <c r="D38" s="82">
        <f>VLOOKUP($B38,'Data shares'!$C:$FB,98)</f>
        <v>69046000</v>
      </c>
      <c r="E38" s="165">
        <f>VLOOKUP(B38,'Snapshot (Volume)'!$A$7:$G$168,7,0)</f>
        <v>93988250</v>
      </c>
      <c r="F38" s="165">
        <f t="shared" si="9"/>
        <v>-24942250</v>
      </c>
      <c r="G38" s="166">
        <f t="shared" si="10"/>
        <v>-0.26537625713852531</v>
      </c>
      <c r="H38" s="165">
        <f>VLOOKUP($B38,'Data shares'!$C:$FB,66)</f>
        <v>37203900</v>
      </c>
      <c r="I38" s="165">
        <f>VLOOKUP($B38,'Data shares'!$C:$FB,67)</f>
        <v>70868100</v>
      </c>
      <c r="J38" s="81">
        <f t="shared" si="11"/>
        <v>-47.502614011099489</v>
      </c>
      <c r="K38" s="5">
        <f>VLOOKUP($B38,'Data Vlaue (Cr)'!$C:$FB,99)</f>
        <v>12854</v>
      </c>
      <c r="L38" s="81">
        <f>VLOOKUP(B38,'OI(Value)'!$A$7:$C$232,3,0)</f>
        <v>-4643</v>
      </c>
      <c r="M38" s="33">
        <f t="shared" si="12"/>
        <v>-36.121051812665314</v>
      </c>
      <c r="N38" s="5">
        <f>VLOOKUP($B38,'Data Vlaue (Cr)'!$C:$FB,67)</f>
        <v>6926</v>
      </c>
      <c r="O38" s="5">
        <f>VLOOKUP($B38,'Data Vlaue (Cr)'!$C:$FB,68)</f>
        <v>13194</v>
      </c>
      <c r="P38" s="5">
        <f t="shared" si="13"/>
        <v>-90.499566849552409</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BHEL</v>
      </c>
      <c r="C39" s="4">
        <f>VLOOKUP($B39,'Data shares'!$C:$FB,7)</f>
        <v>417.75</v>
      </c>
      <c r="D39" s="82">
        <f>VLOOKUP($B39,'Data shares'!$C:$FB,98)</f>
        <v>158497500</v>
      </c>
      <c r="E39" s="165">
        <f>VLOOKUP(B39,'Snapshot (Volume)'!$A$7:$G$168,7,0)</f>
        <v>221237625</v>
      </c>
      <c r="F39" s="165">
        <f t="shared" si="9"/>
        <v>-62740125</v>
      </c>
      <c r="G39" s="166">
        <f t="shared" si="10"/>
        <v>-0.28358704808913043</v>
      </c>
      <c r="H39" s="165">
        <f>VLOOKUP($B39,'Data shares'!$C:$FB,66)</f>
        <v>137844000</v>
      </c>
      <c r="I39" s="165">
        <f>VLOOKUP($B39,'Data shares'!$C:$FB,67)</f>
        <v>194764500</v>
      </c>
      <c r="J39" s="81">
        <f t="shared" si="11"/>
        <v>-29.225295164159792</v>
      </c>
      <c r="K39" s="5">
        <f>VLOOKUP($B39,'Data Vlaue (Cr)'!$C:$FB,99)</f>
        <v>6662</v>
      </c>
      <c r="L39" s="81">
        <f>VLOOKUP(B39,'OI(Value)'!$A$7:$C$232,3,0)</f>
        <v>-2637</v>
      </c>
      <c r="M39" s="33">
        <f t="shared" si="12"/>
        <v>-39.582707895526866</v>
      </c>
      <c r="N39" s="5">
        <f>VLOOKUP($B39,'Data Vlaue (Cr)'!$C:$FB,67)</f>
        <v>5794</v>
      </c>
      <c r="O39" s="5">
        <f>VLOOKUP($B39,'Data Vlaue (Cr)'!$C:$FB,68)</f>
        <v>8187</v>
      </c>
      <c r="P39" s="5">
        <f t="shared" si="13"/>
        <v>-41.301346220227821</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Pharma</v>
      </c>
      <c r="B40" s="79" t="str">
        <f>'Data shares'!C35</f>
        <v>BIOCON</v>
      </c>
      <c r="C40" s="4">
        <f>VLOOKUP($B40,'Data shares'!$C:$FB,7)</f>
        <v>436.15</v>
      </c>
      <c r="D40" s="82">
        <f>VLOOKUP($B40,'Data shares'!$C:$FB,98)</f>
        <v>56305000</v>
      </c>
      <c r="E40" s="165">
        <f>VLOOKUP(B40,'Snapshot (Volume)'!$A$7:$G$168,7,0)</f>
        <v>85992500</v>
      </c>
      <c r="F40" s="165">
        <f t="shared" si="9"/>
        <v>-29687500</v>
      </c>
      <c r="G40" s="166">
        <f t="shared" si="10"/>
        <v>-0.34523359595313546</v>
      </c>
      <c r="H40" s="165">
        <f>VLOOKUP($B40,'Data shares'!$C:$FB,66)</f>
        <v>70587500</v>
      </c>
      <c r="I40" s="165">
        <f>VLOOKUP($B40,'Data shares'!$C:$FB,67)</f>
        <v>72215000</v>
      </c>
      <c r="J40" s="81">
        <f t="shared" si="11"/>
        <v>-2.2536869071522534</v>
      </c>
      <c r="K40" s="5">
        <f>VLOOKUP($B40,'Data Vlaue (Cr)'!$C:$FB,99)</f>
        <v>2477</v>
      </c>
      <c r="L40" s="81">
        <f>VLOOKUP(B40,'OI(Value)'!$A$7:$C$232,3,0)</f>
        <v>-1306</v>
      </c>
      <c r="M40" s="33">
        <f t="shared" si="12"/>
        <v>-52.725070649979813</v>
      </c>
      <c r="N40" s="5">
        <f>VLOOKUP($B40,'Data Vlaue (Cr)'!$C:$FB,67)</f>
        <v>3105</v>
      </c>
      <c r="O40" s="5">
        <f>VLOOKUP($B40,'Data Vlaue (Cr)'!$C:$FB,68)</f>
        <v>3176</v>
      </c>
      <c r="P40" s="5">
        <f t="shared" si="13"/>
        <v>-2.2866344605475044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Capital_Goods</v>
      </c>
      <c r="B41" s="79" t="str">
        <f>'Data shares'!C36</f>
        <v>BLUESTARCO</v>
      </c>
      <c r="C41" s="4">
        <f>VLOOKUP($B41,'Data shares'!$C:$FB,7)</f>
        <v>1640.9</v>
      </c>
      <c r="D41" s="82">
        <f>VLOOKUP($B41,'Data shares'!$C:$FB,98)</f>
        <v>3802175</v>
      </c>
      <c r="E41" s="165">
        <f>VLOOKUP(B41,'Snapshot (Volume)'!$A$7:$G$168,7,0)</f>
        <v>7195175</v>
      </c>
      <c r="F41" s="165">
        <f t="shared" si="9"/>
        <v>-3393000</v>
      </c>
      <c r="G41" s="166">
        <f t="shared" si="10"/>
        <v>-0.47156601472514564</v>
      </c>
      <c r="H41" s="165">
        <f>VLOOKUP($B41,'Data shares'!$C:$FB,66)</f>
        <v>3946475</v>
      </c>
      <c r="I41" s="165">
        <f>VLOOKUP($B41,'Data shares'!$C:$FB,67)</f>
        <v>5271500</v>
      </c>
      <c r="J41" s="81">
        <f t="shared" si="11"/>
        <v>-25.135635018495684</v>
      </c>
      <c r="K41" s="5">
        <f>VLOOKUP($B41,'Data Vlaue (Cr)'!$C:$FB,99)</f>
        <v>628</v>
      </c>
      <c r="L41" s="81">
        <f>VLOOKUP(B41,'OI(Value)'!$A$7:$C$232,3,0)</f>
        <v>-560</v>
      </c>
      <c r="M41" s="33">
        <f t="shared" si="12"/>
        <v>-89.171974522292999</v>
      </c>
      <c r="N41" s="5">
        <f>VLOOKUP($B41,'Data Vlaue (Cr)'!$C:$FB,67)</f>
        <v>652</v>
      </c>
      <c r="O41" s="5">
        <f>VLOOKUP($B41,'Data Vlaue (Cr)'!$C:$FB,68)</f>
        <v>870</v>
      </c>
      <c r="P41" s="5">
        <f t="shared" si="13"/>
        <v>-33.435582822085891</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Automobile</v>
      </c>
      <c r="B42" s="79" t="str">
        <f>'Data shares'!C37</f>
        <v>BOSCHLTD</v>
      </c>
      <c r="C42" s="4">
        <f>VLOOKUP($B42,'Data shares'!$C:$FB,7)</f>
        <v>35835</v>
      </c>
      <c r="D42" s="82">
        <f>VLOOKUP($B42,'Data shares'!$C:$FB,98)</f>
        <v>494450</v>
      </c>
      <c r="E42" s="165">
        <f>VLOOKUP(B42,'Snapshot (Volume)'!$A$7:$G$168,7,0)</f>
        <v>837350</v>
      </c>
      <c r="F42" s="165">
        <f t="shared" si="9"/>
        <v>-342900</v>
      </c>
      <c r="G42" s="166">
        <f t="shared" si="10"/>
        <v>-0.40950618021138113</v>
      </c>
      <c r="H42" s="165">
        <f>VLOOKUP($B42,'Data shares'!$C:$FB,66)</f>
        <v>781050</v>
      </c>
      <c r="I42" s="165">
        <f>VLOOKUP($B42,'Data shares'!$C:$FB,67)</f>
        <v>2204200</v>
      </c>
      <c r="J42" s="81">
        <f t="shared" si="11"/>
        <v>-64.565375192813718</v>
      </c>
      <c r="K42" s="5">
        <f>VLOOKUP($B42,'Data Vlaue (Cr)'!$C:$FB,99)</f>
        <v>1783</v>
      </c>
      <c r="L42" s="81">
        <f>VLOOKUP(B42,'OI(Value)'!$A$7:$C$232,3,0)</f>
        <v>-1236</v>
      </c>
      <c r="M42" s="33">
        <f t="shared" si="12"/>
        <v>-69.321368480089745</v>
      </c>
      <c r="N42" s="5">
        <f>VLOOKUP($B42,'Data Vlaue (Cr)'!$C:$FB,67)</f>
        <v>2816</v>
      </c>
      <c r="O42" s="5">
        <f>VLOOKUP($B42,'Data Vlaue (Cr)'!$C:$FB,68)</f>
        <v>7948</v>
      </c>
      <c r="P42" s="5">
        <f t="shared" si="13"/>
        <v>-182.24431818181819</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Oil_Gas</v>
      </c>
      <c r="B43" s="79" t="str">
        <f>'Data shares'!C38</f>
        <v>BPCL</v>
      </c>
      <c r="C43" s="4">
        <f>VLOOKUP($B43,'Data shares'!$C:$FB,7)</f>
        <v>304.60000000000002</v>
      </c>
      <c r="D43" s="82">
        <f>VLOOKUP($B43,'Data shares'!$C:$FB,98)</f>
        <v>63950500</v>
      </c>
      <c r="E43" s="165">
        <f>VLOOKUP(B43,'Snapshot (Volume)'!$A$7:$G$168,7,0)</f>
        <v>103898825</v>
      </c>
      <c r="F43" s="165">
        <f t="shared" si="9"/>
        <v>-39948325</v>
      </c>
      <c r="G43" s="166">
        <f t="shared" si="10"/>
        <v>-0.38449255802459747</v>
      </c>
      <c r="H43" s="165">
        <f>VLOOKUP($B43,'Data shares'!$C:$FB,66)</f>
        <v>48089275</v>
      </c>
      <c r="I43" s="165">
        <f>VLOOKUP($B43,'Data shares'!$C:$FB,67)</f>
        <v>157411450</v>
      </c>
      <c r="J43" s="81">
        <f t="shared" si="11"/>
        <v>-69.449951067727284</v>
      </c>
      <c r="K43" s="5">
        <f>VLOOKUP($B43,'Data Vlaue (Cr)'!$C:$FB,99)</f>
        <v>1959</v>
      </c>
      <c r="L43" s="81">
        <f>VLOOKUP(B43,'OI(Value)'!$A$7:$C$232,3,0)</f>
        <v>-1224</v>
      </c>
      <c r="M43" s="33">
        <f t="shared" si="12"/>
        <v>-62.480857580398165</v>
      </c>
      <c r="N43" s="5">
        <f>VLOOKUP($B43,'Data Vlaue (Cr)'!$C:$FB,67)</f>
        <v>1473</v>
      </c>
      <c r="O43" s="5">
        <f>VLOOKUP($B43,'Data Vlaue (Cr)'!$C:$FB,68)</f>
        <v>4822</v>
      </c>
      <c r="P43" s="5">
        <f t="shared" si="13"/>
        <v>-227.35913102511881</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FMCG</v>
      </c>
      <c r="B44" s="79" t="str">
        <f>'Data shares'!C39</f>
        <v>BRITANNIA</v>
      </c>
      <c r="C44" s="79">
        <f>VLOOKUP($B44,'Data shares'!$C:$FB,7)</f>
        <v>5338</v>
      </c>
      <c r="D44" s="165">
        <f>VLOOKUP($B44,'Data shares'!$C:$FB,98)</f>
        <v>3218375</v>
      </c>
      <c r="E44" s="165">
        <f>VLOOKUP(B44,'Snapshot (Volume)'!$A$7:$G$168,7,0)</f>
        <v>5989125</v>
      </c>
      <c r="F44" s="165">
        <f t="shared" ref="F44:F49" si="14">D44-E44</f>
        <v>-2770750</v>
      </c>
      <c r="G44" s="166">
        <f t="shared" ref="G44:G49" si="15">F44/E44</f>
        <v>-0.46263018387493998</v>
      </c>
      <c r="H44" s="165">
        <f>VLOOKUP($B44,'Data shares'!$C:$FB,66)</f>
        <v>2875875</v>
      </c>
      <c r="I44" s="165">
        <f>VLOOKUP($B44,'Data shares'!$C:$FB,67)</f>
        <v>4554875</v>
      </c>
      <c r="J44" s="81">
        <f t="shared" ref="J44:J49" si="16">(H44-I44)/I44*100</f>
        <v>-36.86160432503636</v>
      </c>
      <c r="K44" s="81">
        <f>VLOOKUP($B44,'Data Vlaue (Cr)'!$C:$FB,99)</f>
        <v>1726</v>
      </c>
      <c r="L44" s="81">
        <f>VLOOKUP(B44,'OI(Value)'!$A$7:$C$232,3,0)</f>
        <v>-1486</v>
      </c>
      <c r="M44" s="81">
        <f t="shared" si="12"/>
        <v>-86.095017381228274</v>
      </c>
      <c r="N44" s="81">
        <f>VLOOKUP($B44,'Data Vlaue (Cr)'!$C:$FB,67)</f>
        <v>1542</v>
      </c>
      <c r="O44" s="81">
        <f>VLOOKUP($B44,'Data Vlaue (Cr)'!$C:$FB,68)</f>
        <v>2443</v>
      </c>
      <c r="P44" s="81">
        <f t="shared" ref="P44:P49" si="17">(N44-O44)/N44*100</f>
        <v>-58.430609597924779</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BSE</v>
      </c>
      <c r="C45" s="4">
        <f>VLOOKUP($B45,'Data shares'!$C:$FB,7)</f>
        <v>4403.3</v>
      </c>
      <c r="D45" s="82">
        <f>VLOOKUP($B45,'Data shares'!$C:$FB,98)</f>
        <v>15497050</v>
      </c>
      <c r="E45" s="165">
        <f>VLOOKUP(B45,'Snapshot (Volume)'!$A$7:$G$168,7,0)</f>
        <v>24635300</v>
      </c>
      <c r="F45" s="165">
        <f t="shared" si="14"/>
        <v>-9138250</v>
      </c>
      <c r="G45" s="166">
        <f t="shared" si="15"/>
        <v>-0.37094129156129618</v>
      </c>
      <c r="H45" s="165">
        <f>VLOOKUP($B45,'Data shares'!$C:$FB,66)</f>
        <v>39546750</v>
      </c>
      <c r="I45" s="165">
        <f>VLOOKUP($B45,'Data shares'!$C:$FB,67)</f>
        <v>48124125</v>
      </c>
      <c r="J45" s="81">
        <f t="shared" si="16"/>
        <v>-17.823440945679529</v>
      </c>
      <c r="K45" s="5">
        <f>VLOOKUP($B45,'Data Vlaue (Cr)'!$C:$FB,99)</f>
        <v>6852</v>
      </c>
      <c r="L45" s="81">
        <f>VLOOKUP(B45,'OI(Value)'!$A$7:$C$232,3,0)</f>
        <v>-4040</v>
      </c>
      <c r="M45" s="33">
        <f t="shared" si="12"/>
        <v>-58.96088733216579</v>
      </c>
      <c r="N45" s="5">
        <f>VLOOKUP($B45,'Data Vlaue (Cr)'!$C:$FB,67)</f>
        <v>17485</v>
      </c>
      <c r="O45" s="5">
        <f>VLOOKUP($B45,'Data Vlaue (Cr)'!$C:$FB,68)</f>
        <v>21278</v>
      </c>
      <c r="P45" s="5">
        <f t="shared" si="17"/>
        <v>-21.692879611095226</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CAMS</v>
      </c>
      <c r="C46" s="4">
        <f>VLOOKUP($B46,'Data shares'!$C:$FB,7)</f>
        <v>773.15</v>
      </c>
      <c r="D46" s="82">
        <f>VLOOKUP($B46,'Data shares'!$C:$FB,98)</f>
        <v>7163175</v>
      </c>
      <c r="E46" s="165">
        <f>VLOOKUP(B46,'Snapshot (Volume)'!$A$7:$G$168,7,0)</f>
        <v>13742925</v>
      </c>
      <c r="F46" s="165">
        <f t="shared" si="14"/>
        <v>-6579750</v>
      </c>
      <c r="G46" s="166">
        <f t="shared" si="15"/>
        <v>-0.4787736235190107</v>
      </c>
      <c r="H46" s="165">
        <f>VLOOKUP($B46,'Data shares'!$C:$FB,66)</f>
        <v>5742000</v>
      </c>
      <c r="I46" s="165">
        <f>VLOOKUP($B46,'Data shares'!$C:$FB,67)</f>
        <v>11669250</v>
      </c>
      <c r="J46" s="81">
        <f t="shared" si="16"/>
        <v>-50.793752811877368</v>
      </c>
      <c r="K46" s="5">
        <f>VLOOKUP($B46,'Data Vlaue (Cr)'!$C:$FB,99)</f>
        <v>555</v>
      </c>
      <c r="L46" s="81">
        <f>VLOOKUP(B46,'OI(Value)'!$A$7:$C$232,3,0)</f>
        <v>-510</v>
      </c>
      <c r="M46" s="33">
        <f t="shared" si="12"/>
        <v>-91.891891891891902</v>
      </c>
      <c r="N46" s="5">
        <f>VLOOKUP($B46,'Data Vlaue (Cr)'!$C:$FB,67)</f>
        <v>445</v>
      </c>
      <c r="O46" s="5">
        <f>VLOOKUP($B46,'Data Vlaue (Cr)'!$C:$FB,68)</f>
        <v>904</v>
      </c>
      <c r="P46" s="5">
        <f t="shared" si="17"/>
        <v>-103.14606741573033</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Banking</v>
      </c>
      <c r="B47" s="79" t="str">
        <f>'Data shares'!C42</f>
        <v>CANBK</v>
      </c>
      <c r="C47" s="4">
        <f>VLOOKUP($B47,'Data shares'!$C:$FB,7)</f>
        <v>133.15</v>
      </c>
      <c r="D47" s="82">
        <f>VLOOKUP($B47,'Data shares'!$C:$FB,98)</f>
        <v>322825500</v>
      </c>
      <c r="E47" s="165">
        <f>VLOOKUP(B47,'Snapshot (Volume)'!$A$7:$G$168,7,0)</f>
        <v>432364500</v>
      </c>
      <c r="F47" s="165">
        <f t="shared" si="14"/>
        <v>-109539000</v>
      </c>
      <c r="G47" s="166">
        <f t="shared" si="15"/>
        <v>-0.25334873700315358</v>
      </c>
      <c r="H47" s="165">
        <f>VLOOKUP($B47,'Data shares'!$C:$FB,66)</f>
        <v>236594250</v>
      </c>
      <c r="I47" s="165">
        <f>VLOOKUP($B47,'Data shares'!$C:$FB,67)</f>
        <v>382684500</v>
      </c>
      <c r="J47" s="81">
        <f t="shared" si="16"/>
        <v>-38.175115532507846</v>
      </c>
      <c r="K47" s="5">
        <f>VLOOKUP($B47,'Data Vlaue (Cr)'!$C:$FB,99)</f>
        <v>4334</v>
      </c>
      <c r="L47" s="81">
        <f>VLOOKUP(B47,'OI(Value)'!$A$7:$C$232,3,0)</f>
        <v>-1471</v>
      </c>
      <c r="M47" s="33">
        <f t="shared" si="12"/>
        <v>-33.940932164282415</v>
      </c>
      <c r="N47" s="5">
        <f>VLOOKUP($B47,'Data Vlaue (Cr)'!$C:$FB,67)</f>
        <v>3177</v>
      </c>
      <c r="O47" s="5">
        <f>VLOOKUP($B47,'Data Vlaue (Cr)'!$C:$FB,68)</f>
        <v>5138</v>
      </c>
      <c r="P47" s="5">
        <f t="shared" si="17"/>
        <v>-61.724897702234813</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CDSL</v>
      </c>
      <c r="C48" s="4">
        <f>VLOOKUP($B48,'Data shares'!$C:$FB,7)</f>
        <v>1226.3</v>
      </c>
      <c r="D48" s="82">
        <f>VLOOKUP($B48,'Data shares'!$C:$FB,98)</f>
        <v>19380000</v>
      </c>
      <c r="E48" s="165">
        <f>VLOOKUP(B48,'Snapshot (Volume)'!$A$7:$G$168,7,0)</f>
        <v>29378275</v>
      </c>
      <c r="F48" s="165">
        <f t="shared" si="14"/>
        <v>-9998275</v>
      </c>
      <c r="G48" s="166">
        <f t="shared" si="15"/>
        <v>-0.34032886546265906</v>
      </c>
      <c r="H48" s="165">
        <f>VLOOKUP($B48,'Data shares'!$C:$FB,66)</f>
        <v>17403525</v>
      </c>
      <c r="I48" s="165">
        <f>VLOOKUP($B48,'Data shares'!$C:$FB,67)</f>
        <v>28333750</v>
      </c>
      <c r="J48" s="81">
        <f t="shared" si="16"/>
        <v>-38.576697401508802</v>
      </c>
      <c r="K48" s="5">
        <f>VLOOKUP($B48,'Data Vlaue (Cr)'!$C:$FB,99)</f>
        <v>2390</v>
      </c>
      <c r="L48" s="81">
        <f>VLOOKUP(B48,'OI(Value)'!$A$7:$C$232,3,0)</f>
        <v>-1233</v>
      </c>
      <c r="M48" s="33">
        <f t="shared" si="12"/>
        <v>-51.58995815899582</v>
      </c>
      <c r="N48" s="5">
        <f>VLOOKUP($B48,'Data Vlaue (Cr)'!$C:$FB,67)</f>
        <v>2146</v>
      </c>
      <c r="O48" s="5">
        <f>VLOOKUP($B48,'Data Vlaue (Cr)'!$C:$FB,68)</f>
        <v>3494</v>
      </c>
      <c r="P48" s="5">
        <f t="shared" si="17"/>
        <v>-62.814538676607647</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Power</v>
      </c>
      <c r="B49" s="79" t="str">
        <f>'Data shares'!C44</f>
        <v>CGPOWER</v>
      </c>
      <c r="C49" s="4">
        <f>VLOOKUP($B49,'Data shares'!$C:$FB,7)</f>
        <v>879.15</v>
      </c>
      <c r="D49" s="82">
        <f>VLOOKUP($B49,'Data shares'!$C:$FB,98)</f>
        <v>24308300</v>
      </c>
      <c r="E49" s="165">
        <f>VLOOKUP(B49,'Snapshot (Volume)'!$A$7:$G$168,7,0)</f>
        <v>32679100</v>
      </c>
      <c r="F49" s="165">
        <f t="shared" si="14"/>
        <v>-8370800</v>
      </c>
      <c r="G49" s="166">
        <f t="shared" si="15"/>
        <v>-0.25615148520002079</v>
      </c>
      <c r="H49" s="165">
        <f>VLOOKUP($B49,'Data shares'!$C:$FB,66)</f>
        <v>18516400</v>
      </c>
      <c r="I49" s="165">
        <f>VLOOKUP($B49,'Data shares'!$C:$FB,67)</f>
        <v>25964100</v>
      </c>
      <c r="J49" s="81">
        <f t="shared" si="16"/>
        <v>-28.684606822497216</v>
      </c>
      <c r="K49" s="5">
        <f>VLOOKUP($B49,'Data Vlaue (Cr)'!$C:$FB,99)</f>
        <v>2150</v>
      </c>
      <c r="L49" s="81">
        <f>VLOOKUP(B49,'OI(Value)'!$A$7:$C$232,3,0)</f>
        <v>-740</v>
      </c>
      <c r="M49" s="33">
        <f t="shared" si="12"/>
        <v>-34.418604651162795</v>
      </c>
      <c r="N49" s="5">
        <f>VLOOKUP($B49,'Data Vlaue (Cr)'!$C:$FB,67)</f>
        <v>1637</v>
      </c>
      <c r="O49" s="5">
        <f>VLOOKUP($B49,'Data Vlaue (Cr)'!$C:$FB,68)</f>
        <v>2296</v>
      </c>
      <c r="P49" s="5">
        <f t="shared" si="17"/>
        <v>-40.25656689065363</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Finance</v>
      </c>
      <c r="B50" s="79" t="str">
        <f>'Data shares'!C45</f>
        <v>CHOLAFIN</v>
      </c>
      <c r="C50" s="4">
        <f>VLOOKUP($B50,'Data shares'!$C:$FB,7)</f>
        <v>1567.3</v>
      </c>
      <c r="D50" s="82">
        <f>VLOOKUP($B50,'Data shares'!$C:$FB,98)</f>
        <v>19820000</v>
      </c>
      <c r="E50" s="165">
        <f>VLOOKUP(B50,'Snapshot (Volume)'!$A$7:$G$168,7,0)</f>
        <v>24961250</v>
      </c>
      <c r="F50" s="165">
        <f>D50-E50</f>
        <v>-5141250</v>
      </c>
      <c r="G50" s="166">
        <f>F50/E50</f>
        <v>-0.20596925234112876</v>
      </c>
      <c r="H50" s="165">
        <f>VLOOKUP($B50,'Data shares'!$C:$FB,66)</f>
        <v>10230625</v>
      </c>
      <c r="I50" s="165">
        <f>VLOOKUP($B50,'Data shares'!$C:$FB,67)</f>
        <v>27162500</v>
      </c>
      <c r="J50" s="81">
        <f>(H50-I50)/I50*100</f>
        <v>-62.335480901978833</v>
      </c>
      <c r="K50" s="5">
        <f>VLOOKUP($B50,'Data Vlaue (Cr)'!$C:$FB,99)</f>
        <v>3131</v>
      </c>
      <c r="L50" s="81">
        <f>VLOOKUP(B50,'OI(Value)'!$A$7:$C$232,3,0)</f>
        <v>-812</v>
      </c>
      <c r="M50" s="33">
        <f t="shared" si="12"/>
        <v>-25.934206323858195</v>
      </c>
      <c r="N50" s="5">
        <f>VLOOKUP($B50,'Data Vlaue (Cr)'!$C:$FB,67)</f>
        <v>1616</v>
      </c>
      <c r="O50" s="5">
        <f>VLOOKUP($B50,'Data Vlaue (Cr)'!$C:$FB,68)</f>
        <v>4291</v>
      </c>
      <c r="P50" s="5">
        <f>(N50-O50)/N50*100</f>
        <v>-165.53217821782178</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Pharma</v>
      </c>
      <c r="B51" s="79" t="str">
        <f>'Data shares'!C46</f>
        <v>CIPLA</v>
      </c>
      <c r="C51" s="4">
        <f>VLOOKUP($B51,'Data shares'!$C:$FB,7)</f>
        <v>1417.5</v>
      </c>
      <c r="D51" s="82">
        <f>VLOOKUP($B51,'Data shares'!$C:$FB,98)</f>
        <v>17959350</v>
      </c>
      <c r="E51" s="165">
        <f>VLOOKUP(B51,'Snapshot (Volume)'!$A$7:$G$168,7,0)</f>
        <v>32066550</v>
      </c>
      <c r="F51" s="165">
        <f>D51-E51</f>
        <v>-14107200</v>
      </c>
      <c r="G51" s="166">
        <f>F51/E51</f>
        <v>-0.43993507252885017</v>
      </c>
      <c r="H51" s="165">
        <f>VLOOKUP($B51,'Data shares'!$C:$FB,66)</f>
        <v>14256000</v>
      </c>
      <c r="I51" s="165">
        <f>VLOOKUP($B51,'Data shares'!$C:$FB,67)</f>
        <v>27815250</v>
      </c>
      <c r="J51" s="81">
        <f>(H51-I51)/I51*100</f>
        <v>-48.747539569121258</v>
      </c>
      <c r="K51" s="5">
        <f>VLOOKUP($B51,'Data Vlaue (Cr)'!$C:$FB,99)</f>
        <v>2545</v>
      </c>
      <c r="L51" s="81">
        <f>VLOOKUP(B51,'OI(Value)'!$A$7:$C$232,3,0)</f>
        <v>-1999</v>
      </c>
      <c r="M51" s="33">
        <f t="shared" si="12"/>
        <v>-78.546168958742641</v>
      </c>
      <c r="N51" s="5">
        <f>VLOOKUP($B51,'Data Vlaue (Cr)'!$C:$FB,67)</f>
        <v>2020</v>
      </c>
      <c r="O51" s="5">
        <f>VLOOKUP($B51,'Data Vlaue (Cr)'!$C:$FB,68)</f>
        <v>3941</v>
      </c>
      <c r="P51" s="5">
        <f>(N51-O51)/N51*100</f>
        <v>-95.099009900990097</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Metals</v>
      </c>
      <c r="B52" s="79" t="str">
        <f>'Data shares'!C47</f>
        <v>COALINDIA</v>
      </c>
      <c r="C52" s="79">
        <f>VLOOKUP($B52,'Data shares'!$C:$FB,7)</f>
        <v>458.15</v>
      </c>
      <c r="D52" s="80">
        <f>VLOOKUP($B52,'Data shares'!$C:$FB,98)</f>
        <v>95651550</v>
      </c>
      <c r="E52" s="165">
        <f>VLOOKUP(B52,'Snapshot (Volume)'!$A$7:$G$168,7,0)</f>
        <v>114535350</v>
      </c>
      <c r="F52" s="165">
        <f t="shared" ref="F52:F68" si="18">D52-E52</f>
        <v>-18883800</v>
      </c>
      <c r="G52" s="166">
        <f t="shared" ref="G52:G68" si="19">F52/E52</f>
        <v>-0.16487311559269693</v>
      </c>
      <c r="H52" s="165">
        <f>VLOOKUP($B52,'Data shares'!$C:$FB,66)</f>
        <v>209709000</v>
      </c>
      <c r="I52" s="165">
        <f>VLOOKUP($B52,'Data shares'!$C:$FB,67)</f>
        <v>96545250</v>
      </c>
      <c r="J52" s="81">
        <f t="shared" ref="J52:J68" si="20">(H52-I52)/I52*100</f>
        <v>117.21317206180521</v>
      </c>
      <c r="K52" s="81">
        <f>VLOOKUP($B52,'Data Vlaue (Cr)'!$C:$FB,99)</f>
        <v>4367</v>
      </c>
      <c r="L52" s="81">
        <f>VLOOKUP(B52,'OI(Value)'!$A$7:$C$232,3,0)</f>
        <v>-862</v>
      </c>
      <c r="M52" s="81">
        <f t="shared" si="12"/>
        <v>-19.73895122509732</v>
      </c>
      <c r="N52" s="81">
        <f>VLOOKUP($B52,'Data Vlaue (Cr)'!$C:$FB,67)</f>
        <v>9574</v>
      </c>
      <c r="O52" s="81">
        <f>VLOOKUP($B52,'Data Vlaue (Cr)'!$C:$FB,68)</f>
        <v>4408</v>
      </c>
      <c r="P52" s="81">
        <f t="shared" ref="P52:P68" si="21">(N52-O52)/N52*100</f>
        <v>53.958637977856696</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COCHINSHIP</v>
      </c>
      <c r="C53" s="4">
        <f>VLOOKUP($B53,'Data shares'!$C:$FB,7)</f>
        <v>1526.2</v>
      </c>
      <c r="D53" s="82">
        <f>VLOOKUP($B53,'Data shares'!$C:$FB,98)</f>
        <v>3996000</v>
      </c>
      <c r="E53" s="165">
        <f>VLOOKUP(B53,'Snapshot (Volume)'!$A$7:$G$168,7,0)</f>
        <v>6454800</v>
      </c>
      <c r="F53" s="165">
        <f t="shared" si="18"/>
        <v>-2458800</v>
      </c>
      <c r="G53" s="166">
        <f t="shared" si="19"/>
        <v>-0.38092582264361408</v>
      </c>
      <c r="H53" s="165">
        <f>VLOOKUP($B53,'Data shares'!$C:$FB,66)</f>
        <v>4875200</v>
      </c>
      <c r="I53" s="165">
        <f>VLOOKUP($B53,'Data shares'!$C:$FB,67)</f>
        <v>5309200</v>
      </c>
      <c r="J53" s="81">
        <f t="shared" si="20"/>
        <v>-8.1744895652829044</v>
      </c>
      <c r="K53" s="5">
        <f>VLOOKUP($B53,'Data Vlaue (Cr)'!$C:$FB,99)</f>
        <v>613</v>
      </c>
      <c r="L53" s="81">
        <f>VLOOKUP(B53,'OI(Value)'!$A$7:$C$232,3,0)</f>
        <v>-377</v>
      </c>
      <c r="M53" s="33">
        <f t="shared" si="12"/>
        <v>-61.500815660685163</v>
      </c>
      <c r="N53" s="5">
        <f>VLOOKUP($B53,'Data Vlaue (Cr)'!$C:$FB,67)</f>
        <v>748</v>
      </c>
      <c r="O53" s="5">
        <f>VLOOKUP($B53,'Data Vlaue (Cr)'!$C:$FB,68)</f>
        <v>815</v>
      </c>
      <c r="P53" s="5">
        <f t="shared" si="21"/>
        <v>-8.9572192513368982</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Technology</v>
      </c>
      <c r="B54" s="79" t="str">
        <f>'Data shares'!C49</f>
        <v>COFORGE</v>
      </c>
      <c r="C54" s="4">
        <f>VLOOKUP($B54,'Data shares'!$C:$FB,7)</f>
        <v>1422.8</v>
      </c>
      <c r="D54" s="82">
        <f>VLOOKUP($B54,'Data shares'!$C:$FB,98)</f>
        <v>21243400</v>
      </c>
      <c r="E54" s="165">
        <f>VLOOKUP(B54,'Snapshot (Volume)'!$A$7:$G$168,7,0)</f>
        <v>37172150</v>
      </c>
      <c r="F54" s="165">
        <f t="shared" si="18"/>
        <v>-15928750</v>
      </c>
      <c r="G54" s="166">
        <f t="shared" si="19"/>
        <v>-0.42851301310255124</v>
      </c>
      <c r="H54" s="165">
        <f>VLOOKUP($B54,'Data shares'!$C:$FB,66)</f>
        <v>22863375</v>
      </c>
      <c r="I54" s="165">
        <f>VLOOKUP($B54,'Data shares'!$C:$FB,67)</f>
        <v>42708000</v>
      </c>
      <c r="J54" s="81">
        <f t="shared" si="20"/>
        <v>-46.465826074740093</v>
      </c>
      <c r="K54" s="5">
        <f>VLOOKUP($B54,'Data Vlaue (Cr)'!$C:$FB,99)</f>
        <v>3025</v>
      </c>
      <c r="L54" s="81">
        <f>VLOOKUP(B54,'OI(Value)'!$A$7:$C$232,3,0)</f>
        <v>-2268</v>
      </c>
      <c r="M54" s="33">
        <f t="shared" si="12"/>
        <v>-74.975206611570243</v>
      </c>
      <c r="N54" s="5">
        <f>VLOOKUP($B54,'Data Vlaue (Cr)'!$C:$FB,67)</f>
        <v>3256</v>
      </c>
      <c r="O54" s="5">
        <f>VLOOKUP($B54,'Data Vlaue (Cr)'!$C:$FB,68)</f>
        <v>6082</v>
      </c>
      <c r="P54" s="5">
        <f t="shared" si="21"/>
        <v>-86.793611793611788</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FMCG</v>
      </c>
      <c r="B55" s="79" t="str">
        <f>'Data shares'!C50</f>
        <v>COLPAL</v>
      </c>
      <c r="C55" s="4">
        <f>VLOOKUP($B55,'Data shares'!$C:$FB,7)</f>
        <v>2077.1</v>
      </c>
      <c r="D55" s="82">
        <f>VLOOKUP($B55,'Data shares'!$C:$FB,98)</f>
        <v>7238950</v>
      </c>
      <c r="E55" s="165">
        <f>VLOOKUP(B55,'Snapshot (Volume)'!$A$7:$G$168,7,0)</f>
        <v>8279850</v>
      </c>
      <c r="F55" s="165">
        <f t="shared" si="18"/>
        <v>-1040900</v>
      </c>
      <c r="G55" s="166">
        <f t="shared" si="19"/>
        <v>-0.12571483782918771</v>
      </c>
      <c r="H55" s="165">
        <f>VLOOKUP($B55,'Data shares'!$C:$FB,66)</f>
        <v>8379000</v>
      </c>
      <c r="I55" s="165">
        <f>VLOOKUP($B55,'Data shares'!$C:$FB,67)</f>
        <v>28669050</v>
      </c>
      <c r="J55" s="81">
        <f t="shared" si="20"/>
        <v>-70.773360121803833</v>
      </c>
      <c r="K55" s="5">
        <f>VLOOKUP($B55,'Data Vlaue (Cr)'!$C:$FB,99)</f>
        <v>1500</v>
      </c>
      <c r="L55" s="81">
        <f>VLOOKUP(B55,'OI(Value)'!$A$7:$C$232,3,0)</f>
        <v>-216</v>
      </c>
      <c r="M55" s="33">
        <f t="shared" si="12"/>
        <v>-14.399999999999999</v>
      </c>
      <c r="N55" s="5">
        <f>VLOOKUP($B55,'Data Vlaue (Cr)'!$C:$FB,67)</f>
        <v>1736</v>
      </c>
      <c r="O55" s="5">
        <f>VLOOKUP($B55,'Data Vlaue (Cr)'!$C:$FB,68)</f>
        <v>5941</v>
      </c>
      <c r="P55" s="5">
        <f t="shared" si="21"/>
        <v>-242.22350230414747</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Infrastructure</v>
      </c>
      <c r="B56" s="79" t="str">
        <f>'Data shares'!C51</f>
        <v>CONCOR</v>
      </c>
      <c r="C56" s="4">
        <f>VLOOKUP($B56,'Data shares'!$C:$FB,7)</f>
        <v>475.9</v>
      </c>
      <c r="D56" s="82">
        <f>VLOOKUP($B56,'Data shares'!$C:$FB,98)</f>
        <v>38237500</v>
      </c>
      <c r="E56" s="165">
        <f>VLOOKUP(B56,'Snapshot (Volume)'!$A$7:$G$168,7,0)</f>
        <v>35181250</v>
      </c>
      <c r="F56" s="165">
        <f t="shared" si="18"/>
        <v>3056250</v>
      </c>
      <c r="G56" s="166">
        <f t="shared" si="19"/>
        <v>8.6871558003197721E-2</v>
      </c>
      <c r="H56" s="165">
        <f>VLOOKUP($B56,'Data shares'!$C:$FB,66)</f>
        <v>78946250</v>
      </c>
      <c r="I56" s="165">
        <f>VLOOKUP($B56,'Data shares'!$C:$FB,67)</f>
        <v>30945000</v>
      </c>
      <c r="J56" s="81">
        <f t="shared" si="20"/>
        <v>155.11795120374859</v>
      </c>
      <c r="K56" s="5">
        <f>VLOOKUP($B56,'Data Vlaue (Cr)'!$C:$FB,99)</f>
        <v>1832</v>
      </c>
      <c r="L56" s="81">
        <f>VLOOKUP(B56,'OI(Value)'!$A$7:$C$232,3,0)</f>
        <v>146</v>
      </c>
      <c r="M56" s="33">
        <f t="shared" si="12"/>
        <v>7.9694323144104811</v>
      </c>
      <c r="N56" s="5">
        <f>VLOOKUP($B56,'Data Vlaue (Cr)'!$C:$FB,67)</f>
        <v>3782</v>
      </c>
      <c r="O56" s="5">
        <f>VLOOKUP($B56,'Data Vlaue (Cr)'!$C:$FB,68)</f>
        <v>1482</v>
      </c>
      <c r="P56" s="5">
        <f t="shared" si="21"/>
        <v>60.81438392384981</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Capital_Goods</v>
      </c>
      <c r="B57" s="79" t="str">
        <f>'Data shares'!C52</f>
        <v>CROMPTON</v>
      </c>
      <c r="C57" s="4">
        <f>VLOOKUP($B57,'Data shares'!$C:$FB,7)</f>
        <v>289.05</v>
      </c>
      <c r="D57" s="82">
        <f>VLOOKUP($B57,'Data shares'!$C:$FB,98)</f>
        <v>61068900</v>
      </c>
      <c r="E57" s="165">
        <f>VLOOKUP(B57,'Snapshot (Volume)'!$A$7:$G$168,7,0)</f>
        <v>85668700</v>
      </c>
      <c r="F57" s="165">
        <f t="shared" si="18"/>
        <v>-24599800</v>
      </c>
      <c r="G57" s="166">
        <f t="shared" si="19"/>
        <v>-0.28715038281192545</v>
      </c>
      <c r="H57" s="165">
        <f>VLOOKUP($B57,'Data shares'!$C:$FB,66)</f>
        <v>34972200</v>
      </c>
      <c r="I57" s="165">
        <f>VLOOKUP($B57,'Data shares'!$C:$FB,67)</f>
        <v>49581000</v>
      </c>
      <c r="J57" s="81">
        <f t="shared" si="20"/>
        <v>-29.46451261571973</v>
      </c>
      <c r="K57" s="5">
        <f>VLOOKUP($B57,'Data Vlaue (Cr)'!$C:$FB,99)</f>
        <v>1774</v>
      </c>
      <c r="L57" s="81">
        <f>VLOOKUP(B57,'OI(Value)'!$A$7:$C$232,3,0)</f>
        <v>-715</v>
      </c>
      <c r="M57" s="33">
        <f t="shared" si="12"/>
        <v>-40.304396843291997</v>
      </c>
      <c r="N57" s="5">
        <f>VLOOKUP($B57,'Data Vlaue (Cr)'!$C:$FB,67)</f>
        <v>1016</v>
      </c>
      <c r="O57" s="5">
        <f>VLOOKUP($B57,'Data Vlaue (Cr)'!$C:$FB,68)</f>
        <v>1441</v>
      </c>
      <c r="P57" s="5">
        <f t="shared" si="21"/>
        <v>-41.830708661417319</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Capital_Goods</v>
      </c>
      <c r="B58" s="79" t="str">
        <f>'Data shares'!C53</f>
        <v>CUMMINSIND</v>
      </c>
      <c r="C58" s="4">
        <f>VLOOKUP($B58,'Data shares'!$C:$FB,7)</f>
        <v>5418.5</v>
      </c>
      <c r="D58" s="82">
        <f>VLOOKUP($B58,'Data shares'!$C:$FB,98)</f>
        <v>3998000</v>
      </c>
      <c r="E58" s="165">
        <f>VLOOKUP(B58,'Snapshot (Volume)'!$A$7:$G$168,7,0)</f>
        <v>5166200</v>
      </c>
      <c r="F58" s="165">
        <f t="shared" si="18"/>
        <v>-1168200</v>
      </c>
      <c r="G58" s="166">
        <f t="shared" si="19"/>
        <v>-0.2261236498780535</v>
      </c>
      <c r="H58" s="165">
        <f>VLOOKUP($B58,'Data shares'!$C:$FB,66)</f>
        <v>3562000</v>
      </c>
      <c r="I58" s="165">
        <f>VLOOKUP($B58,'Data shares'!$C:$FB,67)</f>
        <v>4527000</v>
      </c>
      <c r="J58" s="81">
        <f t="shared" si="20"/>
        <v>-21.31654517340402</v>
      </c>
      <c r="K58" s="5">
        <f>VLOOKUP($B58,'Data Vlaue (Cr)'!$C:$FB,99)</f>
        <v>2184</v>
      </c>
      <c r="L58" s="81">
        <f>VLOOKUP(B58,'OI(Value)'!$A$7:$C$232,3,0)</f>
        <v>-638</v>
      </c>
      <c r="M58" s="33">
        <f t="shared" si="12"/>
        <v>-29.212454212454215</v>
      </c>
      <c r="N58" s="5">
        <f>VLOOKUP($B58,'Data Vlaue (Cr)'!$C:$FB,67)</f>
        <v>1946</v>
      </c>
      <c r="O58" s="5">
        <f>VLOOKUP($B58,'Data Vlaue (Cr)'!$C:$FB,68)</f>
        <v>2473</v>
      </c>
      <c r="P58" s="5">
        <f t="shared" si="21"/>
        <v>-27.081192189105856</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FMCG</v>
      </c>
      <c r="B59" s="79" t="str">
        <f>'Data shares'!C54</f>
        <v>DABUR</v>
      </c>
      <c r="C59" s="4">
        <f>VLOOKUP($B59,'Data shares'!$C:$FB,7)</f>
        <v>447.6</v>
      </c>
      <c r="D59" s="82">
        <f>VLOOKUP($B59,'Data shares'!$C:$FB,98)</f>
        <v>28433750</v>
      </c>
      <c r="E59" s="165">
        <f>VLOOKUP(B59,'Snapshot (Volume)'!$A$7:$G$168,7,0)</f>
        <v>43658750</v>
      </c>
      <c r="F59" s="165">
        <f t="shared" si="18"/>
        <v>-15225000</v>
      </c>
      <c r="G59" s="166">
        <f t="shared" si="19"/>
        <v>-0.34872734560655083</v>
      </c>
      <c r="H59" s="165">
        <f>VLOOKUP($B59,'Data shares'!$C:$FB,66)</f>
        <v>15545000</v>
      </c>
      <c r="I59" s="165">
        <f>VLOOKUP($B59,'Data shares'!$C:$FB,67)</f>
        <v>26571250</v>
      </c>
      <c r="J59" s="81">
        <f t="shared" si="20"/>
        <v>-41.496918662087786</v>
      </c>
      <c r="K59" s="5">
        <f>VLOOKUP($B59,'Data Vlaue (Cr)'!$C:$FB,99)</f>
        <v>1281</v>
      </c>
      <c r="L59" s="81">
        <f>VLOOKUP(B59,'OI(Value)'!$A$7:$C$232,3,0)</f>
        <v>-686</v>
      </c>
      <c r="M59" s="33">
        <f t="shared" si="12"/>
        <v>-53.551912568306015</v>
      </c>
      <c r="N59" s="5">
        <f>VLOOKUP($B59,'Data Vlaue (Cr)'!$C:$FB,67)</f>
        <v>700</v>
      </c>
      <c r="O59" s="5">
        <f>VLOOKUP($B59,'Data Vlaue (Cr)'!$C:$FB,68)</f>
        <v>1197</v>
      </c>
      <c r="P59" s="5">
        <f t="shared" si="21"/>
        <v>-71</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Cement</v>
      </c>
      <c r="B60" s="79" t="str">
        <f>'Data shares'!C55</f>
        <v>DALBHARAT</v>
      </c>
      <c r="C60" s="4">
        <f>VLOOKUP($B60,'Data shares'!$C:$FB,7)</f>
        <v>1785.6</v>
      </c>
      <c r="D60" s="82">
        <f>VLOOKUP($B60,'Data shares'!$C:$FB,98)</f>
        <v>4264325</v>
      </c>
      <c r="E60" s="165">
        <f>VLOOKUP(B60,'Snapshot (Volume)'!$A$7:$G$168,7,0)</f>
        <v>6932575</v>
      </c>
      <c r="F60" s="165">
        <f t="shared" si="18"/>
        <v>-2668250</v>
      </c>
      <c r="G60" s="166">
        <f t="shared" si="19"/>
        <v>-0.38488584688950356</v>
      </c>
      <c r="H60" s="165">
        <f>VLOOKUP($B60,'Data shares'!$C:$FB,66)</f>
        <v>3508700</v>
      </c>
      <c r="I60" s="165">
        <f>VLOOKUP($B60,'Data shares'!$C:$FB,67)</f>
        <v>9289475</v>
      </c>
      <c r="J60" s="81">
        <f t="shared" si="20"/>
        <v>-62.229297134660463</v>
      </c>
      <c r="K60" s="5">
        <f>VLOOKUP($B60,'Data Vlaue (Cr)'!$C:$FB,99)</f>
        <v>765</v>
      </c>
      <c r="L60" s="81">
        <f>VLOOKUP(B60,'OI(Value)'!$A$7:$C$232,3,0)</f>
        <v>-479</v>
      </c>
      <c r="M60" s="33">
        <f t="shared" si="12"/>
        <v>-62.614379084967318</v>
      </c>
      <c r="N60" s="5">
        <f>VLOOKUP($B60,'Data Vlaue (Cr)'!$C:$FB,67)</f>
        <v>630</v>
      </c>
      <c r="O60" s="5">
        <f>VLOOKUP($B60,'Data Vlaue (Cr)'!$C:$FB,68)</f>
        <v>1667</v>
      </c>
      <c r="P60" s="5">
        <f t="shared" si="21"/>
        <v>-164.60317460317461</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New_Age</v>
      </c>
      <c r="B61" s="79" t="str">
        <f>'Data shares'!C56</f>
        <v>DELHIVERY</v>
      </c>
      <c r="C61" s="4">
        <f>VLOOKUP($B61,'Data shares'!$C:$FB,7)</f>
        <v>463.5</v>
      </c>
      <c r="D61" s="82">
        <f>VLOOKUP($B61,'Data shares'!$C:$FB,98)</f>
        <v>34943000</v>
      </c>
      <c r="E61" s="165">
        <f>VLOOKUP(B61,'Snapshot (Volume)'!$A$7:$G$168,7,0)</f>
        <v>46926125</v>
      </c>
      <c r="F61" s="165">
        <f t="shared" si="18"/>
        <v>-11983125</v>
      </c>
      <c r="G61" s="166">
        <f t="shared" si="19"/>
        <v>-0.25536148573955342</v>
      </c>
      <c r="H61" s="165">
        <f>VLOOKUP($B61,'Data shares'!$C:$FB,66)</f>
        <v>22225325</v>
      </c>
      <c r="I61" s="165">
        <f>VLOOKUP($B61,'Data shares'!$C:$FB,67)</f>
        <v>35912025</v>
      </c>
      <c r="J61" s="81">
        <f t="shared" si="20"/>
        <v>-38.111746692089902</v>
      </c>
      <c r="K61" s="5">
        <f>VLOOKUP($B61,'Data Vlaue (Cr)'!$C:$FB,99)</f>
        <v>1633</v>
      </c>
      <c r="L61" s="81">
        <f>VLOOKUP(B61,'OI(Value)'!$A$7:$C$232,3,0)</f>
        <v>-560</v>
      </c>
      <c r="M61" s="33">
        <f t="shared" si="12"/>
        <v>-34.29271279853031</v>
      </c>
      <c r="N61" s="5">
        <f>VLOOKUP($B61,'Data Vlaue (Cr)'!$C:$FB,67)</f>
        <v>1038</v>
      </c>
      <c r="O61" s="5">
        <f>VLOOKUP($B61,'Data Vlaue (Cr)'!$C:$FB,68)</f>
        <v>1678</v>
      </c>
      <c r="P61" s="5">
        <f t="shared" si="21"/>
        <v>-61.657032755298644</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Pharma</v>
      </c>
      <c r="B62" s="79" t="str">
        <f>'Data shares'!C57</f>
        <v>DIVISLAB</v>
      </c>
      <c r="C62" s="4">
        <f>VLOOKUP($B62,'Data shares'!$C:$FB,7)</f>
        <v>6753</v>
      </c>
      <c r="D62" s="82">
        <f>VLOOKUP($B62,'Data shares'!$C:$FB,98)</f>
        <v>3033300</v>
      </c>
      <c r="E62" s="165">
        <f>VLOOKUP(B62,'Snapshot (Volume)'!$A$7:$G$168,7,0)</f>
        <v>4480700</v>
      </c>
      <c r="F62" s="165">
        <f t="shared" si="18"/>
        <v>-1447400</v>
      </c>
      <c r="G62" s="166"/>
      <c r="H62" s="165">
        <f>VLOOKUP($B62,'Data shares'!$C:$FB,66)</f>
        <v>4204600</v>
      </c>
      <c r="I62" s="165">
        <f>VLOOKUP($B62,'Data shares'!$C:$FB,67)</f>
        <v>13992600</v>
      </c>
      <c r="J62" s="81"/>
      <c r="K62" s="5">
        <f>VLOOKUP($B62,'Data Vlaue (Cr)'!$C:$FB,99)</f>
        <v>2063</v>
      </c>
      <c r="L62" s="81">
        <f>VLOOKUP(B62,'OI(Value)'!$A$7:$C$232,3,0)</f>
        <v>-984</v>
      </c>
      <c r="M62" s="33"/>
      <c r="N62" s="5">
        <f>VLOOKUP($B62,'Data Vlaue (Cr)'!$C:$FB,67)</f>
        <v>2859</v>
      </c>
      <c r="O62" s="5">
        <f>VLOOKUP($B62,'Data Vlaue (Cr)'!$C:$FB,68)</f>
        <v>9516</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Capital_Goods</v>
      </c>
      <c r="B63" s="79" t="str">
        <f>'Data shares'!C58</f>
        <v>DIXON</v>
      </c>
      <c r="C63" s="4">
        <f>VLOOKUP($B63,'Data shares'!$C:$FB,7)</f>
        <v>11673</v>
      </c>
      <c r="D63" s="82">
        <f>VLOOKUP($B63,'Data shares'!$C:$FB,98)</f>
        <v>4097950</v>
      </c>
      <c r="E63" s="165">
        <f>VLOOKUP(B63,'Snapshot (Volume)'!$A$7:$G$168,7,0)</f>
        <v>6321650</v>
      </c>
      <c r="F63" s="165">
        <f t="shared" si="18"/>
        <v>-2223700</v>
      </c>
      <c r="G63" s="166">
        <f t="shared" si="19"/>
        <v>-0.35175942989567599</v>
      </c>
      <c r="H63" s="165">
        <f>VLOOKUP($B63,'Data shares'!$C:$FB,66)</f>
        <v>6789550</v>
      </c>
      <c r="I63" s="165">
        <f>VLOOKUP($B63,'Data shares'!$C:$FB,67)</f>
        <v>15923500</v>
      </c>
      <c r="J63" s="81">
        <f t="shared" si="20"/>
        <v>-57.36144691807705</v>
      </c>
      <c r="K63" s="5">
        <f>VLOOKUP($B63,'Data Vlaue (Cr)'!$C:$FB,99)</f>
        <v>4767</v>
      </c>
      <c r="L63" s="81">
        <f>VLOOKUP(B63,'OI(Value)'!$A$7:$C$232,3,0)</f>
        <v>-2587</v>
      </c>
      <c r="M63" s="33">
        <f t="shared" si="12"/>
        <v>-54.268932242500526</v>
      </c>
      <c r="N63" s="5">
        <f>VLOOKUP($B63,'Data Vlaue (Cr)'!$C:$FB,67)</f>
        <v>7898</v>
      </c>
      <c r="O63" s="5">
        <f>VLOOKUP($B63,'Data Vlaue (Cr)'!$C:$FB,68)</f>
        <v>18522</v>
      </c>
      <c r="P63" s="5">
        <f t="shared" si="21"/>
        <v>-134.51506710559636</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Realty</v>
      </c>
      <c r="B64" s="79" t="str">
        <f>'Data shares'!C59</f>
        <v>DLF</v>
      </c>
      <c r="C64" s="4">
        <f>VLOOKUP($B64,'Data shares'!$C:$FB,7)</f>
        <v>589.79999999999995</v>
      </c>
      <c r="D64" s="82">
        <f>VLOOKUP($B64,'Data shares'!$C:$FB,98)</f>
        <v>50459725</v>
      </c>
      <c r="E64" s="165">
        <f>VLOOKUP(B64,'Snapshot (Volume)'!$A$7:$G$168,7,0)</f>
        <v>60086150</v>
      </c>
      <c r="F64" s="165">
        <f t="shared" si="18"/>
        <v>-9626425</v>
      </c>
      <c r="G64" s="166">
        <f t="shared" si="19"/>
        <v>-0.16021038126090623</v>
      </c>
      <c r="H64" s="165">
        <f>VLOOKUP($B64,'Data shares'!$C:$FB,66)</f>
        <v>30380625</v>
      </c>
      <c r="I64" s="165">
        <f>VLOOKUP($B64,'Data shares'!$C:$FB,67)</f>
        <v>40780575</v>
      </c>
      <c r="J64" s="81">
        <f t="shared" si="20"/>
        <v>-25.502215209079321</v>
      </c>
      <c r="K64" s="5">
        <f>VLOOKUP($B64,'Data Vlaue (Cr)'!$C:$FB,99)</f>
        <v>2993</v>
      </c>
      <c r="L64" s="81">
        <f>VLOOKUP(B64,'OI(Value)'!$A$7:$C$232,3,0)</f>
        <v>-571</v>
      </c>
      <c r="M64" s="33">
        <f t="shared" si="12"/>
        <v>-19.077848312729703</v>
      </c>
      <c r="N64" s="5">
        <f>VLOOKUP($B64,'Data Vlaue (Cr)'!$C:$FB,67)</f>
        <v>1802</v>
      </c>
      <c r="O64" s="5">
        <f>VLOOKUP($B64,'Data Vlaue (Cr)'!$C:$FB,68)</f>
        <v>2418</v>
      </c>
      <c r="P64" s="5">
        <f t="shared" si="21"/>
        <v>-34.184239733629305</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New_Age</v>
      </c>
      <c r="B65" s="79" t="str">
        <f>'Data shares'!C60</f>
        <v>DMART</v>
      </c>
      <c r="C65" s="4">
        <f>VLOOKUP($B65,'Data shares'!$C:$FB,7)</f>
        <v>4103.6000000000004</v>
      </c>
      <c r="D65" s="82">
        <f>VLOOKUP($B65,'Data shares'!$C:$FB,98)</f>
        <v>4727400</v>
      </c>
      <c r="E65" s="165">
        <f>VLOOKUP(B65,'Snapshot (Volume)'!$A$7:$G$168,7,0)</f>
        <v>6956550</v>
      </c>
      <c r="F65" s="165">
        <f t="shared" si="18"/>
        <v>-2229150</v>
      </c>
      <c r="G65" s="166">
        <f t="shared" si="19"/>
        <v>-0.32043901071651898</v>
      </c>
      <c r="H65" s="165">
        <f>VLOOKUP($B65,'Data shares'!$C:$FB,66)</f>
        <v>4625550</v>
      </c>
      <c r="I65" s="165">
        <f>VLOOKUP($B65,'Data shares'!$C:$FB,67)</f>
        <v>5505300</v>
      </c>
      <c r="J65" s="81">
        <f t="shared" si="20"/>
        <v>-15.980055582802027</v>
      </c>
      <c r="K65" s="5">
        <f>VLOOKUP($B65,'Data Vlaue (Cr)'!$C:$FB,99)</f>
        <v>1955</v>
      </c>
      <c r="L65" s="81">
        <f>VLOOKUP(B65,'OI(Value)'!$A$7:$C$232,3,0)</f>
        <v>-922</v>
      </c>
      <c r="M65" s="33">
        <f t="shared" si="12"/>
        <v>-47.161125319693092</v>
      </c>
      <c r="N65" s="5">
        <f>VLOOKUP($B65,'Data Vlaue (Cr)'!$C:$FB,67)</f>
        <v>1913</v>
      </c>
      <c r="O65" s="5">
        <f>VLOOKUP($B65,'Data Vlaue (Cr)'!$C:$FB,68)</f>
        <v>2277</v>
      </c>
      <c r="P65" s="5">
        <f t="shared" si="21"/>
        <v>-19.027705175117614</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Pharma</v>
      </c>
      <c r="B66" s="79" t="str">
        <f>'Data shares'!C61</f>
        <v>DRREDDY</v>
      </c>
      <c r="C66" s="4">
        <f>VLOOKUP($B66,'Data shares'!$C:$FB,7)</f>
        <v>1327.9</v>
      </c>
      <c r="D66" s="82">
        <f>VLOOKUP($B66,'Data shares'!$C:$FB,98)</f>
        <v>21895000</v>
      </c>
      <c r="E66" s="165">
        <f>VLOOKUP(B66,'Snapshot (Volume)'!$A$7:$G$168,7,0)</f>
        <v>37230625</v>
      </c>
      <c r="F66" s="165">
        <f t="shared" si="18"/>
        <v>-15335625</v>
      </c>
      <c r="G66" s="166">
        <f t="shared" si="19"/>
        <v>-0.41190887877923082</v>
      </c>
      <c r="H66" s="165">
        <f>VLOOKUP($B66,'Data shares'!$C:$FB,66)</f>
        <v>21683750</v>
      </c>
      <c r="I66" s="165">
        <f>VLOOKUP($B66,'Data shares'!$C:$FB,67)</f>
        <v>36713750</v>
      </c>
      <c r="J66" s="81">
        <f t="shared" si="20"/>
        <v>-40.938340539988424</v>
      </c>
      <c r="K66" s="5">
        <f>VLOOKUP($B66,'Data Vlaue (Cr)'!$C:$FB,99)</f>
        <v>2904</v>
      </c>
      <c r="L66" s="81">
        <f>VLOOKUP(B66,'OI(Value)'!$A$7:$C$232,3,0)</f>
        <v>-2034</v>
      </c>
      <c r="M66" s="33">
        <f t="shared" ref="M66:M93" si="22">L66/K66*100</f>
        <v>-70.041322314049594</v>
      </c>
      <c r="N66" s="5">
        <f>VLOOKUP($B66,'Data Vlaue (Cr)'!$C:$FB,67)</f>
        <v>2876</v>
      </c>
      <c r="O66" s="5">
        <f>VLOOKUP($B66,'Data Vlaue (Cr)'!$C:$FB,68)</f>
        <v>4870</v>
      </c>
      <c r="P66" s="5">
        <f t="shared" si="21"/>
        <v>-69.332406119610567</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EICHERMOT</v>
      </c>
      <c r="C67" s="4">
        <f>VLOOKUP($B67,'Data shares'!$C:$FB,7)</f>
        <v>7376</v>
      </c>
      <c r="D67" s="82">
        <f>VLOOKUP($B67,'Data shares'!$C:$FB,98)</f>
        <v>4953800</v>
      </c>
      <c r="E67" s="165">
        <f>VLOOKUP(B67,'Snapshot (Volume)'!$A$7:$G$168,7,0)</f>
        <v>7303600</v>
      </c>
      <c r="F67" s="165">
        <f t="shared" si="18"/>
        <v>-2349800</v>
      </c>
      <c r="G67" s="166">
        <f t="shared" si="19"/>
        <v>-0.32173174872665533</v>
      </c>
      <c r="H67" s="165">
        <f>VLOOKUP($B67,'Data shares'!$C:$FB,66)</f>
        <v>7580800</v>
      </c>
      <c r="I67" s="165">
        <f>VLOOKUP($B67,'Data shares'!$C:$FB,67)</f>
        <v>30354800</v>
      </c>
      <c r="J67" s="81">
        <f t="shared" si="20"/>
        <v>-75.026025537970924</v>
      </c>
      <c r="K67" s="5">
        <f>VLOOKUP($B67,'Data Vlaue (Cr)'!$C:$FB,99)</f>
        <v>3672</v>
      </c>
      <c r="L67" s="81">
        <f>VLOOKUP(B67,'OI(Value)'!$A$7:$C$232,3,0)</f>
        <v>-1742</v>
      </c>
      <c r="M67" s="33">
        <f t="shared" si="22"/>
        <v>-47.4400871459695</v>
      </c>
      <c r="N67" s="5">
        <f>VLOOKUP($B67,'Data Vlaue (Cr)'!$C:$FB,67)</f>
        <v>5619</v>
      </c>
      <c r="O67" s="5">
        <f>VLOOKUP($B67,'Data Vlaue (Cr)'!$C:$FB,68)</f>
        <v>22499</v>
      </c>
      <c r="P67" s="5">
        <f t="shared" si="21"/>
        <v>-300.40932550275852</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New_Age</v>
      </c>
      <c r="B68" s="79" t="str">
        <f>'Data shares'!C63</f>
        <v>ETERNAL</v>
      </c>
      <c r="C68" s="4">
        <f>VLOOKUP($B68,'Data shares'!$C:$FB,7)</f>
        <v>250.17</v>
      </c>
      <c r="D68" s="82">
        <f>VLOOKUP($B68,'Data shares'!$C:$FB,98)</f>
        <v>242856475</v>
      </c>
      <c r="E68" s="165">
        <f>VLOOKUP(B68,'Snapshot (Volume)'!$A$7:$G$168,7,0)</f>
        <v>315208775</v>
      </c>
      <c r="F68" s="165">
        <f t="shared" si="18"/>
        <v>-72352300</v>
      </c>
      <c r="G68" s="166">
        <f t="shared" si="19"/>
        <v>-0.22953770877730165</v>
      </c>
      <c r="H68" s="165">
        <f>VLOOKUP($B68,'Data shares'!$C:$FB,66)</f>
        <v>227574125</v>
      </c>
      <c r="I68" s="165">
        <f>VLOOKUP($B68,'Data shares'!$C:$FB,67)</f>
        <v>273932850</v>
      </c>
      <c r="J68" s="81">
        <f t="shared" si="20"/>
        <v>-16.923390166604698</v>
      </c>
      <c r="K68" s="5">
        <f>VLOOKUP($B68,'Data Vlaue (Cr)'!$C:$FB,99)</f>
        <v>6130</v>
      </c>
      <c r="L68" s="81">
        <f>VLOOKUP(B68,'OI(Value)'!$A$7:$C$232,3,0)</f>
        <v>-1826</v>
      </c>
      <c r="M68" s="33">
        <f t="shared" si="22"/>
        <v>-29.787928221859705</v>
      </c>
      <c r="N68" s="5">
        <f>VLOOKUP($B68,'Data Vlaue (Cr)'!$C:$FB,67)</f>
        <v>5744</v>
      </c>
      <c r="O68" s="5">
        <f>VLOOKUP($B68,'Data Vlaue (Cr)'!$C:$FB,68)</f>
        <v>6914</v>
      </c>
      <c r="P68" s="5">
        <f t="shared" si="21"/>
        <v>-20.369080779944291</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Automobile</v>
      </c>
      <c r="B69" s="79" t="str">
        <f>'Data shares'!C64</f>
        <v>EXIDEIND</v>
      </c>
      <c r="C69" s="79">
        <f>VLOOKUP($B69,'Data shares'!$C:$FB,7)</f>
        <v>366.25</v>
      </c>
      <c r="D69" s="165">
        <f>VLOOKUP($B69,'Data shares'!$C:$FB,98)</f>
        <v>34927200</v>
      </c>
      <c r="E69" s="165">
        <f>VLOOKUP(B69,'Snapshot (Volume)'!$A$7:$G$168,7,0)</f>
        <v>49757400</v>
      </c>
      <c r="F69" s="165">
        <f t="shared" ref="F69:F85" si="23">D69-E69</f>
        <v>-14830200</v>
      </c>
      <c r="G69" s="166">
        <f t="shared" ref="G69:G85" si="24">F69/E69</f>
        <v>-0.29805013927576601</v>
      </c>
      <c r="H69" s="165">
        <f>VLOOKUP($B69,'Data shares'!$C:$FB,66)</f>
        <v>64323000</v>
      </c>
      <c r="I69" s="165">
        <f>VLOOKUP($B69,'Data shares'!$C:$FB,67)</f>
        <v>29608200</v>
      </c>
      <c r="J69" s="81">
        <f t="shared" ref="J69:J85" si="25">(H69-I69)/I69*100</f>
        <v>117.24724907289198</v>
      </c>
      <c r="K69" s="81">
        <f>VLOOKUP($B69,'Data Vlaue (Cr)'!$C:$FB,99)</f>
        <v>1286</v>
      </c>
      <c r="L69" s="81">
        <f>VLOOKUP(B69,'OI(Value)'!$A$7:$C$232,3,0)</f>
        <v>-546</v>
      </c>
      <c r="M69" s="81">
        <f t="shared" si="22"/>
        <v>-42.457231726283048</v>
      </c>
      <c r="N69" s="81">
        <f>VLOOKUP($B69,'Data Vlaue (Cr)'!$C:$FB,67)</f>
        <v>2368</v>
      </c>
      <c r="O69" s="81">
        <f>VLOOKUP($B69,'Data Vlaue (Cr)'!$C:$FB,68)</f>
        <v>1090</v>
      </c>
      <c r="P69" s="81">
        <f t="shared" ref="P69:P85" si="26">(N69-O69)/N69*100</f>
        <v>53.969594594594597</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Banking</v>
      </c>
      <c r="B70" s="79" t="str">
        <f>'Data shares'!C65</f>
        <v>FEDERALBNK</v>
      </c>
      <c r="C70" s="79">
        <f>VLOOKUP($B70,'Data shares'!$C:$FB,7)</f>
        <v>290.2</v>
      </c>
      <c r="D70" s="165">
        <f>VLOOKUP($B70,'Data shares'!$C:$FB,98)</f>
        <v>98252500</v>
      </c>
      <c r="E70" s="165">
        <f>VLOOKUP(B70,'Snapshot (Volume)'!$A$7:$G$168,7,0)</f>
        <v>135120000</v>
      </c>
      <c r="F70" s="165">
        <f t="shared" si="23"/>
        <v>-36867500</v>
      </c>
      <c r="G70" s="166">
        <f t="shared" si="24"/>
        <v>-0.27285005920663113</v>
      </c>
      <c r="H70" s="165">
        <f>VLOOKUP($B70,'Data shares'!$C:$FB,66)</f>
        <v>61937500</v>
      </c>
      <c r="I70" s="165">
        <f>VLOOKUP($B70,'Data shares'!$C:$FB,67)</f>
        <v>93445000</v>
      </c>
      <c r="J70" s="81">
        <f t="shared" si="25"/>
        <v>-33.717694900743759</v>
      </c>
      <c r="K70" s="81">
        <f>VLOOKUP($B70,'Data Vlaue (Cr)'!$C:$FB,99)</f>
        <v>2865</v>
      </c>
      <c r="L70" s="81">
        <f>VLOOKUP(B70,'OI(Value)'!$A$7:$C$232,3,0)</f>
        <v>-1075</v>
      </c>
      <c r="M70" s="81">
        <f t="shared" si="22"/>
        <v>-37.521815008726009</v>
      </c>
      <c r="N70" s="81">
        <f>VLOOKUP($B70,'Data Vlaue (Cr)'!$C:$FB,67)</f>
        <v>1806</v>
      </c>
      <c r="O70" s="81">
        <f>VLOOKUP($B70,'Data Vlaue (Cr)'!$C:$FB,68)</f>
        <v>2724</v>
      </c>
      <c r="P70" s="81">
        <f t="shared" si="26"/>
        <v>-50.830564784053159</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Index</v>
      </c>
      <c r="B71" s="79" t="str">
        <f>'Data shares'!C66</f>
        <v>FINNIFTY</v>
      </c>
      <c r="C71" s="4">
        <f>VLOOKUP($B71,'Data shares'!$C:$FB,7)</f>
        <v>25932.25</v>
      </c>
      <c r="D71" s="82">
        <f>VLOOKUP($B71,'Data shares'!$C:$FB,98)</f>
        <v>31980</v>
      </c>
      <c r="E71" s="165">
        <f>VLOOKUP(B71,'Snapshot (Volume)'!$A$7:$G$168,7,0)</f>
        <v>2058720</v>
      </c>
      <c r="F71" s="165">
        <f t="shared" si="23"/>
        <v>-2026740</v>
      </c>
      <c r="G71" s="166">
        <f t="shared" si="24"/>
        <v>-0.98446607600839353</v>
      </c>
      <c r="H71" s="165">
        <f>VLOOKUP($B71,'Data shares'!$C:$FB,66)</f>
        <v>167187960</v>
      </c>
      <c r="I71" s="165">
        <f>VLOOKUP($B71,'Data shares'!$C:$FB,67)</f>
        <v>19117200</v>
      </c>
      <c r="J71" s="81">
        <f t="shared" si="25"/>
        <v>774.5420877534367</v>
      </c>
      <c r="K71" s="5">
        <f>VLOOKUP($B71,'Data Vlaue (Cr)'!$C:$FB,99)</f>
        <v>83</v>
      </c>
      <c r="L71" s="81">
        <f>VLOOKUP(B71,'OI(Value)'!$A$7:$C$232,3,0)</f>
        <v>-5282</v>
      </c>
      <c r="M71" s="33">
        <f t="shared" si="22"/>
        <v>-6363.8554216867469</v>
      </c>
      <c r="N71" s="5">
        <f>VLOOKUP($B71,'Data Vlaue (Cr)'!$C:$FB,67)</f>
        <v>435722</v>
      </c>
      <c r="O71" s="5">
        <f>VLOOKUP($B71,'Data Vlaue (Cr)'!$C:$FB,68)</f>
        <v>49823</v>
      </c>
      <c r="P71" s="5">
        <f t="shared" si="26"/>
        <v>88.56541556313428</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Automobile</v>
      </c>
      <c r="B72" s="79" t="str">
        <f>'Data shares'!C67</f>
        <v>FORCEMOT</v>
      </c>
      <c r="C72" s="4">
        <f>VLOOKUP($B72,'Data shares'!$C:$FB,7)</f>
        <v>19833</v>
      </c>
      <c r="D72" s="82">
        <f>VLOOKUP($B72,'Data shares'!$C:$FB,98)</f>
        <v>264550</v>
      </c>
      <c r="E72" s="165">
        <f>VLOOKUP(B72,'Snapshot (Volume)'!$A$7:$G$168,7,0)</f>
        <v>515625</v>
      </c>
      <c r="F72" s="165">
        <f t="shared" si="23"/>
        <v>-251075</v>
      </c>
      <c r="G72" s="166">
        <f t="shared" si="24"/>
        <v>-0.48693333333333333</v>
      </c>
      <c r="H72" s="165">
        <f>VLOOKUP($B72,'Data shares'!$C:$FB,66)</f>
        <v>634300</v>
      </c>
      <c r="I72" s="165">
        <f>VLOOKUP($B72,'Data shares'!$C:$FB,67)</f>
        <v>2847075</v>
      </c>
      <c r="J72" s="81">
        <f t="shared" si="25"/>
        <v>-77.720994353854394</v>
      </c>
      <c r="K72" s="5">
        <f>VLOOKUP($B72,'Data Vlaue (Cr)'!$C:$FB,99)</f>
        <v>526</v>
      </c>
      <c r="L72" s="81">
        <f>VLOOKUP(B72,'OI(Value)'!$A$7:$C$232,3,0)</f>
        <v>-500</v>
      </c>
      <c r="M72" s="33">
        <f t="shared" si="22"/>
        <v>-95.057034220532316</v>
      </c>
      <c r="N72" s="5">
        <f>VLOOKUP($B72,'Data Vlaue (Cr)'!$C:$FB,67)</f>
        <v>1262</v>
      </c>
      <c r="O72" s="5">
        <f>VLOOKUP($B72,'Data Vlaue (Cr)'!$C:$FB,68)</f>
        <v>5666</v>
      </c>
      <c r="P72" s="5">
        <f t="shared" si="26"/>
        <v>-348.9698890649762</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Pharma</v>
      </c>
      <c r="B73" s="79" t="str">
        <f>'Data shares'!C68</f>
        <v>FORTIS</v>
      </c>
      <c r="C73" s="4">
        <f>VLOOKUP($B73,'Data shares'!$C:$FB,7)</f>
        <v>966.6</v>
      </c>
      <c r="D73" s="82">
        <f>VLOOKUP($B73,'Data shares'!$C:$FB,98)</f>
        <v>11261525</v>
      </c>
      <c r="E73" s="165">
        <f>VLOOKUP(B73,'Snapshot (Volume)'!$A$7:$G$168,7,0)</f>
        <v>13930625</v>
      </c>
      <c r="F73" s="165">
        <f t="shared" si="23"/>
        <v>-2669100</v>
      </c>
      <c r="G73" s="166">
        <f t="shared" si="24"/>
        <v>-0.19159944367176635</v>
      </c>
      <c r="H73" s="165">
        <f>VLOOKUP($B73,'Data shares'!$C:$FB,66)</f>
        <v>6658800</v>
      </c>
      <c r="I73" s="165">
        <f>VLOOKUP($B73,'Data shares'!$C:$FB,67)</f>
        <v>26250800</v>
      </c>
      <c r="J73" s="81">
        <f t="shared" si="25"/>
        <v>-74.633915918752962</v>
      </c>
      <c r="K73" s="5">
        <f>VLOOKUP($B73,'Data Vlaue (Cr)'!$C:$FB,99)</f>
        <v>1097</v>
      </c>
      <c r="L73" s="81">
        <f>VLOOKUP(B73,'OI(Value)'!$A$7:$C$232,3,0)</f>
        <v>-260</v>
      </c>
      <c r="M73" s="33">
        <f t="shared" si="22"/>
        <v>-23.701002734731087</v>
      </c>
      <c r="N73" s="5">
        <f>VLOOKUP($B73,'Data Vlaue (Cr)'!$C:$FB,67)</f>
        <v>649</v>
      </c>
      <c r="O73" s="5">
        <f>VLOOKUP($B73,'Data Vlaue (Cr)'!$C:$FB,68)</f>
        <v>2557</v>
      </c>
      <c r="P73" s="5">
        <f t="shared" si="26"/>
        <v>-293.99075500770414</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Oil_Gas</v>
      </c>
      <c r="B74" s="79" t="str">
        <f>'Data shares'!C69</f>
        <v>GAIL</v>
      </c>
      <c r="C74" s="4">
        <f>VLOOKUP($B74,'Data shares'!$C:$FB,7)</f>
        <v>167.63</v>
      </c>
      <c r="D74" s="82">
        <f>VLOOKUP($B74,'Data shares'!$C:$FB,98)</f>
        <v>110052900</v>
      </c>
      <c r="E74" s="165">
        <f>VLOOKUP(B74,'Snapshot (Volume)'!$A$7:$G$168,7,0)</f>
        <v>152305200</v>
      </c>
      <c r="F74" s="165">
        <f t="shared" si="23"/>
        <v>-42252300</v>
      </c>
      <c r="G74" s="166">
        <f t="shared" si="24"/>
        <v>-0.2774186304866807</v>
      </c>
      <c r="H74" s="165">
        <f>VLOOKUP($B74,'Data shares'!$C:$FB,66)</f>
        <v>92124900</v>
      </c>
      <c r="I74" s="165">
        <f>VLOOKUP($B74,'Data shares'!$C:$FB,67)</f>
        <v>369050850</v>
      </c>
      <c r="J74" s="81">
        <f t="shared" si="25"/>
        <v>-75.037342415008666</v>
      </c>
      <c r="K74" s="5">
        <f>VLOOKUP($B74,'Data Vlaue (Cr)'!$C:$FB,99)</f>
        <v>1859</v>
      </c>
      <c r="L74" s="81">
        <f>VLOOKUP(B74,'OI(Value)'!$A$7:$C$232,3,0)</f>
        <v>-714</v>
      </c>
      <c r="M74" s="33">
        <f t="shared" si="22"/>
        <v>-38.407746100053792</v>
      </c>
      <c r="N74" s="5">
        <f>VLOOKUP($B74,'Data Vlaue (Cr)'!$C:$FB,67)</f>
        <v>1556</v>
      </c>
      <c r="O74" s="5">
        <f>VLOOKUP($B74,'Data Vlaue (Cr)'!$C:$FB,68)</f>
        <v>6235</v>
      </c>
      <c r="P74" s="5">
        <f t="shared" si="26"/>
        <v>-300.70694087403598</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Pharma</v>
      </c>
      <c r="B75" s="79" t="str">
        <f>'Data shares'!C70</f>
        <v>GLENMARK</v>
      </c>
      <c r="C75" s="4">
        <f>VLOOKUP($B75,'Data shares'!$C:$FB,7)</f>
        <v>2351.4</v>
      </c>
      <c r="D75" s="82">
        <f>VLOOKUP($B75,'Data shares'!$C:$FB,98)</f>
        <v>13962375</v>
      </c>
      <c r="E75" s="165">
        <f>VLOOKUP(B75,'Snapshot (Volume)'!$A$7:$G$168,7,0)</f>
        <v>16407375</v>
      </c>
      <c r="F75" s="165">
        <f t="shared" si="23"/>
        <v>-2445000</v>
      </c>
      <c r="G75" s="166">
        <f t="shared" si="24"/>
        <v>-0.149018353027221</v>
      </c>
      <c r="H75" s="165">
        <f>VLOOKUP($B75,'Data shares'!$C:$FB,66)</f>
        <v>10188000</v>
      </c>
      <c r="I75" s="165">
        <f>VLOOKUP($B75,'Data shares'!$C:$FB,67)</f>
        <v>28813500</v>
      </c>
      <c r="J75" s="81">
        <f t="shared" si="25"/>
        <v>-64.641574262064665</v>
      </c>
      <c r="K75" s="5">
        <f>VLOOKUP($B75,'Data Vlaue (Cr)'!$C:$FB,99)</f>
        <v>3312</v>
      </c>
      <c r="L75" s="81">
        <f>VLOOKUP(B75,'OI(Value)'!$A$7:$C$232,3,0)</f>
        <v>-580</v>
      </c>
      <c r="M75" s="33">
        <f t="shared" si="22"/>
        <v>-17.512077294685991</v>
      </c>
      <c r="N75" s="5">
        <f>VLOOKUP($B75,'Data Vlaue (Cr)'!$C:$FB,67)</f>
        <v>2417</v>
      </c>
      <c r="O75" s="5">
        <f>VLOOKUP($B75,'Data Vlaue (Cr)'!$C:$FB,68)</f>
        <v>6835</v>
      </c>
      <c r="P75" s="5">
        <f t="shared" si="26"/>
        <v>-182.78858088539511</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Infrastructure</v>
      </c>
      <c r="B76" s="79" t="str">
        <f>'Data shares'!C71</f>
        <v>GMRAIRPORT</v>
      </c>
      <c r="C76" s="4">
        <f>VLOOKUP($B76,'Data shares'!$C:$FB,7)</f>
        <v>96.23</v>
      </c>
      <c r="D76" s="82">
        <f>VLOOKUP($B76,'Data shares'!$C:$FB,98)</f>
        <v>157586175</v>
      </c>
      <c r="E76" s="165">
        <f>VLOOKUP(B76,'Snapshot (Volume)'!$A$7:$G$168,7,0)</f>
        <v>215109000</v>
      </c>
      <c r="F76" s="165">
        <f t="shared" si="23"/>
        <v>-57522825</v>
      </c>
      <c r="G76" s="166">
        <f t="shared" si="24"/>
        <v>-0.2674124513618677</v>
      </c>
      <c r="H76" s="165">
        <f>VLOOKUP($B76,'Data shares'!$C:$FB,66)</f>
        <v>108914625</v>
      </c>
      <c r="I76" s="165">
        <f>VLOOKUP($B76,'Data shares'!$C:$FB,67)</f>
        <v>111662775</v>
      </c>
      <c r="J76" s="81">
        <f t="shared" si="25"/>
        <v>-2.4611156224623647</v>
      </c>
      <c r="K76" s="5">
        <f>VLOOKUP($B76,'Data Vlaue (Cr)'!$C:$FB,99)</f>
        <v>1527</v>
      </c>
      <c r="L76" s="81">
        <f>VLOOKUP(B76,'OI(Value)'!$A$7:$C$232,3,0)</f>
        <v>-557</v>
      </c>
      <c r="M76" s="33">
        <f t="shared" si="22"/>
        <v>-36.47675180091683</v>
      </c>
      <c r="N76" s="5">
        <f>VLOOKUP($B76,'Data Vlaue (Cr)'!$C:$FB,67)</f>
        <v>1055</v>
      </c>
      <c r="O76" s="5">
        <f>VLOOKUP($B76,'Data Vlaue (Cr)'!$C:$FB,68)</f>
        <v>1082</v>
      </c>
      <c r="P76" s="5">
        <f t="shared" si="26"/>
        <v>-2.5592417061611377</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FMCG</v>
      </c>
      <c r="B77" s="79" t="str">
        <f>'Data shares'!C72</f>
        <v>GODFRYPHLP</v>
      </c>
      <c r="C77" s="4">
        <f>VLOOKUP($B77,'Data shares'!$C:$FB,7)</f>
        <v>2298.4</v>
      </c>
      <c r="D77" s="82">
        <f>VLOOKUP($B77,'Data shares'!$C:$FB,98)</f>
        <v>3301925</v>
      </c>
      <c r="E77" s="165">
        <f>VLOOKUP(B77,'Snapshot (Volume)'!$A$7:$G$168,7,0)</f>
        <v>4886475</v>
      </c>
      <c r="F77" s="165">
        <f t="shared" si="23"/>
        <v>-1584550</v>
      </c>
      <c r="G77" s="166">
        <f t="shared" si="24"/>
        <v>-0.32427260960099047</v>
      </c>
      <c r="H77" s="165">
        <f>VLOOKUP($B77,'Data shares'!$C:$FB,66)</f>
        <v>5966950</v>
      </c>
      <c r="I77" s="165">
        <f>VLOOKUP($B77,'Data shares'!$C:$FB,67)</f>
        <v>8840425</v>
      </c>
      <c r="J77" s="81">
        <f t="shared" si="25"/>
        <v>-32.50381061996454</v>
      </c>
      <c r="K77" s="5">
        <f>VLOOKUP($B77,'Data Vlaue (Cr)'!$C:$FB,99)</f>
        <v>763</v>
      </c>
      <c r="L77" s="81">
        <f>VLOOKUP(B77,'OI(Value)'!$A$7:$C$232,3,0)</f>
        <v>-366</v>
      </c>
      <c r="M77" s="33">
        <f t="shared" si="22"/>
        <v>-47.968545216251641</v>
      </c>
      <c r="N77" s="5">
        <f>VLOOKUP($B77,'Data Vlaue (Cr)'!$C:$FB,67)</f>
        <v>1379</v>
      </c>
      <c r="O77" s="5">
        <f>VLOOKUP($B77,'Data Vlaue (Cr)'!$C:$FB,68)</f>
        <v>2043</v>
      </c>
      <c r="P77" s="5">
        <f t="shared" si="26"/>
        <v>-48.150833937635966</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FMCG</v>
      </c>
      <c r="B78" s="79" t="str">
        <f>'Data shares'!C73</f>
        <v>GODREJCP</v>
      </c>
      <c r="C78" s="4">
        <f>VLOOKUP($B78,'Data shares'!$C:$FB,7)</f>
        <v>1031.8</v>
      </c>
      <c r="D78" s="82">
        <f>VLOOKUP($B78,'Data shares'!$C:$FB,98)</f>
        <v>13128500</v>
      </c>
      <c r="E78" s="165">
        <f>VLOOKUP(B78,'Snapshot (Volume)'!$A$7:$G$168,7,0)</f>
        <v>18969000</v>
      </c>
      <c r="F78" s="165">
        <f t="shared" si="23"/>
        <v>-5840500</v>
      </c>
      <c r="G78" s="166">
        <f t="shared" si="24"/>
        <v>-0.30789709526068848</v>
      </c>
      <c r="H78" s="165">
        <f>VLOOKUP($B78,'Data shares'!$C:$FB,66)</f>
        <v>6682000</v>
      </c>
      <c r="I78" s="165">
        <f>VLOOKUP($B78,'Data shares'!$C:$FB,67)</f>
        <v>14110000</v>
      </c>
      <c r="J78" s="81">
        <f t="shared" si="25"/>
        <v>-52.643515237420267</v>
      </c>
      <c r="K78" s="5">
        <f>VLOOKUP($B78,'Data Vlaue (Cr)'!$C:$FB,99)</f>
        <v>1362</v>
      </c>
      <c r="L78" s="81">
        <f>VLOOKUP(B78,'OI(Value)'!$A$7:$C$232,3,0)</f>
        <v>-606</v>
      </c>
      <c r="M78" s="33">
        <f t="shared" si="22"/>
        <v>-44.493392070484582</v>
      </c>
      <c r="N78" s="5">
        <f>VLOOKUP($B78,'Data Vlaue (Cr)'!$C:$FB,67)</f>
        <v>693</v>
      </c>
      <c r="O78" s="5">
        <f>VLOOKUP($B78,'Data Vlaue (Cr)'!$C:$FB,68)</f>
        <v>1463</v>
      </c>
      <c r="P78" s="5">
        <f t="shared" si="26"/>
        <v>-111.11111111111111</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Realty</v>
      </c>
      <c r="B79" s="79" t="str">
        <f>'Data shares'!C74</f>
        <v>GODREJPROP</v>
      </c>
      <c r="C79" s="4">
        <f>VLOOKUP($B79,'Data shares'!$C:$FB,7)</f>
        <v>1760.2</v>
      </c>
      <c r="D79" s="82">
        <f>VLOOKUP($B79,'Data shares'!$C:$FB,98)</f>
        <v>10055250</v>
      </c>
      <c r="E79" s="165">
        <f>VLOOKUP(B79,'Snapshot (Volume)'!$A$7:$G$168,7,0)</f>
        <v>13320700</v>
      </c>
      <c r="F79" s="165">
        <f t="shared" si="23"/>
        <v>-3265450</v>
      </c>
      <c r="G79" s="166">
        <f t="shared" si="24"/>
        <v>-0.24514102111750885</v>
      </c>
      <c r="H79" s="165">
        <f>VLOOKUP($B79,'Data shares'!$C:$FB,66)</f>
        <v>7513550</v>
      </c>
      <c r="I79" s="165">
        <f>VLOOKUP($B79,'Data shares'!$C:$FB,67)</f>
        <v>12365925</v>
      </c>
      <c r="J79" s="81">
        <f t="shared" si="25"/>
        <v>-39.239887028265173</v>
      </c>
      <c r="K79" s="5">
        <f>VLOOKUP($B79,'Data Vlaue (Cr)'!$C:$FB,99)</f>
        <v>1781</v>
      </c>
      <c r="L79" s="81">
        <f>VLOOKUP(B79,'OI(Value)'!$A$7:$C$232,3,0)</f>
        <v>-579</v>
      </c>
      <c r="M79" s="33">
        <f t="shared" si="22"/>
        <v>-32.50982594048287</v>
      </c>
      <c r="N79" s="5">
        <f>VLOOKUP($B79,'Data Vlaue (Cr)'!$C:$FB,67)</f>
        <v>1331</v>
      </c>
      <c r="O79" s="5">
        <f>VLOOKUP($B79,'Data Vlaue (Cr)'!$C:$FB,68)</f>
        <v>2191</v>
      </c>
      <c r="P79" s="5">
        <f t="shared" si="26"/>
        <v>-64.613072877535686</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Cement</v>
      </c>
      <c r="B80" s="79" t="str">
        <f>'Data shares'!C75</f>
        <v>GRASIM</v>
      </c>
      <c r="C80" s="4">
        <f>VLOOKUP($B80,'Data shares'!$C:$FB,7)</f>
        <v>3165</v>
      </c>
      <c r="D80" s="82">
        <f>VLOOKUP($B80,'Data shares'!$C:$FB,98)</f>
        <v>16942500</v>
      </c>
      <c r="E80" s="165">
        <f>VLOOKUP(B80,'Snapshot (Volume)'!$A$7:$G$168,7,0)</f>
        <v>21216000</v>
      </c>
      <c r="F80" s="165">
        <f t="shared" si="23"/>
        <v>-4273500</v>
      </c>
      <c r="G80" s="166">
        <f t="shared" si="24"/>
        <v>-0.20142816742081449</v>
      </c>
      <c r="H80" s="165">
        <f>VLOOKUP($B80,'Data shares'!$C:$FB,66)</f>
        <v>9102750</v>
      </c>
      <c r="I80" s="165">
        <f>VLOOKUP($B80,'Data shares'!$C:$FB,67)</f>
        <v>14635250</v>
      </c>
      <c r="J80" s="81">
        <f t="shared" si="25"/>
        <v>-37.802565723168378</v>
      </c>
      <c r="K80" s="5">
        <f>VLOOKUP($B80,'Data Vlaue (Cr)'!$C:$FB,99)</f>
        <v>5400</v>
      </c>
      <c r="L80" s="81">
        <f>VLOOKUP(B80,'OI(Value)'!$A$7:$C$232,3,0)</f>
        <v>-1362</v>
      </c>
      <c r="M80" s="33">
        <f t="shared" si="22"/>
        <v>-25.222222222222225</v>
      </c>
      <c r="N80" s="5">
        <f>VLOOKUP($B80,'Data Vlaue (Cr)'!$C:$FB,67)</f>
        <v>2901</v>
      </c>
      <c r="O80" s="5">
        <f>VLOOKUP($B80,'Data Vlaue (Cr)'!$C:$FB,68)</f>
        <v>4665</v>
      </c>
      <c r="P80" s="5">
        <f t="shared" si="26"/>
        <v>-60.806618407445711</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Capital_Goods</v>
      </c>
      <c r="B81" s="79" t="str">
        <f>'Data shares'!C76</f>
        <v>HAL</v>
      </c>
      <c r="C81" s="4">
        <f>VLOOKUP($B81,'Data shares'!$C:$FB,7)</f>
        <v>4427.7</v>
      </c>
      <c r="D81" s="82">
        <f>VLOOKUP($B81,'Data shares'!$C:$FB,98)</f>
        <v>9368250</v>
      </c>
      <c r="E81" s="165">
        <f>VLOOKUP(B81,'Snapshot (Volume)'!$A$7:$G$168,7,0)</f>
        <v>13917900</v>
      </c>
      <c r="F81" s="165">
        <f t="shared" si="23"/>
        <v>-4549650</v>
      </c>
      <c r="G81" s="166">
        <f t="shared" si="24"/>
        <v>-0.32689198801543334</v>
      </c>
      <c r="H81" s="165">
        <f>VLOOKUP($B81,'Data shares'!$C:$FB,66)</f>
        <v>9536850</v>
      </c>
      <c r="I81" s="165">
        <f>VLOOKUP($B81,'Data shares'!$C:$FB,67)</f>
        <v>16068300</v>
      </c>
      <c r="J81" s="81">
        <f t="shared" si="25"/>
        <v>-40.648046152984449</v>
      </c>
      <c r="K81" s="5">
        <f>VLOOKUP($B81,'Data Vlaue (Cr)'!$C:$FB,99)</f>
        <v>4179</v>
      </c>
      <c r="L81" s="81">
        <f>VLOOKUP(B81,'OI(Value)'!$A$7:$C$232,3,0)</f>
        <v>-2029</v>
      </c>
      <c r="M81" s="33">
        <f t="shared" si="22"/>
        <v>-48.552285235702321</v>
      </c>
      <c r="N81" s="5">
        <f>VLOOKUP($B81,'Data Vlaue (Cr)'!$C:$FB,67)</f>
        <v>4254</v>
      </c>
      <c r="O81" s="5">
        <f>VLOOKUP($B81,'Data Vlaue (Cr)'!$C:$FB,68)</f>
        <v>7167</v>
      </c>
      <c r="P81" s="5">
        <f t="shared" si="26"/>
        <v>-68.476727785613548</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Capital_Goods</v>
      </c>
      <c r="B82" s="79" t="str">
        <f>'Data shares'!C77</f>
        <v>HAVELLS</v>
      </c>
      <c r="C82" s="4">
        <f>VLOOKUP($B82,'Data shares'!$C:$FB,7)</f>
        <v>1201</v>
      </c>
      <c r="D82" s="82">
        <f>VLOOKUP($B82,'Data shares'!$C:$FB,98)</f>
        <v>11775500</v>
      </c>
      <c r="E82" s="165">
        <f>VLOOKUP(B82,'Snapshot (Volume)'!$A$7:$G$168,7,0)</f>
        <v>17417500</v>
      </c>
      <c r="F82" s="165">
        <f t="shared" si="23"/>
        <v>-5642000</v>
      </c>
      <c r="G82" s="166">
        <f t="shared" si="24"/>
        <v>-0.3239270848284771</v>
      </c>
      <c r="H82" s="165">
        <f>VLOOKUP($B82,'Data shares'!$C:$FB,66)</f>
        <v>10769500</v>
      </c>
      <c r="I82" s="165">
        <f>VLOOKUP($B82,'Data shares'!$C:$FB,67)</f>
        <v>8173000</v>
      </c>
      <c r="J82" s="81">
        <f t="shared" si="25"/>
        <v>31.769240181084058</v>
      </c>
      <c r="K82" s="5">
        <f>VLOOKUP($B82,'Data Vlaue (Cr)'!$C:$FB,99)</f>
        <v>1426</v>
      </c>
      <c r="L82" s="81">
        <f>VLOOKUP(B82,'OI(Value)'!$A$7:$C$232,3,0)</f>
        <v>-683</v>
      </c>
      <c r="M82" s="33">
        <f t="shared" si="22"/>
        <v>-47.896213183730715</v>
      </c>
      <c r="N82" s="5">
        <f>VLOOKUP($B82,'Data Vlaue (Cr)'!$C:$FB,67)</f>
        <v>1304</v>
      </c>
      <c r="O82" s="5">
        <f>VLOOKUP($B82,'Data Vlaue (Cr)'!$C:$FB,68)</f>
        <v>990</v>
      </c>
      <c r="P82" s="5">
        <f t="shared" si="26"/>
        <v>24.079754601226995</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Technology</v>
      </c>
      <c r="B83" s="79" t="str">
        <f>'Data shares'!C78</f>
        <v>HCLTECH</v>
      </c>
      <c r="C83" s="4">
        <f>VLOOKUP($B83,'Data shares'!$C:$FB,7)</f>
        <v>1161.9000000000001</v>
      </c>
      <c r="D83" s="82">
        <f>VLOOKUP($B83,'Data shares'!$C:$FB,98)</f>
        <v>47429400</v>
      </c>
      <c r="E83" s="165">
        <f>VLOOKUP(B83,'Snapshot (Volume)'!$A$7:$G$168,7,0)</f>
        <v>78039050</v>
      </c>
      <c r="F83" s="165">
        <f t="shared" si="23"/>
        <v>-30609650</v>
      </c>
      <c r="G83" s="166">
        <f t="shared" si="24"/>
        <v>-0.39223504130303993</v>
      </c>
      <c r="H83" s="165">
        <f>VLOOKUP($B83,'Data shares'!$C:$FB,66)</f>
        <v>26512150</v>
      </c>
      <c r="I83" s="165">
        <f>VLOOKUP($B83,'Data shares'!$C:$FB,67)</f>
        <v>57250550</v>
      </c>
      <c r="J83" s="81">
        <f t="shared" si="25"/>
        <v>-53.691012575425034</v>
      </c>
      <c r="K83" s="5">
        <f>VLOOKUP($B83,'Data Vlaue (Cr)'!$C:$FB,99)</f>
        <v>5508</v>
      </c>
      <c r="L83" s="81">
        <f>VLOOKUP(B83,'OI(Value)'!$A$7:$C$232,3,0)</f>
        <v>-3555</v>
      </c>
      <c r="M83" s="33">
        <f t="shared" si="22"/>
        <v>-64.542483660130728</v>
      </c>
      <c r="N83" s="5">
        <f>VLOOKUP($B83,'Data Vlaue (Cr)'!$C:$FB,67)</f>
        <v>3079</v>
      </c>
      <c r="O83" s="5">
        <f>VLOOKUP($B83,'Data Vlaue (Cr)'!$C:$FB,68)</f>
        <v>6649</v>
      </c>
      <c r="P83" s="5">
        <f t="shared" si="26"/>
        <v>-115.94673595323157</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Finance</v>
      </c>
      <c r="B84" s="79" t="str">
        <f>'Data shares'!C79</f>
        <v>HDFCAMC</v>
      </c>
      <c r="C84" s="4">
        <f>VLOOKUP($B84,'Data shares'!$C:$FB,7)</f>
        <v>2739.8</v>
      </c>
      <c r="D84" s="82">
        <f>VLOOKUP($B84,'Data shares'!$C:$FB,98)</f>
        <v>7494600</v>
      </c>
      <c r="E84" s="165">
        <f>VLOOKUP(B84,'Snapshot (Volume)'!$A$7:$G$168,7,0)</f>
        <v>9938700</v>
      </c>
      <c r="F84" s="165">
        <f t="shared" si="23"/>
        <v>-2444100</v>
      </c>
      <c r="G84" s="166">
        <f t="shared" si="24"/>
        <v>-0.24591747411633313</v>
      </c>
      <c r="H84" s="165">
        <f>VLOOKUP($B84,'Data shares'!$C:$FB,66)</f>
        <v>3793500</v>
      </c>
      <c r="I84" s="165">
        <f>VLOOKUP($B84,'Data shares'!$C:$FB,67)</f>
        <v>10470600</v>
      </c>
      <c r="J84" s="81">
        <f t="shared" si="25"/>
        <v>-63.769984528107273</v>
      </c>
      <c r="K84" s="5">
        <f>VLOOKUP($B84,'Data Vlaue (Cr)'!$C:$FB,99)</f>
        <v>2065</v>
      </c>
      <c r="L84" s="81">
        <f>VLOOKUP(B84,'OI(Value)'!$A$7:$C$232,3,0)</f>
        <v>-673</v>
      </c>
      <c r="M84" s="33">
        <f t="shared" si="22"/>
        <v>-32.590799031476998</v>
      </c>
      <c r="N84" s="5">
        <f>VLOOKUP($B84,'Data Vlaue (Cr)'!$C:$FB,67)</f>
        <v>1045</v>
      </c>
      <c r="O84" s="5">
        <f>VLOOKUP($B84,'Data Vlaue (Cr)'!$C:$FB,68)</f>
        <v>2885</v>
      </c>
      <c r="P84" s="5">
        <f t="shared" si="26"/>
        <v>-176.07655502392345</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Banking</v>
      </c>
      <c r="B85" s="79" t="str">
        <f>'Data shares'!C80</f>
        <v>HDFCBANK</v>
      </c>
      <c r="C85" s="4">
        <f>VLOOKUP($B85,'Data shares'!$C:$FB,7)</f>
        <v>778.9</v>
      </c>
      <c r="D85" s="82">
        <f>VLOOKUP($B85,'Data shares'!$C:$FB,98)</f>
        <v>427880700</v>
      </c>
      <c r="E85" s="165">
        <f>VLOOKUP(B85,'Snapshot (Volume)'!$A$7:$G$168,7,0)</f>
        <v>490120000</v>
      </c>
      <c r="F85" s="165">
        <f t="shared" si="23"/>
        <v>-62239300</v>
      </c>
      <c r="G85" s="166">
        <f t="shared" si="24"/>
        <v>-0.12698788051905655</v>
      </c>
      <c r="H85" s="165">
        <f>VLOOKUP($B85,'Data shares'!$C:$FB,66)</f>
        <v>185354400</v>
      </c>
      <c r="I85" s="165">
        <f>VLOOKUP($B85,'Data shares'!$C:$FB,67)</f>
        <v>333091000</v>
      </c>
      <c r="J85" s="81">
        <f t="shared" si="25"/>
        <v>-44.35322479442555</v>
      </c>
      <c r="K85" s="5">
        <f>VLOOKUP($B85,'Data Vlaue (Cr)'!$C:$FB,99)</f>
        <v>33026</v>
      </c>
      <c r="L85" s="81">
        <f>VLOOKUP(B85,'OI(Value)'!$A$7:$C$232,3,0)</f>
        <v>-4804</v>
      </c>
      <c r="M85" s="33">
        <f t="shared" si="22"/>
        <v>-14.546115181977836</v>
      </c>
      <c r="N85" s="5">
        <f>VLOOKUP($B85,'Data Vlaue (Cr)'!$C:$FB,67)</f>
        <v>14307</v>
      </c>
      <c r="O85" s="5">
        <f>VLOOKUP($B85,'Data Vlaue (Cr)'!$C:$FB,68)</f>
        <v>25710</v>
      </c>
      <c r="P85" s="5">
        <f t="shared" si="26"/>
        <v>-79.70224365695114</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Finance</v>
      </c>
      <c r="B86" s="79" t="str">
        <f>'Data shares'!C81</f>
        <v>HDFCLIFE</v>
      </c>
      <c r="C86" s="4">
        <f>VLOOKUP($B86,'Data shares'!$C:$FB,7)</f>
        <v>618.85</v>
      </c>
      <c r="D86" s="82">
        <f>VLOOKUP($B86,'Data shares'!$C:$FB,98)</f>
        <v>63605300</v>
      </c>
      <c r="E86" s="165">
        <f>VLOOKUP(B86,'Snapshot (Volume)'!$A$7:$G$168,7,0)</f>
        <v>93242600</v>
      </c>
      <c r="F86" s="165">
        <f t="shared" ref="F86:F96" si="27">D86-E86</f>
        <v>-29637300</v>
      </c>
      <c r="G86" s="166">
        <f t="shared" ref="G86:G96" si="28">F86/E86</f>
        <v>-0.31785149706250149</v>
      </c>
      <c r="H86" s="165">
        <f>VLOOKUP($B86,'Data shares'!$C:$FB,66)</f>
        <v>29825400</v>
      </c>
      <c r="I86" s="165">
        <f>VLOOKUP($B86,'Data shares'!$C:$FB,67)</f>
        <v>46563000</v>
      </c>
      <c r="J86" s="81">
        <f t="shared" ref="J86:J96" si="29">(H86-I86)/I86*100</f>
        <v>-35.94613749114103</v>
      </c>
      <c r="K86" s="5">
        <f>VLOOKUP($B86,'Data Vlaue (Cr)'!$C:$FB,99)</f>
        <v>3945</v>
      </c>
      <c r="L86" s="81">
        <f>VLOOKUP(B86,'OI(Value)'!$A$7:$C$232,3,0)</f>
        <v>-1838</v>
      </c>
      <c r="M86" s="33">
        <f t="shared" si="22"/>
        <v>-46.590621039290241</v>
      </c>
      <c r="N86" s="5">
        <f>VLOOKUP($B86,'Data Vlaue (Cr)'!$C:$FB,67)</f>
        <v>1850</v>
      </c>
      <c r="O86" s="5">
        <f>VLOOKUP($B86,'Data Vlaue (Cr)'!$C:$FB,68)</f>
        <v>2888</v>
      </c>
      <c r="P86" s="5">
        <f t="shared" ref="P86:P96" si="30">(N86-O86)/N86*100</f>
        <v>-56.108108108108112</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Automobile</v>
      </c>
      <c r="B87" s="79" t="str">
        <f>'Data shares'!C82</f>
        <v>HEROMOTOCO</v>
      </c>
      <c r="C87" s="4">
        <f>VLOOKUP($B87,'Data shares'!$C:$FB,7)</f>
        <v>4983</v>
      </c>
      <c r="D87" s="82">
        <f>VLOOKUP($B87,'Data shares'!$C:$FB,98)</f>
        <v>5807850</v>
      </c>
      <c r="E87" s="165">
        <f>VLOOKUP(B87,'Snapshot (Volume)'!$A$7:$G$168,7,0)</f>
        <v>9136650</v>
      </c>
      <c r="F87" s="165">
        <f t="shared" si="27"/>
        <v>-3328800</v>
      </c>
      <c r="G87" s="166">
        <f t="shared" si="28"/>
        <v>-0.36433484920621889</v>
      </c>
      <c r="H87" s="165">
        <f>VLOOKUP($B87,'Data shares'!$C:$FB,66)</f>
        <v>6553200</v>
      </c>
      <c r="I87" s="165">
        <f>VLOOKUP($B87,'Data shares'!$C:$FB,67)</f>
        <v>9382350</v>
      </c>
      <c r="J87" s="81">
        <f t="shared" si="29"/>
        <v>-30.153959295912003</v>
      </c>
      <c r="K87" s="5">
        <f>VLOOKUP($B87,'Data Vlaue (Cr)'!$C:$FB,99)</f>
        <v>2912</v>
      </c>
      <c r="L87" s="81">
        <f>VLOOKUP(B87,'OI(Value)'!$A$7:$C$232,3,0)</f>
        <v>-1669</v>
      </c>
      <c r="M87" s="33">
        <f t="shared" si="22"/>
        <v>-57.314560439560438</v>
      </c>
      <c r="N87" s="5">
        <f>VLOOKUP($B87,'Data Vlaue (Cr)'!$C:$FB,67)</f>
        <v>3286</v>
      </c>
      <c r="O87" s="5">
        <f>VLOOKUP($B87,'Data Vlaue (Cr)'!$C:$FB,68)</f>
        <v>4704</v>
      </c>
      <c r="P87" s="5">
        <f t="shared" si="30"/>
        <v>-43.152769324406577</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HINDALCO</v>
      </c>
      <c r="C88" s="4">
        <f>VLOOKUP($B88,'Data shares'!$C:$FB,7)</f>
        <v>1103.8</v>
      </c>
      <c r="D88" s="82">
        <f>VLOOKUP($B88,'Data shares'!$C:$FB,98)</f>
        <v>42738500</v>
      </c>
      <c r="E88" s="165">
        <f>VLOOKUP(B88,'Snapshot (Volume)'!$A$7:$G$168,7,0)</f>
        <v>56735700</v>
      </c>
      <c r="F88" s="165">
        <f t="shared" si="27"/>
        <v>-13997200</v>
      </c>
      <c r="G88" s="166">
        <f t="shared" si="28"/>
        <v>-0.24670886232125452</v>
      </c>
      <c r="H88" s="165">
        <f>VLOOKUP($B88,'Data shares'!$C:$FB,66)</f>
        <v>42972300</v>
      </c>
      <c r="I88" s="165">
        <f>VLOOKUP($B88,'Data shares'!$C:$FB,67)</f>
        <v>123297300</v>
      </c>
      <c r="J88" s="81">
        <f t="shared" si="29"/>
        <v>-65.147411987123803</v>
      </c>
      <c r="K88" s="5">
        <f>VLOOKUP($B88,'Data Vlaue (Cr)'!$C:$FB,99)</f>
        <v>4761</v>
      </c>
      <c r="L88" s="81">
        <f>VLOOKUP(B88,'OI(Value)'!$A$7:$C$232,3,0)</f>
        <v>-1559</v>
      </c>
      <c r="M88" s="33">
        <f t="shared" si="22"/>
        <v>-32.745221592102496</v>
      </c>
      <c r="N88" s="5">
        <f>VLOOKUP($B88,'Data Vlaue (Cr)'!$C:$FB,67)</f>
        <v>4787</v>
      </c>
      <c r="O88" s="5">
        <f>VLOOKUP($B88,'Data Vlaue (Cr)'!$C:$FB,68)</f>
        <v>13735</v>
      </c>
      <c r="P88" s="5">
        <f t="shared" si="30"/>
        <v>-186.92291623146019</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Oil_Gas</v>
      </c>
      <c r="B89" s="79" t="str">
        <f>'Data shares'!C84</f>
        <v>HINDPETRO</v>
      </c>
      <c r="C89" s="4">
        <f>VLOOKUP($B89,'Data shares'!$C:$FB,7)</f>
        <v>398</v>
      </c>
      <c r="D89" s="82">
        <f>VLOOKUP($B89,'Data shares'!$C:$FB,98)</f>
        <v>46921275</v>
      </c>
      <c r="E89" s="165">
        <f>VLOOKUP(B89,'Snapshot (Volume)'!$A$7:$G$168,7,0)</f>
        <v>69370425</v>
      </c>
      <c r="F89" s="165">
        <f t="shared" si="27"/>
        <v>-22449150</v>
      </c>
      <c r="G89" s="166">
        <f t="shared" si="28"/>
        <v>-0.32361269229646494</v>
      </c>
      <c r="H89" s="165">
        <f>VLOOKUP($B89,'Data shares'!$C:$FB,66)</f>
        <v>34556625</v>
      </c>
      <c r="I89" s="165">
        <f>VLOOKUP($B89,'Data shares'!$C:$FB,67)</f>
        <v>115520175</v>
      </c>
      <c r="J89" s="81">
        <f t="shared" si="29"/>
        <v>-70.086069381387276</v>
      </c>
      <c r="K89" s="5">
        <f>VLOOKUP($B89,'Data Vlaue (Cr)'!$C:$FB,99)</f>
        <v>1879</v>
      </c>
      <c r="L89" s="81">
        <f>VLOOKUP(B89,'OI(Value)'!$A$7:$C$232,3,0)</f>
        <v>-899</v>
      </c>
      <c r="M89" s="33">
        <f t="shared" si="22"/>
        <v>-47.844598190526874</v>
      </c>
      <c r="N89" s="5">
        <f>VLOOKUP($B89,'Data Vlaue (Cr)'!$C:$FB,67)</f>
        <v>1384</v>
      </c>
      <c r="O89" s="5">
        <f>VLOOKUP($B89,'Data Vlaue (Cr)'!$C:$FB,68)</f>
        <v>4627</v>
      </c>
      <c r="P89" s="5">
        <f t="shared" si="30"/>
        <v>-234.32080924855492</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FMCG</v>
      </c>
      <c r="B90" s="79" t="str">
        <f>'Data shares'!C85</f>
        <v>HINDUNILVR</v>
      </c>
      <c r="C90" s="4">
        <f>VLOOKUP($B90,'Data shares'!$C:$FB,7)</f>
        <v>2209.4</v>
      </c>
      <c r="D90" s="82">
        <f>VLOOKUP($B90,'Data shares'!$C:$FB,98)</f>
        <v>21510300</v>
      </c>
      <c r="E90" s="165">
        <f>VLOOKUP(B90,'Snapshot (Volume)'!$A$7:$G$168,7,0)</f>
        <v>33523800</v>
      </c>
      <c r="F90" s="165">
        <f t="shared" si="27"/>
        <v>-12013500</v>
      </c>
      <c r="G90" s="166">
        <f t="shared" si="28"/>
        <v>-0.35835734612424608</v>
      </c>
      <c r="H90" s="165">
        <f>VLOOKUP($B90,'Data shares'!$C:$FB,66)</f>
        <v>14543400</v>
      </c>
      <c r="I90" s="165">
        <f>VLOOKUP($B90,'Data shares'!$C:$FB,67)</f>
        <v>20222700</v>
      </c>
      <c r="J90" s="81">
        <f t="shared" si="29"/>
        <v>-28.083787031405301</v>
      </c>
      <c r="K90" s="5">
        <f>VLOOKUP($B90,'Data Vlaue (Cr)'!$C:$FB,99)</f>
        <v>4722</v>
      </c>
      <c r="L90" s="81">
        <f>VLOOKUP(B90,'OI(Value)'!$A$7:$C$232,3,0)</f>
        <v>-2637</v>
      </c>
      <c r="M90" s="33">
        <f t="shared" si="22"/>
        <v>-55.844980940279541</v>
      </c>
      <c r="N90" s="5">
        <f>VLOOKUP($B90,'Data Vlaue (Cr)'!$C:$FB,67)</f>
        <v>3192</v>
      </c>
      <c r="O90" s="5">
        <f>VLOOKUP($B90,'Data Vlaue (Cr)'!$C:$FB,68)</f>
        <v>4439</v>
      </c>
      <c r="P90" s="5">
        <f t="shared" si="30"/>
        <v>-39.06641604010025</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Metals</v>
      </c>
      <c r="B91" s="79" t="str">
        <f>'Data shares'!C86</f>
        <v>HINDZINC</v>
      </c>
      <c r="C91" s="4">
        <f>VLOOKUP($B91,'Data shares'!$C:$FB,7)</f>
        <v>647.4</v>
      </c>
      <c r="D91" s="82">
        <f>VLOOKUP($B91,'Data shares'!$C:$FB,98)</f>
        <v>50928150</v>
      </c>
      <c r="E91" s="165">
        <f>VLOOKUP(B91,'Snapshot (Volume)'!$A$7:$G$168,7,0)</f>
        <v>75042275</v>
      </c>
      <c r="F91" s="165">
        <f t="shared" si="27"/>
        <v>-24114125</v>
      </c>
      <c r="G91" s="166">
        <f t="shared" si="28"/>
        <v>-0.3213405377169069</v>
      </c>
      <c r="H91" s="165">
        <f>VLOOKUP($B91,'Data shares'!$C:$FB,66)</f>
        <v>62138125</v>
      </c>
      <c r="I91" s="165">
        <f>VLOOKUP($B91,'Data shares'!$C:$FB,67)</f>
        <v>74755625</v>
      </c>
      <c r="J91" s="81">
        <f t="shared" si="29"/>
        <v>-16.878328553871363</v>
      </c>
      <c r="K91" s="5">
        <f>VLOOKUP($B91,'Data Vlaue (Cr)'!$C:$FB,99)</f>
        <v>3314</v>
      </c>
      <c r="L91" s="81">
        <f>VLOOKUP(B91,'OI(Value)'!$A$7:$C$232,3,0)</f>
        <v>-1569</v>
      </c>
      <c r="M91" s="33">
        <f t="shared" si="22"/>
        <v>-47.344598672299334</v>
      </c>
      <c r="N91" s="5">
        <f>VLOOKUP($B91,'Data Vlaue (Cr)'!$C:$FB,67)</f>
        <v>4043</v>
      </c>
      <c r="O91" s="5">
        <f>VLOOKUP($B91,'Data Vlaue (Cr)'!$C:$FB,68)</f>
        <v>4864</v>
      </c>
      <c r="P91" s="5">
        <f t="shared" si="30"/>
        <v>-20.306702943358893</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Automobile</v>
      </c>
      <c r="B92" s="79" t="str">
        <f>'Data shares'!C87</f>
        <v>HYUNDAI</v>
      </c>
      <c r="C92" s="4">
        <f>VLOOKUP($B92,'Data shares'!$C:$FB,7)</f>
        <v>1884</v>
      </c>
      <c r="D92" s="82">
        <f>VLOOKUP($B92,'Data shares'!$C:$FB,98)</f>
        <v>11388025</v>
      </c>
      <c r="E92" s="165">
        <f>VLOOKUP(B92,'Snapshot (Volume)'!$A$7:$G$168,7,0)</f>
        <v>14183125</v>
      </c>
      <c r="F92" s="165">
        <f t="shared" si="27"/>
        <v>-2795100</v>
      </c>
      <c r="G92" s="166">
        <f t="shared" si="28"/>
        <v>-0.19707222491517207</v>
      </c>
      <c r="H92" s="165">
        <f>VLOOKUP($B92,'Data shares'!$C:$FB,66)</f>
        <v>4778950</v>
      </c>
      <c r="I92" s="165">
        <f>VLOOKUP($B92,'Data shares'!$C:$FB,67)</f>
        <v>13413125</v>
      </c>
      <c r="J92" s="81">
        <f t="shared" si="29"/>
        <v>-64.371091747821623</v>
      </c>
      <c r="K92" s="5">
        <f>VLOOKUP($B92,'Data Vlaue (Cr)'!$C:$FB,99)</f>
        <v>2161</v>
      </c>
      <c r="L92" s="81">
        <f>VLOOKUP(B92,'OI(Value)'!$A$7:$C$232,3,0)</f>
        <v>-530</v>
      </c>
      <c r="M92" s="33">
        <f t="shared" si="22"/>
        <v>-24.525682554372978</v>
      </c>
      <c r="N92" s="5">
        <f>VLOOKUP($B92,'Data Vlaue (Cr)'!$C:$FB,67)</f>
        <v>907</v>
      </c>
      <c r="O92" s="5">
        <f>VLOOKUP($B92,'Data Vlaue (Cr)'!$C:$FB,68)</f>
        <v>2545</v>
      </c>
      <c r="P92" s="5">
        <f t="shared" si="30"/>
        <v>-180.59536934950387</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ICICIBANK</v>
      </c>
      <c r="C93" s="4">
        <f>VLOOKUP($B93,'Data shares'!$C:$FB,7)</f>
        <v>1279.0999999999999</v>
      </c>
      <c r="D93" s="82">
        <f>VLOOKUP($B93,'Data shares'!$C:$FB,98)</f>
        <v>184001300</v>
      </c>
      <c r="E93" s="165">
        <f>VLOOKUP(B93,'Snapshot (Volume)'!$A$7:$G$168,7,0)</f>
        <v>225451100</v>
      </c>
      <c r="F93" s="165">
        <f t="shared" si="27"/>
        <v>-41449800</v>
      </c>
      <c r="G93" s="166">
        <f t="shared" si="28"/>
        <v>-0.18385272903968977</v>
      </c>
      <c r="H93" s="165">
        <f>VLOOKUP($B93,'Data shares'!$C:$FB,66)</f>
        <v>117523700</v>
      </c>
      <c r="I93" s="165">
        <f>VLOOKUP($B93,'Data shares'!$C:$FB,67)</f>
        <v>190026200</v>
      </c>
      <c r="J93" s="81">
        <f t="shared" si="29"/>
        <v>-38.153949297517919</v>
      </c>
      <c r="K93" s="5">
        <f>VLOOKUP($B93,'Data Vlaue (Cr)'!$C:$FB,99)</f>
        <v>23740</v>
      </c>
      <c r="L93" s="81">
        <f>VLOOKUP(B93,'OI(Value)'!$A$7:$C$232,3,0)</f>
        <v>-5348</v>
      </c>
      <c r="M93" s="33">
        <f t="shared" si="22"/>
        <v>-22.527379949452399</v>
      </c>
      <c r="N93" s="5">
        <f>VLOOKUP($B93,'Data Vlaue (Cr)'!$C:$FB,67)</f>
        <v>15163</v>
      </c>
      <c r="O93" s="5">
        <f>VLOOKUP($B93,'Data Vlaue (Cr)'!$C:$FB,68)</f>
        <v>24517</v>
      </c>
      <c r="P93" s="5">
        <f t="shared" si="30"/>
        <v>-61.689639253445883</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Finance</v>
      </c>
      <c r="B94" s="79" t="str">
        <f>'Data shares'!C89</f>
        <v>ICICIGI</v>
      </c>
      <c r="C94" s="4">
        <f>VLOOKUP($B94,'Data shares'!$C:$FB,7)</f>
        <v>1860.3</v>
      </c>
      <c r="D94" s="82">
        <f>VLOOKUP($B94,'Data shares'!$C:$FB,98)</f>
        <v>5092100</v>
      </c>
      <c r="E94" s="165">
        <f>VLOOKUP(B94,'Snapshot (Volume)'!$A$7:$G$168,7,0)</f>
        <v>6505850</v>
      </c>
      <c r="F94" s="165">
        <f t="shared" si="27"/>
        <v>-1413750</v>
      </c>
      <c r="G94" s="166">
        <f t="shared" si="28"/>
        <v>-0.21730442601658506</v>
      </c>
      <c r="H94" s="165">
        <f>VLOOKUP($B94,'Data shares'!$C:$FB,66)</f>
        <v>4391400</v>
      </c>
      <c r="I94" s="165">
        <f>VLOOKUP($B94,'Data shares'!$C:$FB,67)</f>
        <v>3858400</v>
      </c>
      <c r="J94" s="81">
        <f t="shared" si="29"/>
        <v>13.814016172506738</v>
      </c>
      <c r="K94" s="5">
        <f>VLOOKUP($B94,'Data Vlaue (Cr)'!$C:$FB,99)</f>
        <v>950</v>
      </c>
      <c r="L94" s="81">
        <f>VLOOKUP(B94,'OI(Value)'!$A$7:$C$232,3,0)</f>
        <v>-264</v>
      </c>
      <c r="M94" s="33">
        <f t="shared" ref="M94:M122" si="31">L94/K94*100</f>
        <v>-27.789473684210524</v>
      </c>
      <c r="N94" s="5">
        <f>VLOOKUP($B94,'Data Vlaue (Cr)'!$C:$FB,67)</f>
        <v>820</v>
      </c>
      <c r="O94" s="5">
        <f>VLOOKUP($B94,'Data Vlaue (Cr)'!$C:$FB,68)</f>
        <v>720</v>
      </c>
      <c r="P94" s="5">
        <f t="shared" si="30"/>
        <v>12.195121951219512</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ICICIPRULI</v>
      </c>
      <c r="C95" s="4">
        <f>VLOOKUP($B95,'Data shares'!$C:$FB,7)</f>
        <v>522.70000000000005</v>
      </c>
      <c r="D95" s="82">
        <f>VLOOKUP($B95,'Data shares'!$C:$FB,98)</f>
        <v>18364025</v>
      </c>
      <c r="E95" s="165">
        <f>VLOOKUP(B95,'Snapshot (Volume)'!$A$7:$G$168,7,0)</f>
        <v>31239100</v>
      </c>
      <c r="F95" s="165">
        <f t="shared" si="27"/>
        <v>-12875075</v>
      </c>
      <c r="G95" s="166">
        <f t="shared" si="28"/>
        <v>-0.41214615657941489</v>
      </c>
      <c r="H95" s="165">
        <f>VLOOKUP($B95,'Data shares'!$C:$FB,66)</f>
        <v>7864350</v>
      </c>
      <c r="I95" s="165">
        <f>VLOOKUP($B95,'Data shares'!$C:$FB,67)</f>
        <v>16047825</v>
      </c>
      <c r="J95" s="81">
        <f t="shared" si="29"/>
        <v>-50.99429361922877</v>
      </c>
      <c r="K95" s="5">
        <f>VLOOKUP($B95,'Data Vlaue (Cr)'!$C:$FB,99)</f>
        <v>962</v>
      </c>
      <c r="L95" s="81">
        <f>VLOOKUP(B95,'OI(Value)'!$A$7:$C$232,3,0)</f>
        <v>-675</v>
      </c>
      <c r="M95" s="33">
        <f t="shared" si="31"/>
        <v>-70.166320166320162</v>
      </c>
      <c r="N95" s="5">
        <f>VLOOKUP($B95,'Data Vlaue (Cr)'!$C:$FB,67)</f>
        <v>412</v>
      </c>
      <c r="O95" s="5">
        <f>VLOOKUP($B95,'Data Vlaue (Cr)'!$C:$FB,68)</f>
        <v>841</v>
      </c>
      <c r="P95" s="5">
        <f t="shared" si="30"/>
        <v>-104.12621359223301</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Telecom</v>
      </c>
      <c r="B96" s="79" t="str">
        <f>'Data shares'!C91</f>
        <v>IDEA</v>
      </c>
      <c r="C96" s="4">
        <f>VLOOKUP($B96,'Data shares'!$C:$FB,7)</f>
        <v>14.14</v>
      </c>
      <c r="D96" s="82">
        <f>VLOOKUP($B96,'Data shares'!$C:$FB,98)</f>
        <v>7328117325</v>
      </c>
      <c r="E96" s="165">
        <f>VLOOKUP(B96,'Snapshot (Volume)'!$A$7:$G$168,7,0)</f>
        <v>8865044250</v>
      </c>
      <c r="F96" s="165">
        <f t="shared" si="27"/>
        <v>-1536926925</v>
      </c>
      <c r="G96" s="166">
        <f t="shared" si="28"/>
        <v>-0.17336934612593727</v>
      </c>
      <c r="H96" s="165">
        <f>VLOOKUP($B96,'Data shares'!$C:$FB,66)</f>
        <v>4721495550</v>
      </c>
      <c r="I96" s="165">
        <f>VLOOKUP($B96,'Data shares'!$C:$FB,67)</f>
        <v>5455043475</v>
      </c>
      <c r="J96" s="81">
        <f t="shared" si="29"/>
        <v>-13.447150849700606</v>
      </c>
      <c r="K96" s="5">
        <f>VLOOKUP($B96,'Data Vlaue (Cr)'!$C:$FB,99)</f>
        <v>10421</v>
      </c>
      <c r="L96" s="81">
        <f>VLOOKUP(B96,'OI(Value)'!$A$7:$C$232,3,0)</f>
        <v>-2186</v>
      </c>
      <c r="M96" s="33">
        <f t="shared" si="31"/>
        <v>-20.976873620573841</v>
      </c>
      <c r="N96" s="5">
        <f>VLOOKUP($B96,'Data Vlaue (Cr)'!$C:$FB,67)</f>
        <v>6714</v>
      </c>
      <c r="O96" s="5">
        <f>VLOOKUP($B96,'Data Vlaue (Cr)'!$C:$FB,68)</f>
        <v>7757</v>
      </c>
      <c r="P96" s="5">
        <f t="shared" si="30"/>
        <v>-15.534703604408698</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Banking</v>
      </c>
      <c r="B97" s="79" t="str">
        <f>'Data shares'!C92</f>
        <v>IDFCFIRSTB</v>
      </c>
      <c r="C97" s="4">
        <f>VLOOKUP($B97,'Data shares'!$C:$FB,7)</f>
        <v>70.22</v>
      </c>
      <c r="D97" s="82">
        <f>VLOOKUP($B97,'Data shares'!$C:$FB,98)</f>
        <v>519409275</v>
      </c>
      <c r="E97" s="165">
        <f>VLOOKUP(B97,'Snapshot (Volume)'!$A$7:$G$168,7,0)</f>
        <v>640039925</v>
      </c>
      <c r="F97" s="165">
        <f t="shared" ref="F97:F105" si="32">D97-E97</f>
        <v>-120630650</v>
      </c>
      <c r="G97" s="166">
        <f t="shared" ref="G97:G105" si="33">F97/E97</f>
        <v>-0.18847363310968451</v>
      </c>
      <c r="H97" s="165">
        <f>VLOOKUP($B97,'Data shares'!$C:$FB,66)</f>
        <v>295853950</v>
      </c>
      <c r="I97" s="165">
        <f>VLOOKUP($B97,'Data shares'!$C:$FB,67)</f>
        <v>368746175</v>
      </c>
      <c r="J97" s="81">
        <f t="shared" ref="J97:J105" si="34">(H97-I97)/I97*100</f>
        <v>-19.767588097693491</v>
      </c>
      <c r="K97" s="5">
        <f>VLOOKUP($B97,'Data Vlaue (Cr)'!$C:$FB,99)</f>
        <v>3670</v>
      </c>
      <c r="L97" s="81">
        <f>VLOOKUP(B97,'OI(Value)'!$A$7:$C$232,3,0)</f>
        <v>-852</v>
      </c>
      <c r="M97" s="33">
        <f t="shared" si="31"/>
        <v>-23.21525885558583</v>
      </c>
      <c r="N97" s="5">
        <f>VLOOKUP($B97,'Data Vlaue (Cr)'!$C:$FB,67)</f>
        <v>2090</v>
      </c>
      <c r="O97" s="5">
        <f>VLOOKUP($B97,'Data Vlaue (Cr)'!$C:$FB,68)</f>
        <v>2605</v>
      </c>
      <c r="P97" s="5">
        <f t="shared" ref="P97:P105" si="35">(N97-O97)/N97*100</f>
        <v>-24.641148325358852</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Power</v>
      </c>
      <c r="B98" s="79" t="str">
        <f>'Data shares'!C93</f>
        <v>IEX</v>
      </c>
      <c r="C98" s="4">
        <f>VLOOKUP($B98,'Data shares'!$C:$FB,7)</f>
        <v>127.47</v>
      </c>
      <c r="D98" s="82">
        <f>VLOOKUP($B98,'Data shares'!$C:$FB,98)</f>
        <v>97936800</v>
      </c>
      <c r="E98" s="165">
        <f>VLOOKUP(B98,'Snapshot (Volume)'!$A$7:$G$168,7,0)</f>
        <v>127933650</v>
      </c>
      <c r="F98" s="165">
        <f t="shared" si="32"/>
        <v>-29996850</v>
      </c>
      <c r="G98" s="166">
        <f t="shared" si="33"/>
        <v>-0.23447193134878899</v>
      </c>
      <c r="H98" s="165">
        <f>VLOOKUP($B98,'Data shares'!$C:$FB,66)</f>
        <v>77043750</v>
      </c>
      <c r="I98" s="165">
        <f>VLOOKUP($B98,'Data shares'!$C:$FB,67)</f>
        <v>109481250</v>
      </c>
      <c r="J98" s="81">
        <f t="shared" si="34"/>
        <v>-29.628361020722728</v>
      </c>
      <c r="K98" s="5">
        <f>VLOOKUP($B98,'Data Vlaue (Cr)'!$C:$FB,99)</f>
        <v>1258</v>
      </c>
      <c r="L98" s="81">
        <f>VLOOKUP(B98,'OI(Value)'!$A$7:$C$232,3,0)</f>
        <v>-385</v>
      </c>
      <c r="M98" s="33">
        <f t="shared" si="31"/>
        <v>-30.604133545310013</v>
      </c>
      <c r="N98" s="5">
        <f>VLOOKUP($B98,'Data Vlaue (Cr)'!$C:$FB,67)</f>
        <v>990</v>
      </c>
      <c r="O98" s="5">
        <f>VLOOKUP($B98,'Data Vlaue (Cr)'!$C:$FB,68)</f>
        <v>1407</v>
      </c>
      <c r="P98" s="5">
        <f t="shared" si="35"/>
        <v>-42.121212121212118</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Realty</v>
      </c>
      <c r="B99" s="79" t="str">
        <f>'Data shares'!C94</f>
        <v>INDHOTEL</v>
      </c>
      <c r="C99" s="4">
        <f>VLOOKUP($B99,'Data shares'!$C:$FB,7)</f>
        <v>657.15</v>
      </c>
      <c r="D99" s="82">
        <f>VLOOKUP($B99,'Data shares'!$C:$FB,98)</f>
        <v>29621000</v>
      </c>
      <c r="E99" s="165">
        <f>VLOOKUP(B99,'Snapshot (Volume)'!$A$7:$G$168,7,0)</f>
        <v>36194000</v>
      </c>
      <c r="F99" s="165">
        <f t="shared" si="32"/>
        <v>-6573000</v>
      </c>
      <c r="G99" s="166">
        <f t="shared" si="33"/>
        <v>-0.18160468585953474</v>
      </c>
      <c r="H99" s="165">
        <f>VLOOKUP($B99,'Data shares'!$C:$FB,66)</f>
        <v>14141000</v>
      </c>
      <c r="I99" s="165">
        <f>VLOOKUP($B99,'Data shares'!$C:$FB,67)</f>
        <v>22960000</v>
      </c>
      <c r="J99" s="81">
        <f t="shared" si="34"/>
        <v>-38.410278745644597</v>
      </c>
      <c r="K99" s="5">
        <f>VLOOKUP($B99,'Data Vlaue (Cr)'!$C:$FB,99)</f>
        <v>1953</v>
      </c>
      <c r="L99" s="81">
        <f>VLOOKUP(B99,'OI(Value)'!$A$7:$C$232,3,0)</f>
        <v>-433</v>
      </c>
      <c r="M99" s="33">
        <f t="shared" si="31"/>
        <v>-22.171018945212492</v>
      </c>
      <c r="N99" s="5">
        <f>VLOOKUP($B99,'Data Vlaue (Cr)'!$C:$FB,67)</f>
        <v>932</v>
      </c>
      <c r="O99" s="5">
        <f>VLOOKUP($B99,'Data Vlaue (Cr)'!$C:$FB,68)</f>
        <v>1514</v>
      </c>
      <c r="P99" s="5">
        <f t="shared" si="35"/>
        <v>-62.446351931330469</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Banking</v>
      </c>
      <c r="B100" s="79" t="str">
        <f>'Data shares'!C95</f>
        <v>INDIANB</v>
      </c>
      <c r="C100" s="4">
        <f>VLOOKUP($B100,'Data shares'!$C:$FB,7)</f>
        <v>833.55</v>
      </c>
      <c r="D100" s="82">
        <f>VLOOKUP($B100,'Data shares'!$C:$FB,98)</f>
        <v>15137000</v>
      </c>
      <c r="E100" s="165">
        <f>VLOOKUP(B100,'Snapshot (Volume)'!$A$7:$G$168,7,0)</f>
        <v>23046000</v>
      </c>
      <c r="F100" s="165">
        <f t="shared" si="32"/>
        <v>-7909000</v>
      </c>
      <c r="G100" s="166">
        <f t="shared" si="33"/>
        <v>-0.34318319881975179</v>
      </c>
      <c r="H100" s="165">
        <f>VLOOKUP($B100,'Data shares'!$C:$FB,66)</f>
        <v>12659000</v>
      </c>
      <c r="I100" s="165">
        <f>VLOOKUP($B100,'Data shares'!$C:$FB,67)</f>
        <v>22969000</v>
      </c>
      <c r="J100" s="81">
        <f t="shared" si="34"/>
        <v>-44.886586268448781</v>
      </c>
      <c r="K100" s="5">
        <f>VLOOKUP($B100,'Data Vlaue (Cr)'!$C:$FB,99)</f>
        <v>1269</v>
      </c>
      <c r="L100" s="81">
        <f>VLOOKUP(B100,'OI(Value)'!$A$7:$C$232,3,0)</f>
        <v>-663</v>
      </c>
      <c r="M100" s="33">
        <f t="shared" si="31"/>
        <v>-52.245862884160758</v>
      </c>
      <c r="N100" s="5">
        <f>VLOOKUP($B100,'Data Vlaue (Cr)'!$C:$FB,67)</f>
        <v>1061</v>
      </c>
      <c r="O100" s="5">
        <f>VLOOKUP($B100,'Data Vlaue (Cr)'!$C:$FB,68)</f>
        <v>1925</v>
      </c>
      <c r="P100" s="5">
        <f t="shared" si="35"/>
        <v>-81.432610744580586</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Index</v>
      </c>
      <c r="B101" s="79" t="str">
        <f>'Data shares'!C96</f>
        <v>INDIAVIX</v>
      </c>
      <c r="C101" s="4">
        <f>VLOOKUP($B101,'Data shares'!$C:$FB,7)</f>
        <v>16.13</v>
      </c>
      <c r="D101" s="82">
        <f>VLOOKUP($B101,'Data shares'!$C:$FB,98)</f>
        <v>0</v>
      </c>
      <c r="E101" s="165">
        <f>VLOOKUP(B101,'Snapshot (Volume)'!$A$7:$G$168,7,0)</f>
        <v>0</v>
      </c>
      <c r="F101" s="165">
        <f t="shared" si="32"/>
        <v>0</v>
      </c>
      <c r="G101" s="166" t="e">
        <f t="shared" si="33"/>
        <v>#DIV/0!</v>
      </c>
      <c r="H101" s="165">
        <f>VLOOKUP($B101,'Data shares'!$C:$FB,66)</f>
        <v>0</v>
      </c>
      <c r="I101" s="165">
        <f>VLOOKUP($B101,'Data shares'!$C:$FB,67)</f>
        <v>0</v>
      </c>
      <c r="J101" s="81" t="e">
        <f t="shared" si="34"/>
        <v>#DIV/0!</v>
      </c>
      <c r="K101" s="5">
        <f>VLOOKUP($B101,'Data Vlaue (Cr)'!$C:$FB,99)</f>
        <v>0</v>
      </c>
      <c r="L101" s="81">
        <f>VLOOKUP(B101,'OI(Value)'!$A$7:$C$232,3,0)</f>
        <v>0</v>
      </c>
      <c r="M101" s="33" t="e">
        <f t="shared" si="31"/>
        <v>#DIV/0!</v>
      </c>
      <c r="N101" s="5">
        <f>VLOOKUP($B101,'Data Vlaue (Cr)'!$C:$FB,67)</f>
        <v>0</v>
      </c>
      <c r="O101" s="5">
        <f>VLOOKUP($B101,'Data Vlaue (Cr)'!$C:$FB,68)</f>
        <v>0</v>
      </c>
      <c r="P101" s="5" t="e">
        <f t="shared" si="35"/>
        <v>#DIV/0!</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Infrastructure</v>
      </c>
      <c r="B102" s="79" t="str">
        <f>'Data shares'!C97</f>
        <v>INDIGO</v>
      </c>
      <c r="C102" s="4">
        <f>VLOOKUP($B102,'Data shares'!$C:$FB,7)</f>
        <v>4480.8</v>
      </c>
      <c r="D102" s="82">
        <f>VLOOKUP($B102,'Data shares'!$C:$FB,98)</f>
        <v>10363500</v>
      </c>
      <c r="E102" s="165">
        <f>VLOOKUP(B102,'Snapshot (Volume)'!$A$7:$G$168,7,0)</f>
        <v>17481450</v>
      </c>
      <c r="F102" s="165">
        <f t="shared" si="32"/>
        <v>-7117950</v>
      </c>
      <c r="G102" s="166">
        <f t="shared" si="33"/>
        <v>-0.40717160189801188</v>
      </c>
      <c r="H102" s="165">
        <f>VLOOKUP($B102,'Data shares'!$C:$FB,66)</f>
        <v>16052250</v>
      </c>
      <c r="I102" s="165">
        <f>VLOOKUP($B102,'Data shares'!$C:$FB,67)</f>
        <v>55756350</v>
      </c>
      <c r="J102" s="81">
        <f t="shared" si="34"/>
        <v>-71.21000567648349</v>
      </c>
      <c r="K102" s="5">
        <f>VLOOKUP($B102,'Data Vlaue (Cr)'!$C:$FB,99)</f>
        <v>4671</v>
      </c>
      <c r="L102" s="81">
        <f>VLOOKUP(B102,'OI(Value)'!$A$7:$C$232,3,0)</f>
        <v>-3208</v>
      </c>
      <c r="M102" s="33">
        <f t="shared" si="31"/>
        <v>-68.679083707985441</v>
      </c>
      <c r="N102" s="5">
        <f>VLOOKUP($B102,'Data Vlaue (Cr)'!$C:$FB,67)</f>
        <v>7235</v>
      </c>
      <c r="O102" s="5">
        <f>VLOOKUP($B102,'Data Vlaue (Cr)'!$C:$FB,68)</f>
        <v>25131</v>
      </c>
      <c r="P102" s="5">
        <f t="shared" si="35"/>
        <v>-247.35314443676572</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Banking</v>
      </c>
      <c r="B103" s="79" t="str">
        <f>'Data shares'!C98</f>
        <v>INDUSINDBK</v>
      </c>
      <c r="C103" s="4">
        <f>VLOOKUP($B103,'Data shares'!$C:$FB,7)</f>
        <v>932.3</v>
      </c>
      <c r="D103" s="82">
        <f>VLOOKUP($B103,'Data shares'!$C:$FB,98)</f>
        <v>41481300</v>
      </c>
      <c r="E103" s="165">
        <f>VLOOKUP(B103,'Snapshot (Volume)'!$A$7:$G$168,7,0)</f>
        <v>49921200</v>
      </c>
      <c r="F103" s="165">
        <f t="shared" si="32"/>
        <v>-8439900</v>
      </c>
      <c r="G103" s="166">
        <f t="shared" si="33"/>
        <v>-0.16906444556621236</v>
      </c>
      <c r="H103" s="165">
        <f>VLOOKUP($B103,'Data shares'!$C:$FB,66)</f>
        <v>16401000</v>
      </c>
      <c r="I103" s="165">
        <f>VLOOKUP($B103,'Data shares'!$C:$FB,67)</f>
        <v>36265600</v>
      </c>
      <c r="J103" s="81">
        <f t="shared" si="34"/>
        <v>-54.775324274243367</v>
      </c>
      <c r="K103" s="5">
        <f>VLOOKUP($B103,'Data Vlaue (Cr)'!$C:$FB,99)</f>
        <v>3888</v>
      </c>
      <c r="L103" s="81">
        <f>VLOOKUP(B103,'OI(Value)'!$A$7:$C$232,3,0)</f>
        <v>-791</v>
      </c>
      <c r="M103" s="33">
        <f t="shared" si="31"/>
        <v>-20.344650205761315</v>
      </c>
      <c r="N103" s="5">
        <f>VLOOKUP($B103,'Data Vlaue (Cr)'!$C:$FB,67)</f>
        <v>1537</v>
      </c>
      <c r="O103" s="5">
        <f>VLOOKUP($B103,'Data Vlaue (Cr)'!$C:$FB,68)</f>
        <v>3399</v>
      </c>
      <c r="P103" s="5">
        <f t="shared" si="35"/>
        <v>-121.14508783344178</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Telecom</v>
      </c>
      <c r="B104" s="79" t="str">
        <f>'Data shares'!C99</f>
        <v>INDUSTOWER</v>
      </c>
      <c r="C104" s="4">
        <f>VLOOKUP($B104,'Data shares'!$C:$FB,7)</f>
        <v>433.25</v>
      </c>
      <c r="D104" s="82">
        <f>VLOOKUP($B104,'Data shares'!$C:$FB,98)</f>
        <v>122554700</v>
      </c>
      <c r="E104" s="165">
        <f>VLOOKUP(B104,'Snapshot (Volume)'!$A$7:$G$168,7,0)</f>
        <v>153069700</v>
      </c>
      <c r="F104" s="165">
        <f t="shared" si="32"/>
        <v>-30515000</v>
      </c>
      <c r="G104" s="166">
        <f t="shared" si="33"/>
        <v>-0.19935362779178376</v>
      </c>
      <c r="H104" s="165">
        <f>VLOOKUP($B104,'Data shares'!$C:$FB,66)</f>
        <v>107212200</v>
      </c>
      <c r="I104" s="165">
        <f>VLOOKUP($B104,'Data shares'!$C:$FB,67)</f>
        <v>89836500</v>
      </c>
      <c r="J104" s="81">
        <f t="shared" si="34"/>
        <v>19.341470337780301</v>
      </c>
      <c r="K104" s="5">
        <f>VLOOKUP($B104,'Data Vlaue (Cr)'!$C:$FB,99)</f>
        <v>5356</v>
      </c>
      <c r="L104" s="81">
        <f>VLOOKUP(B104,'OI(Value)'!$A$7:$C$232,3,0)</f>
        <v>-1334</v>
      </c>
      <c r="M104" s="33">
        <f t="shared" si="31"/>
        <v>-24.906646751306948</v>
      </c>
      <c r="N104" s="5">
        <f>VLOOKUP($B104,'Data Vlaue (Cr)'!$C:$FB,67)</f>
        <v>4686</v>
      </c>
      <c r="O104" s="5">
        <f>VLOOKUP($B104,'Data Vlaue (Cr)'!$C:$FB,68)</f>
        <v>3926</v>
      </c>
      <c r="P104" s="5">
        <f t="shared" si="35"/>
        <v>16.218523260776781</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Technology</v>
      </c>
      <c r="B105" s="79" t="str">
        <f>'Data shares'!C100</f>
        <v>INFY</v>
      </c>
      <c r="C105" s="4">
        <f>VLOOKUP($B105,'Data shares'!$C:$FB,7)</f>
        <v>1167.7</v>
      </c>
      <c r="D105" s="82">
        <f>VLOOKUP($B105,'Data shares'!$C:$FB,98)</f>
        <v>117598000</v>
      </c>
      <c r="E105" s="165">
        <f>VLOOKUP(B105,'Snapshot (Volume)'!$A$7:$G$168,7,0)</f>
        <v>163788000</v>
      </c>
      <c r="F105" s="165">
        <f t="shared" si="32"/>
        <v>-46190000</v>
      </c>
      <c r="G105" s="166">
        <f t="shared" si="33"/>
        <v>-0.2820108921288495</v>
      </c>
      <c r="H105" s="165">
        <f>VLOOKUP($B105,'Data shares'!$C:$FB,66)</f>
        <v>74278400</v>
      </c>
      <c r="I105" s="165">
        <f>VLOOKUP($B105,'Data shares'!$C:$FB,67)</f>
        <v>134382000</v>
      </c>
      <c r="J105" s="81">
        <f t="shared" si="34"/>
        <v>-44.725930556175683</v>
      </c>
      <c r="K105" s="5">
        <f>VLOOKUP($B105,'Data Vlaue (Cr)'!$C:$FB,99)</f>
        <v>13712</v>
      </c>
      <c r="L105" s="81">
        <f>VLOOKUP(B105,'OI(Value)'!$A$7:$C$232,3,0)</f>
        <v>-5386</v>
      </c>
      <c r="M105" s="33">
        <f t="shared" si="31"/>
        <v>-39.279463243873977</v>
      </c>
      <c r="N105" s="5">
        <f>VLOOKUP($B105,'Data Vlaue (Cr)'!$C:$FB,67)</f>
        <v>8661</v>
      </c>
      <c r="O105" s="5">
        <f>VLOOKUP($B105,'Data Vlaue (Cr)'!$C:$FB,68)</f>
        <v>15669</v>
      </c>
      <c r="P105" s="5">
        <f t="shared" si="35"/>
        <v>-80.91444405957742</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Power</v>
      </c>
      <c r="B106" s="79" t="str">
        <f>'Data shares'!C101</f>
        <v>INOXWIND</v>
      </c>
      <c r="C106" s="79">
        <f>VLOOKUP($B106,'Data shares'!$C:$FB,7)</f>
        <v>96.22</v>
      </c>
      <c r="D106" s="80">
        <f>VLOOKUP($B106,'Data shares'!$C:$FB,98)</f>
        <v>99647250</v>
      </c>
      <c r="E106" s="165">
        <f>VLOOKUP(B106,'Snapshot (Volume)'!$A$7:$G$168,7,0)</f>
        <v>126573550</v>
      </c>
      <c r="F106" s="165">
        <f t="shared" ref="F106:F114" si="36">D106-E106</f>
        <v>-26926300</v>
      </c>
      <c r="G106" s="166">
        <f t="shared" ref="G106:G114" si="37">F106/E106</f>
        <v>-0.21273243896532884</v>
      </c>
      <c r="H106" s="165">
        <f>VLOOKUP($B106,'Data shares'!$C:$FB,66)</f>
        <v>121138875</v>
      </c>
      <c r="I106" s="165">
        <f>VLOOKUP($B106,'Data shares'!$C:$FB,67)</f>
        <v>115458200</v>
      </c>
      <c r="J106" s="81">
        <f t="shared" ref="J106:J114" si="38">(H106-I106)/I106*100</f>
        <v>4.9201139459995051</v>
      </c>
      <c r="K106" s="81">
        <f>VLOOKUP($B106,'Data Vlaue (Cr)'!$C:$FB,99)</f>
        <v>966</v>
      </c>
      <c r="L106" s="81">
        <f>VLOOKUP(B106,'OI(Value)'!$A$7:$C$232,3,0)</f>
        <v>-261</v>
      </c>
      <c r="M106" s="81">
        <f t="shared" si="31"/>
        <v>-27.018633540372672</v>
      </c>
      <c r="N106" s="81">
        <f>VLOOKUP($B106,'Data Vlaue (Cr)'!$C:$FB,67)</f>
        <v>1174</v>
      </c>
      <c r="O106" s="81">
        <f>VLOOKUP($B106,'Data Vlaue (Cr)'!$C:$FB,68)</f>
        <v>1119</v>
      </c>
      <c r="P106" s="81">
        <f t="shared" ref="P106:P114" si="39">(N106-O106)/N106*100</f>
        <v>4.6848381601362865</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Oil_Gas</v>
      </c>
      <c r="B107" s="79" t="str">
        <f>'Data shares'!C102</f>
        <v>IOC</v>
      </c>
      <c r="C107" s="79">
        <f>VLOOKUP($B107,'Data shares'!$C:$FB,7)</f>
        <v>142.38</v>
      </c>
      <c r="D107" s="80">
        <f>VLOOKUP($B107,'Data shares'!$C:$FB,98)</f>
        <v>161333250</v>
      </c>
      <c r="E107" s="165">
        <f>VLOOKUP(B107,'Snapshot (Volume)'!$A$7:$G$168,7,0)</f>
        <v>220398750</v>
      </c>
      <c r="F107" s="165">
        <f t="shared" si="36"/>
        <v>-59065500</v>
      </c>
      <c r="G107" s="166">
        <f t="shared" si="37"/>
        <v>-0.26799380667993805</v>
      </c>
      <c r="H107" s="165">
        <f>VLOOKUP($B107,'Data shares'!$C:$FB,66)</f>
        <v>126964500</v>
      </c>
      <c r="I107" s="165">
        <f>VLOOKUP($B107,'Data shares'!$C:$FB,67)</f>
        <v>299632125</v>
      </c>
      <c r="J107" s="81">
        <f t="shared" si="38"/>
        <v>-57.626539544115971</v>
      </c>
      <c r="K107" s="81">
        <f>VLOOKUP($B107,'Data Vlaue (Cr)'!$C:$FB,99)</f>
        <v>2314</v>
      </c>
      <c r="L107" s="81">
        <f>VLOOKUP(B107,'OI(Value)'!$A$7:$C$232,3,0)</f>
        <v>-847</v>
      </c>
      <c r="M107" s="81">
        <f t="shared" si="31"/>
        <v>-36.603284356093347</v>
      </c>
      <c r="N107" s="81">
        <f>VLOOKUP($B107,'Data Vlaue (Cr)'!$C:$FB,67)</f>
        <v>1821</v>
      </c>
      <c r="O107" s="81">
        <f>VLOOKUP($B107,'Data Vlaue (Cr)'!$C:$FB,68)</f>
        <v>4298</v>
      </c>
      <c r="P107" s="81">
        <f t="shared" si="39"/>
        <v>-136.02416254805053</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129.54</v>
      </c>
      <c r="D108" s="82">
        <f>VLOOKUP($B108,'Data shares'!$C:$FB,98)</f>
        <v>71951325</v>
      </c>
      <c r="E108" s="165">
        <f>VLOOKUP(B108,'Snapshot (Volume)'!$A$7:$G$168,7,0)</f>
        <v>96279675</v>
      </c>
      <c r="F108" s="165">
        <f t="shared" si="36"/>
        <v>-24328350</v>
      </c>
      <c r="G108" s="166">
        <f t="shared" si="37"/>
        <v>-0.25268417243826385</v>
      </c>
      <c r="H108" s="165">
        <f>VLOOKUP($B108,'Data shares'!$C:$FB,66)</f>
        <v>37094400</v>
      </c>
      <c r="I108" s="165">
        <f>VLOOKUP($B108,'Data shares'!$C:$FB,67)</f>
        <v>85646250</v>
      </c>
      <c r="J108" s="81">
        <f t="shared" si="38"/>
        <v>-56.688821752265859</v>
      </c>
      <c r="K108" s="5">
        <f>VLOOKUP($B108,'Data Vlaue (Cr)'!$C:$FB,99)</f>
        <v>916</v>
      </c>
      <c r="L108" s="81">
        <f>VLOOKUP(B108,'OI(Value)'!$A$7:$C$232,3,0)</f>
        <v>-310</v>
      </c>
      <c r="M108" s="33">
        <f t="shared" si="31"/>
        <v>-33.842794759825331</v>
      </c>
      <c r="N108" s="5">
        <f>VLOOKUP($B108,'Data Vlaue (Cr)'!$C:$FB,67)</f>
        <v>472</v>
      </c>
      <c r="O108" s="5">
        <f>VLOOKUP($B108,'Data Vlaue (Cr)'!$C:$FB,68)</f>
        <v>1091</v>
      </c>
      <c r="P108" s="5">
        <f t="shared" si="39"/>
        <v>-131.14406779661016</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99.28</v>
      </c>
      <c r="D109" s="82">
        <f>VLOOKUP($B109,'Data shares'!$C:$FB,98)</f>
        <v>98467700</v>
      </c>
      <c r="E109" s="165">
        <f>VLOOKUP(B109,'Snapshot (Volume)'!$A$7:$G$168,7,0)</f>
        <v>137694275</v>
      </c>
      <c r="F109" s="165">
        <f t="shared" si="36"/>
        <v>-39226575</v>
      </c>
      <c r="G109" s="166">
        <f t="shared" si="37"/>
        <v>-0.28488166991692282</v>
      </c>
      <c r="H109" s="165">
        <f>VLOOKUP($B109,'Data shares'!$C:$FB,66)</f>
        <v>80890250</v>
      </c>
      <c r="I109" s="165">
        <f>VLOOKUP($B109,'Data shares'!$C:$FB,67)</f>
        <v>131112500</v>
      </c>
      <c r="J109" s="81">
        <f t="shared" si="38"/>
        <v>-38.304700162074553</v>
      </c>
      <c r="K109" s="5">
        <f>VLOOKUP($B109,'Data Vlaue (Cr)'!$C:$FB,99)</f>
        <v>971</v>
      </c>
      <c r="L109" s="81">
        <f>VLOOKUP(B109,'OI(Value)'!$A$7:$C$232,3,0)</f>
        <v>-387</v>
      </c>
      <c r="M109" s="33">
        <f t="shared" si="31"/>
        <v>-39.85581874356334</v>
      </c>
      <c r="N109" s="5">
        <f>VLOOKUP($B109,'Data Vlaue (Cr)'!$C:$FB,67)</f>
        <v>798</v>
      </c>
      <c r="O109" s="5">
        <f>VLOOKUP($B109,'Data Vlaue (Cr)'!$C:$FB,68)</f>
        <v>1293</v>
      </c>
      <c r="P109" s="5">
        <f t="shared" si="39"/>
        <v>-62.030075187969928</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301.64999999999998</v>
      </c>
      <c r="D110" s="82">
        <f>VLOOKUP($B110,'Data shares'!$C:$FB,98)</f>
        <v>246056000</v>
      </c>
      <c r="E110" s="165">
        <f>VLOOKUP(B110,'Snapshot (Volume)'!$A$7:$G$168,7,0)</f>
        <v>370706150</v>
      </c>
      <c r="F110" s="165">
        <f t="shared" si="36"/>
        <v>-124650150</v>
      </c>
      <c r="G110" s="166">
        <f t="shared" si="37"/>
        <v>-0.33625055856235458</v>
      </c>
      <c r="H110" s="165">
        <f>VLOOKUP($B110,'Data shares'!$C:$FB,66)</f>
        <v>176608000</v>
      </c>
      <c r="I110" s="165">
        <f>VLOOKUP($B110,'Data shares'!$C:$FB,67)</f>
        <v>210030400</v>
      </c>
      <c r="J110" s="81">
        <f t="shared" si="38"/>
        <v>-15.91312495714906</v>
      </c>
      <c r="K110" s="5">
        <f>VLOOKUP($B110,'Data Vlaue (Cr)'!$C:$FB,99)</f>
        <v>7459</v>
      </c>
      <c r="L110" s="81">
        <f>VLOOKUP(B110,'OI(Value)'!$A$7:$C$232,3,0)</f>
        <v>-3779</v>
      </c>
      <c r="M110" s="33">
        <f t="shared" si="31"/>
        <v>-50.663627832149082</v>
      </c>
      <c r="N110" s="5">
        <f>VLOOKUP($B110,'Data Vlaue (Cr)'!$C:$FB,67)</f>
        <v>5354</v>
      </c>
      <c r="O110" s="5">
        <f>VLOOKUP($B110,'Data Vlaue (Cr)'!$C:$FB,68)</f>
        <v>6367</v>
      </c>
      <c r="P110" s="5">
        <f t="shared" si="39"/>
        <v>-18.920433320881582</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1222.9000000000001</v>
      </c>
      <c r="D111" s="82">
        <f>VLOOKUP($B111,'Data shares'!$C:$FB,98)</f>
        <v>14073125</v>
      </c>
      <c r="E111" s="165">
        <f>VLOOKUP(B111,'Snapshot (Volume)'!$A$7:$G$168,7,0)</f>
        <v>18951250</v>
      </c>
      <c r="F111" s="165">
        <f t="shared" si="36"/>
        <v>-4878125</v>
      </c>
      <c r="G111" s="166">
        <f t="shared" si="37"/>
        <v>-0.2574038651803971</v>
      </c>
      <c r="H111" s="165">
        <f>VLOOKUP($B111,'Data shares'!$C:$FB,66)</f>
        <v>12917500</v>
      </c>
      <c r="I111" s="165">
        <f>VLOOKUP($B111,'Data shares'!$C:$FB,67)</f>
        <v>10564375</v>
      </c>
      <c r="J111" s="81">
        <f t="shared" si="38"/>
        <v>22.274152517304621</v>
      </c>
      <c r="K111" s="5">
        <f>VLOOKUP($B111,'Data Vlaue (Cr)'!$C:$FB,99)</f>
        <v>1734</v>
      </c>
      <c r="L111" s="81">
        <f>VLOOKUP(B111,'OI(Value)'!$A$7:$C$232,3,0)</f>
        <v>-601</v>
      </c>
      <c r="M111" s="33">
        <f t="shared" si="31"/>
        <v>-34.659746251441753</v>
      </c>
      <c r="N111" s="5">
        <f>VLOOKUP($B111,'Data Vlaue (Cr)'!$C:$FB,67)</f>
        <v>1591</v>
      </c>
      <c r="O111" s="5">
        <f>VLOOKUP($B111,'Data Vlaue (Cr)'!$C:$FB,68)</f>
        <v>1302</v>
      </c>
      <c r="P111" s="5">
        <f t="shared" si="39"/>
        <v>18.164676304211188</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240.67</v>
      </c>
      <c r="D112" s="82">
        <f>VLOOKUP($B112,'Data shares'!$C:$FB,98)</f>
        <v>224582450</v>
      </c>
      <c r="E112" s="165">
        <f>VLOOKUP(B112,'Snapshot (Volume)'!$A$7:$G$168,7,0)</f>
        <v>288234550</v>
      </c>
      <c r="F112" s="165">
        <f t="shared" si="36"/>
        <v>-63652100</v>
      </c>
      <c r="G112" s="166">
        <f t="shared" si="37"/>
        <v>-0.22083438643979356</v>
      </c>
      <c r="H112" s="165">
        <f>VLOOKUP($B112,'Data shares'!$C:$FB,66)</f>
        <v>150407050</v>
      </c>
      <c r="I112" s="165">
        <f>VLOOKUP($B112,'Data shares'!$C:$FB,67)</f>
        <v>223275850</v>
      </c>
      <c r="J112" s="81">
        <f t="shared" si="38"/>
        <v>-32.636221069139367</v>
      </c>
      <c r="K112" s="5">
        <f>VLOOKUP($B112,'Data Vlaue (Cr)'!$C:$FB,99)</f>
        <v>5437</v>
      </c>
      <c r="L112" s="81">
        <f>VLOOKUP(B112,'OI(Value)'!$A$7:$C$232,3,0)</f>
        <v>-1541</v>
      </c>
      <c r="M112" s="33">
        <f t="shared" si="31"/>
        <v>-28.342836122861868</v>
      </c>
      <c r="N112" s="5">
        <f>VLOOKUP($B112,'Data Vlaue (Cr)'!$C:$FB,67)</f>
        <v>3641</v>
      </c>
      <c r="O112" s="5">
        <f>VLOOKUP($B112,'Data Vlaue (Cr)'!$C:$FB,68)</f>
        <v>5405</v>
      </c>
      <c r="P112" s="5">
        <f t="shared" si="39"/>
        <v>-48.448228508651468</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576</v>
      </c>
      <c r="D113" s="82">
        <f>VLOOKUP($B113,'Data shares'!$C:$FB,98)</f>
        <v>27737975</v>
      </c>
      <c r="E113" s="165">
        <f>VLOOKUP(B113,'Snapshot (Volume)'!$A$7:$G$168,7,0)</f>
        <v>40908125</v>
      </c>
      <c r="F113" s="165">
        <f t="shared" si="36"/>
        <v>-13170150</v>
      </c>
      <c r="G113" s="166">
        <f t="shared" si="37"/>
        <v>-0.32194460146975695</v>
      </c>
      <c r="H113" s="165">
        <f>VLOOKUP($B113,'Data shares'!$C:$FB,66)</f>
        <v>54301000</v>
      </c>
      <c r="I113" s="165">
        <f>VLOOKUP($B113,'Data shares'!$C:$FB,67)</f>
        <v>43549000</v>
      </c>
      <c r="J113" s="81">
        <f t="shared" si="38"/>
        <v>24.689430296906934</v>
      </c>
      <c r="K113" s="5">
        <f>VLOOKUP($B113,'Data Vlaue (Cr)'!$C:$FB,99)</f>
        <v>1605</v>
      </c>
      <c r="L113" s="81">
        <f>VLOOKUP(B113,'OI(Value)'!$A$7:$C$232,3,0)</f>
        <v>-762</v>
      </c>
      <c r="M113" s="33">
        <f t="shared" si="31"/>
        <v>-47.476635514018689</v>
      </c>
      <c r="N113" s="5">
        <f>VLOOKUP($B113,'Data Vlaue (Cr)'!$C:$FB,67)</f>
        <v>3141</v>
      </c>
      <c r="O113" s="5">
        <f>VLOOKUP($B113,'Data Vlaue (Cr)'!$C:$FB,68)</f>
        <v>2519</v>
      </c>
      <c r="P113" s="5">
        <f t="shared" si="39"/>
        <v>19.802610633556192</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1293.5999999999999</v>
      </c>
      <c r="D114" s="82">
        <f>VLOOKUP($B114,'Data shares'!$C:$FB,98)</f>
        <v>47417400</v>
      </c>
      <c r="E114" s="165">
        <f>VLOOKUP(B114,'Snapshot (Volume)'!$A$7:$G$168,7,0)</f>
        <v>58498200</v>
      </c>
      <c r="F114" s="165">
        <f t="shared" si="36"/>
        <v>-11080800</v>
      </c>
      <c r="G114" s="166">
        <f t="shared" si="37"/>
        <v>-0.18942121296039879</v>
      </c>
      <c r="H114" s="165">
        <f>VLOOKUP($B114,'Data shares'!$C:$FB,66)</f>
        <v>15776100</v>
      </c>
      <c r="I114" s="165">
        <f>VLOOKUP($B114,'Data shares'!$C:$FB,67)</f>
        <v>22428225</v>
      </c>
      <c r="J114" s="81">
        <f t="shared" si="38"/>
        <v>-29.659614169199749</v>
      </c>
      <c r="K114" s="5">
        <f>VLOOKUP($B114,'Data Vlaue (Cr)'!$C:$FB,99)</f>
        <v>6170</v>
      </c>
      <c r="L114" s="81">
        <f>VLOOKUP(B114,'OI(Value)'!$A$7:$C$232,3,0)</f>
        <v>-1442</v>
      </c>
      <c r="M114" s="33">
        <f t="shared" si="31"/>
        <v>-23.371150729335493</v>
      </c>
      <c r="N114" s="5">
        <f>VLOOKUP($B114,'Data Vlaue (Cr)'!$C:$FB,67)</f>
        <v>2053</v>
      </c>
      <c r="O114" s="5">
        <f>VLOOKUP($B114,'Data Vlaue (Cr)'!$C:$FB,68)</f>
        <v>2918</v>
      </c>
      <c r="P114" s="5">
        <f t="shared" si="39"/>
        <v>-42.133463224549438</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430.05</v>
      </c>
      <c r="D115" s="80">
        <f>VLOOKUP($B115,'Data shares'!$C:$FB,98)</f>
        <v>44307500</v>
      </c>
      <c r="E115" s="165">
        <f>VLOOKUP(B115,'Snapshot (Volume)'!$A$7:$G$168,7,0)</f>
        <v>59062500</v>
      </c>
      <c r="F115" s="165">
        <f t="shared" ref="F115:F126" si="40">D115-E115</f>
        <v>-14755000</v>
      </c>
      <c r="G115" s="166">
        <f t="shared" ref="G115:G126" si="41">F115/E115</f>
        <v>-0.24982010582010583</v>
      </c>
      <c r="H115" s="165">
        <f>VLOOKUP($B115,'Data shares'!$C:$FB,66)</f>
        <v>31022500</v>
      </c>
      <c r="I115" s="165">
        <f>VLOOKUP($B115,'Data shares'!$C:$FB,67)</f>
        <v>57786250</v>
      </c>
      <c r="J115" s="81">
        <f t="shared" ref="J115:J126" si="42">(H115-I115)/I115*100</f>
        <v>-46.315083605528997</v>
      </c>
      <c r="K115" s="81">
        <f>VLOOKUP($B115,'Data Vlaue (Cr)'!$C:$FB,99)</f>
        <v>1908</v>
      </c>
      <c r="L115" s="81">
        <f>VLOOKUP(B115,'OI(Value)'!$A$7:$C$232,3,0)</f>
        <v>-635</v>
      </c>
      <c r="M115" s="81">
        <f t="shared" si="31"/>
        <v>-33.280922431865825</v>
      </c>
      <c r="N115" s="81">
        <f>VLOOKUP($B115,'Data Vlaue (Cr)'!$C:$FB,67)</f>
        <v>1336</v>
      </c>
      <c r="O115" s="81">
        <f>VLOOKUP($B115,'Data Vlaue (Cr)'!$C:$FB,68)</f>
        <v>2488</v>
      </c>
      <c r="P115" s="81">
        <f t="shared" ref="P115:P126" si="43">(N115-O115)/N115*100</f>
        <v>-86.227544910179645</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355.45</v>
      </c>
      <c r="D116" s="82">
        <f>VLOOKUP($B116,'Data shares'!$C:$FB,98)</f>
        <v>43524375</v>
      </c>
      <c r="E116" s="165">
        <f>VLOOKUP(B116,'Snapshot (Volume)'!$A$7:$G$168,7,0)</f>
        <v>70928750</v>
      </c>
      <c r="F116" s="165">
        <f t="shared" si="40"/>
        <v>-27404375</v>
      </c>
      <c r="G116" s="166">
        <f t="shared" si="41"/>
        <v>-0.38636483795358018</v>
      </c>
      <c r="H116" s="165">
        <f>VLOOKUP($B116,'Data shares'!$C:$FB,66)</f>
        <v>33612050</v>
      </c>
      <c r="I116" s="165">
        <f>VLOOKUP($B116,'Data shares'!$C:$FB,67)</f>
        <v>58712400</v>
      </c>
      <c r="J116" s="81">
        <f t="shared" si="42"/>
        <v>-42.751360870957413</v>
      </c>
      <c r="K116" s="5">
        <f>VLOOKUP($B116,'Data Vlaue (Cr)'!$C:$FB,99)</f>
        <v>1559</v>
      </c>
      <c r="L116" s="81">
        <f>VLOOKUP(B116,'OI(Value)'!$A$7:$C$232,3,0)</f>
        <v>-982</v>
      </c>
      <c r="M116" s="33">
        <f t="shared" si="31"/>
        <v>-62.989095574085951</v>
      </c>
      <c r="N116" s="5">
        <f>VLOOKUP($B116,'Data Vlaue (Cr)'!$C:$FB,67)</f>
        <v>1204</v>
      </c>
      <c r="O116" s="5">
        <f>VLOOKUP($B116,'Data Vlaue (Cr)'!$C:$FB,68)</f>
        <v>2103</v>
      </c>
      <c r="P116" s="5">
        <f t="shared" si="43"/>
        <v>-74.667774086378742</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3299</v>
      </c>
      <c r="D117" s="82">
        <f>VLOOKUP($B117,'Data shares'!$C:$FB,98)</f>
        <v>5650050</v>
      </c>
      <c r="E117" s="165">
        <f>VLOOKUP(B117,'Snapshot (Volume)'!$A$7:$G$168,7,0)</f>
        <v>9249650</v>
      </c>
      <c r="F117" s="165">
        <f t="shared" si="40"/>
        <v>-3599600</v>
      </c>
      <c r="G117" s="166">
        <f t="shared" si="41"/>
        <v>-0.38916067094430601</v>
      </c>
      <c r="H117" s="165">
        <f>VLOOKUP($B117,'Data shares'!$C:$FB,66)</f>
        <v>15797800</v>
      </c>
      <c r="I117" s="165">
        <f>VLOOKUP($B117,'Data shares'!$C:$FB,67)</f>
        <v>3342600</v>
      </c>
      <c r="J117" s="81">
        <f t="shared" si="42"/>
        <v>372.62011607730511</v>
      </c>
      <c r="K117" s="5">
        <f>VLOOKUP($B117,'Data Vlaue (Cr)'!$C:$FB,99)</f>
        <v>1815</v>
      </c>
      <c r="L117" s="81">
        <f>VLOOKUP(B117,'OI(Value)'!$A$7:$C$232,3,0)</f>
        <v>-1156</v>
      </c>
      <c r="M117" s="33">
        <f t="shared" si="31"/>
        <v>-63.691460055096414</v>
      </c>
      <c r="N117" s="5">
        <f>VLOOKUP($B117,'Data Vlaue (Cr)'!$C:$FB,67)</f>
        <v>5074</v>
      </c>
      <c r="O117" s="5">
        <f>VLOOKUP($B117,'Data Vlaue (Cr)'!$C:$FB,68)</f>
        <v>1074</v>
      </c>
      <c r="P117" s="5">
        <f t="shared" si="43"/>
        <v>78.833267638943639</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5305.5</v>
      </c>
      <c r="D118" s="82">
        <f>VLOOKUP($B118,'Data shares'!$C:$FB,98)</f>
        <v>1800050</v>
      </c>
      <c r="E118" s="165">
        <f>VLOOKUP(B118,'Snapshot (Volume)'!$A$7:$G$168,7,0)</f>
        <v>3034325</v>
      </c>
      <c r="F118" s="165">
        <f t="shared" si="40"/>
        <v>-1234275</v>
      </c>
      <c r="G118" s="166">
        <f t="shared" si="41"/>
        <v>-0.40677086337159007</v>
      </c>
      <c r="H118" s="165">
        <f>VLOOKUP($B118,'Data shares'!$C:$FB,66)</f>
        <v>2447725</v>
      </c>
      <c r="I118" s="165">
        <f>VLOOKUP($B118,'Data shares'!$C:$FB,67)</f>
        <v>5268200</v>
      </c>
      <c r="J118" s="81">
        <f t="shared" si="42"/>
        <v>-53.537735849056602</v>
      </c>
      <c r="K118" s="5">
        <f>VLOOKUP($B118,'Data Vlaue (Cr)'!$C:$FB,99)</f>
        <v>961</v>
      </c>
      <c r="L118" s="81">
        <f>VLOOKUP(B118,'OI(Value)'!$A$7:$C$232,3,0)</f>
        <v>-659</v>
      </c>
      <c r="M118" s="33">
        <f t="shared" si="31"/>
        <v>-68.574401664932367</v>
      </c>
      <c r="N118" s="5">
        <f>VLOOKUP($B118,'Data Vlaue (Cr)'!$C:$FB,67)</f>
        <v>1307</v>
      </c>
      <c r="O118" s="5">
        <f>VLOOKUP($B118,'Data Vlaue (Cr)'!$C:$FB,68)</f>
        <v>2812</v>
      </c>
      <c r="P118" s="5">
        <f t="shared" si="43"/>
        <v>-115.14919663351186</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837.05</v>
      </c>
      <c r="D119" s="82">
        <f>VLOOKUP($B119,'Data shares'!$C:$FB,98)</f>
        <v>6042850</v>
      </c>
      <c r="E119" s="165">
        <f>VLOOKUP(B119,'Snapshot (Volume)'!$A$7:$G$168,7,0)</f>
        <v>12206675</v>
      </c>
      <c r="F119" s="165">
        <f t="shared" si="40"/>
        <v>-6163825</v>
      </c>
      <c r="G119" s="166">
        <f t="shared" si="41"/>
        <v>-0.50495528061490946</v>
      </c>
      <c r="H119" s="165">
        <f>VLOOKUP($B119,'Data shares'!$C:$FB,66)</f>
        <v>5130500</v>
      </c>
      <c r="I119" s="165">
        <f>VLOOKUP($B119,'Data shares'!$C:$FB,67)</f>
        <v>8416000</v>
      </c>
      <c r="J119" s="81">
        <f t="shared" si="42"/>
        <v>-39.038735741444867</v>
      </c>
      <c r="K119" s="5">
        <f>VLOOKUP($B119,'Data Vlaue (Cr)'!$C:$FB,99)</f>
        <v>509</v>
      </c>
      <c r="L119" s="81">
        <f>VLOOKUP(B119,'OI(Value)'!$A$7:$C$232,3,0)</f>
        <v>-519</v>
      </c>
      <c r="M119" s="33">
        <f t="shared" si="31"/>
        <v>-101.96463654223969</v>
      </c>
      <c r="N119" s="5">
        <f>VLOOKUP($B119,'Data Vlaue (Cr)'!$C:$FB,67)</f>
        <v>432</v>
      </c>
      <c r="O119" s="5">
        <f>VLOOKUP($B119,'Data Vlaue (Cr)'!$C:$FB,68)</f>
        <v>708</v>
      </c>
      <c r="P119" s="5">
        <f t="shared" si="43"/>
        <v>-63.888888888888886</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388.65</v>
      </c>
      <c r="D120" s="82">
        <f>VLOOKUP($B120,'Data shares'!$C:$FB,98)</f>
        <v>216590000</v>
      </c>
      <c r="E120" s="165">
        <f>VLOOKUP(B120,'Snapshot (Volume)'!$A$7:$G$168,7,0)</f>
        <v>270740000</v>
      </c>
      <c r="F120" s="165">
        <f t="shared" si="40"/>
        <v>-54150000</v>
      </c>
      <c r="G120" s="166">
        <f t="shared" si="41"/>
        <v>-0.20000738716111399</v>
      </c>
      <c r="H120" s="165">
        <f>VLOOKUP($B120,'Data shares'!$C:$FB,66)</f>
        <v>94764000</v>
      </c>
      <c r="I120" s="165">
        <f>VLOOKUP($B120,'Data shares'!$C:$FB,67)</f>
        <v>213106000</v>
      </c>
      <c r="J120" s="81">
        <f t="shared" si="42"/>
        <v>-55.531988775538935</v>
      </c>
      <c r="K120" s="5">
        <f>VLOOKUP($B120,'Data Vlaue (Cr)'!$C:$FB,99)</f>
        <v>8467</v>
      </c>
      <c r="L120" s="81">
        <f>VLOOKUP(B120,'OI(Value)'!$A$7:$C$232,3,0)</f>
        <v>-2117</v>
      </c>
      <c r="M120" s="33">
        <f t="shared" si="31"/>
        <v>-25.002952639659853</v>
      </c>
      <c r="N120" s="5">
        <f>VLOOKUP($B120,'Data Vlaue (Cr)'!$C:$FB,67)</f>
        <v>3704</v>
      </c>
      <c r="O120" s="5">
        <f>VLOOKUP($B120,'Data Vlaue (Cr)'!$C:$FB,68)</f>
        <v>8330</v>
      </c>
      <c r="P120" s="5">
        <f t="shared" si="43"/>
        <v>-124.89200863930886</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784.7</v>
      </c>
      <c r="D121" s="82">
        <f>VLOOKUP($B121,'Data shares'!$C:$FB,98)</f>
        <v>11733575</v>
      </c>
      <c r="E121" s="165">
        <f>VLOOKUP(B121,'Snapshot (Volume)'!$A$7:$G$168,7,0)</f>
        <v>18221700</v>
      </c>
      <c r="F121" s="165">
        <f t="shared" si="40"/>
        <v>-6488125</v>
      </c>
      <c r="G121" s="166">
        <f t="shared" si="41"/>
        <v>-0.35606584456993584</v>
      </c>
      <c r="H121" s="165">
        <f>VLOOKUP($B121,'Data shares'!$C:$FB,66)</f>
        <v>17383350</v>
      </c>
      <c r="I121" s="165">
        <f>VLOOKUP($B121,'Data shares'!$C:$FB,67)</f>
        <v>23528000</v>
      </c>
      <c r="J121" s="81">
        <f t="shared" si="42"/>
        <v>-26.116329479768787</v>
      </c>
      <c r="K121" s="5">
        <f>VLOOKUP($B121,'Data Vlaue (Cr)'!$C:$FB,99)</f>
        <v>897</v>
      </c>
      <c r="L121" s="81">
        <f>VLOOKUP(B121,'OI(Value)'!$A$7:$C$232,3,0)</f>
        <v>-496</v>
      </c>
      <c r="M121" s="33">
        <f t="shared" si="31"/>
        <v>-55.29542920847269</v>
      </c>
      <c r="N121" s="5">
        <f>VLOOKUP($B121,'Data Vlaue (Cr)'!$C:$FB,67)</f>
        <v>1330</v>
      </c>
      <c r="O121" s="5">
        <f>VLOOKUP($B121,'Data Vlaue (Cr)'!$C:$FB,68)</f>
        <v>1800</v>
      </c>
      <c r="P121" s="5">
        <f t="shared" si="43"/>
        <v>-35.338345864661655</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1373.9</v>
      </c>
      <c r="D122" s="82">
        <f>VLOOKUP($B122,'Data shares'!$C:$FB,98)</f>
        <v>24434100</v>
      </c>
      <c r="E122" s="165">
        <f>VLOOKUP(B122,'Snapshot (Volume)'!$A$7:$G$168,7,0)</f>
        <v>34285600</v>
      </c>
      <c r="F122" s="165">
        <f t="shared" si="40"/>
        <v>-9851500</v>
      </c>
      <c r="G122" s="166">
        <f t="shared" si="41"/>
        <v>-0.28733637445458149</v>
      </c>
      <c r="H122" s="165">
        <f>VLOOKUP($B122,'Data shares'!$C:$FB,66)</f>
        <v>20734900</v>
      </c>
      <c r="I122" s="165">
        <f>VLOOKUP($B122,'Data shares'!$C:$FB,67)</f>
        <v>23915600</v>
      </c>
      <c r="J122" s="81">
        <f t="shared" si="42"/>
        <v>-13.299687233437588</v>
      </c>
      <c r="K122" s="5">
        <f>VLOOKUP($B122,'Data Vlaue (Cr)'!$C:$FB,99)</f>
        <v>3374</v>
      </c>
      <c r="L122" s="81">
        <f>VLOOKUP(B122,'OI(Value)'!$A$7:$C$232,3,0)</f>
        <v>-1360</v>
      </c>
      <c r="M122" s="33">
        <f t="shared" si="31"/>
        <v>-40.308239478363959</v>
      </c>
      <c r="N122" s="5">
        <f>VLOOKUP($B122,'Data Vlaue (Cr)'!$C:$FB,67)</f>
        <v>2863</v>
      </c>
      <c r="O122" s="5">
        <f>VLOOKUP($B122,'Data Vlaue (Cr)'!$C:$FB,68)</f>
        <v>3303</v>
      </c>
      <c r="P122" s="5">
        <f t="shared" si="43"/>
        <v>-15.368494586098496</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544.15</v>
      </c>
      <c r="D123" s="82">
        <f>VLOOKUP($B123,'Data shares'!$C:$FB,98)</f>
        <v>35593000</v>
      </c>
      <c r="E123" s="165">
        <f>VLOOKUP(B123,'Snapshot (Volume)'!$A$7:$G$168,7,0)</f>
        <v>45027000</v>
      </c>
      <c r="F123" s="165">
        <f t="shared" si="40"/>
        <v>-9434000</v>
      </c>
      <c r="G123" s="166">
        <f t="shared" si="41"/>
        <v>-0.20951873320452172</v>
      </c>
      <c r="H123" s="165">
        <f>VLOOKUP($B123,'Data shares'!$C:$FB,66)</f>
        <v>17419000</v>
      </c>
      <c r="I123" s="165">
        <f>VLOOKUP($B123,'Data shares'!$C:$FB,67)</f>
        <v>36248000</v>
      </c>
      <c r="J123" s="81">
        <f t="shared" si="42"/>
        <v>-51.944934892959616</v>
      </c>
      <c r="K123" s="5">
        <f>VLOOKUP($B123,'Data Vlaue (Cr)'!$C:$FB,99)</f>
        <v>1952</v>
      </c>
      <c r="L123" s="81">
        <f>VLOOKUP(B123,'OI(Value)'!$A$7:$C$232,3,0)</f>
        <v>-517</v>
      </c>
      <c r="M123" s="33">
        <f t="shared" ref="M123:M144" si="44">L123/K123*100</f>
        <v>-26.485655737704917</v>
      </c>
      <c r="N123" s="5">
        <f>VLOOKUP($B123,'Data Vlaue (Cr)'!$C:$FB,67)</f>
        <v>955</v>
      </c>
      <c r="O123" s="5">
        <f>VLOOKUP($B123,'Data Vlaue (Cr)'!$C:$FB,68)</f>
        <v>1988</v>
      </c>
      <c r="P123" s="5">
        <f t="shared" si="43"/>
        <v>-108.1675392670157</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854.9</v>
      </c>
      <c r="D124" s="82">
        <f>VLOOKUP($B124,'Data shares'!$C:$FB,98)</f>
        <v>17853500</v>
      </c>
      <c r="E124" s="165">
        <f>VLOOKUP(B124,'Snapshot (Volume)'!$A$7:$G$168,7,0)</f>
        <v>26252800</v>
      </c>
      <c r="F124" s="165">
        <f t="shared" si="40"/>
        <v>-8399300</v>
      </c>
      <c r="G124" s="166">
        <f t="shared" si="41"/>
        <v>-0.31993920648464164</v>
      </c>
      <c r="H124" s="165">
        <f>VLOOKUP($B124,'Data shares'!$C:$FB,66)</f>
        <v>28415800</v>
      </c>
      <c r="I124" s="165">
        <f>VLOOKUP($B124,'Data shares'!$C:$FB,67)</f>
        <v>62112400</v>
      </c>
      <c r="J124" s="81">
        <f t="shared" si="42"/>
        <v>-54.251003020330877</v>
      </c>
      <c r="K124" s="5">
        <f>VLOOKUP($B124,'Data Vlaue (Cr)'!$C:$FB,99)</f>
        <v>1538</v>
      </c>
      <c r="L124" s="81">
        <f>VLOOKUP(B124,'OI(Value)'!$A$7:$C$232,3,0)</f>
        <v>-723</v>
      </c>
      <c r="M124" s="33">
        <f t="shared" si="44"/>
        <v>-47.009102730819244</v>
      </c>
      <c r="N124" s="5">
        <f>VLOOKUP($B124,'Data Vlaue (Cr)'!$C:$FB,67)</f>
        <v>2447</v>
      </c>
      <c r="O124" s="5">
        <f>VLOOKUP($B124,'Data Vlaue (Cr)'!$C:$FB,68)</f>
        <v>5349</v>
      </c>
      <c r="P124" s="5">
        <f t="shared" si="43"/>
        <v>-118.59419697588885</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903.7</v>
      </c>
      <c r="D125" s="82">
        <f>VLOOKUP($B125,'Data shares'!$C:$FB,98)</f>
        <v>13819000</v>
      </c>
      <c r="E125" s="165">
        <f>VLOOKUP(B125,'Snapshot (Volume)'!$A$7:$G$168,7,0)</f>
        <v>19235000</v>
      </c>
      <c r="F125" s="165">
        <f t="shared" si="40"/>
        <v>-5416000</v>
      </c>
      <c r="G125" s="166">
        <f t="shared" si="41"/>
        <v>-0.28157005458799061</v>
      </c>
      <c r="H125" s="165">
        <f>VLOOKUP($B125,'Data shares'!$C:$FB,66)</f>
        <v>7020000</v>
      </c>
      <c r="I125" s="165">
        <f>VLOOKUP($B125,'Data shares'!$C:$FB,67)</f>
        <v>17390700</v>
      </c>
      <c r="J125" s="81">
        <f t="shared" si="42"/>
        <v>-59.633597267505046</v>
      </c>
      <c r="K125" s="5">
        <f>VLOOKUP($B125,'Data Vlaue (Cr)'!$C:$FB,99)</f>
        <v>1256</v>
      </c>
      <c r="L125" s="81">
        <f>VLOOKUP(B125,'OI(Value)'!$A$7:$C$232,3,0)</f>
        <v>-492</v>
      </c>
      <c r="M125" s="33">
        <f t="shared" si="44"/>
        <v>-39.171974522292999</v>
      </c>
      <c r="N125" s="5">
        <f>VLOOKUP($B125,'Data Vlaue (Cr)'!$C:$FB,67)</f>
        <v>638</v>
      </c>
      <c r="O125" s="5">
        <f>VLOOKUP($B125,'Data Vlaue (Cr)'!$C:$FB,68)</f>
        <v>1581</v>
      </c>
      <c r="P125" s="5">
        <f t="shared" si="43"/>
        <v>-147.80564263322884</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4037.8</v>
      </c>
      <c r="D126" s="82">
        <f>VLOOKUP($B126,'Data shares'!$C:$FB,98)</f>
        <v>20515950</v>
      </c>
      <c r="E126" s="165">
        <f>VLOOKUP(B126,'Snapshot (Volume)'!$A$7:$G$168,7,0)</f>
        <v>29544025</v>
      </c>
      <c r="F126" s="165">
        <f t="shared" si="40"/>
        <v>-9028075</v>
      </c>
      <c r="G126" s="166">
        <f t="shared" si="41"/>
        <v>-0.30558040077477594</v>
      </c>
      <c r="H126" s="165">
        <f>VLOOKUP($B126,'Data shares'!$C:$FB,66)</f>
        <v>19083225</v>
      </c>
      <c r="I126" s="165">
        <f>VLOOKUP($B126,'Data shares'!$C:$FB,67)</f>
        <v>39456375</v>
      </c>
      <c r="J126" s="81">
        <f t="shared" si="42"/>
        <v>-51.634621781651255</v>
      </c>
      <c r="K126" s="5">
        <f>VLOOKUP($B126,'Data Vlaue (Cr)'!$C:$FB,99)</f>
        <v>8325</v>
      </c>
      <c r="L126" s="81">
        <f>VLOOKUP(B126,'OI(Value)'!$A$7:$C$232,3,0)</f>
        <v>-3663</v>
      </c>
      <c r="M126" s="33">
        <f t="shared" si="44"/>
        <v>-44</v>
      </c>
      <c r="N126" s="5">
        <f>VLOOKUP($B126,'Data Vlaue (Cr)'!$C:$FB,67)</f>
        <v>7743</v>
      </c>
      <c r="O126" s="5">
        <f>VLOOKUP($B126,'Data Vlaue (Cr)'!$C:$FB,68)</f>
        <v>16010</v>
      </c>
      <c r="P126" s="5">
        <f t="shared" si="43"/>
        <v>-106.76740281544622</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282.7</v>
      </c>
      <c r="D127" s="82">
        <f>VLOOKUP($B127,'Data shares'!$C:$FB,98)</f>
        <v>57075750</v>
      </c>
      <c r="E127" s="165">
        <f>VLOOKUP(B127,'Snapshot (Volume)'!$A$7:$G$168,7,0)</f>
        <v>81963000</v>
      </c>
      <c r="F127" s="165">
        <f>D127-E127</f>
        <v>-24887250</v>
      </c>
      <c r="G127" s="166">
        <f>F127/E127</f>
        <v>-0.30364005709893488</v>
      </c>
      <c r="H127" s="165">
        <f>VLOOKUP($B127,'Data shares'!$C:$FB,66)</f>
        <v>46071000</v>
      </c>
      <c r="I127" s="165">
        <f>VLOOKUP($B127,'Data shares'!$C:$FB,67)</f>
        <v>84737250</v>
      </c>
      <c r="J127" s="81">
        <f>(H127-I127)/I127*100</f>
        <v>-45.63075860970234</v>
      </c>
      <c r="K127" s="5">
        <f>VLOOKUP($B127,'Data Vlaue (Cr)'!$C:$FB,99)</f>
        <v>1619</v>
      </c>
      <c r="L127" s="81">
        <f>VLOOKUP(B127,'OI(Value)'!$A$7:$C$232,3,0)</f>
        <v>-706</v>
      </c>
      <c r="M127" s="33">
        <f t="shared" si="44"/>
        <v>-43.60716491661519</v>
      </c>
      <c r="N127" s="5">
        <f>VLOOKUP($B127,'Data Vlaue (Cr)'!$C:$FB,67)</f>
        <v>1307</v>
      </c>
      <c r="O127" s="5">
        <f>VLOOKUP($B127,'Data Vlaue (Cr)'!$C:$FB,68)</f>
        <v>2404</v>
      </c>
      <c r="P127" s="5">
        <f>(N127-O127)/N127*100</f>
        <v>-83.932670237184396</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LTM</v>
      </c>
      <c r="C128" s="4">
        <f>VLOOKUP($B128,'Data shares'!$C:$FB,7)</f>
        <v>3970.4</v>
      </c>
      <c r="D128" s="82">
        <f>VLOOKUP($B128,'Data shares'!$C:$FB,98)</f>
        <v>4881300</v>
      </c>
      <c r="E128" s="165">
        <f>VLOOKUP(B128,'Snapshot (Volume)'!$A$7:$G$168,7,0)</f>
        <v>7222650</v>
      </c>
      <c r="F128" s="165">
        <f>D128-E128</f>
        <v>-2341350</v>
      </c>
      <c r="G128" s="166">
        <f>F128/E128</f>
        <v>-0.32416772237336711</v>
      </c>
      <c r="H128" s="165">
        <f>VLOOKUP($B128,'Data shares'!$C:$FB,66)</f>
        <v>4308150</v>
      </c>
      <c r="I128" s="165">
        <f>VLOOKUP($B128,'Data shares'!$C:$FB,67)</f>
        <v>8830800</v>
      </c>
      <c r="J128" s="81">
        <f>(H128-I128)/I128*100</f>
        <v>-51.214499252615845</v>
      </c>
      <c r="K128" s="5">
        <f>VLOOKUP($B128,'Data Vlaue (Cr)'!$C:$FB,99)</f>
        <v>1939</v>
      </c>
      <c r="L128" s="81">
        <f>VLOOKUP(B128,'OI(Value)'!$A$7:$C$232,3,0)</f>
        <v>-930</v>
      </c>
      <c r="M128" s="33">
        <f t="shared" si="44"/>
        <v>-47.962867457452298</v>
      </c>
      <c r="N128" s="5">
        <f>VLOOKUP($B128,'Data Vlaue (Cr)'!$C:$FB,67)</f>
        <v>1711</v>
      </c>
      <c r="O128" s="5">
        <f>VLOOKUP($B128,'Data Vlaue (Cr)'!$C:$FB,68)</f>
        <v>3508</v>
      </c>
      <c r="P128" s="5">
        <f>(N128-O128)/N128*100</f>
        <v>-105.02630040911747</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2266</v>
      </c>
      <c r="D129" s="82">
        <f>VLOOKUP($B129,'Data shares'!$C:$FB,98)</f>
        <v>9028700</v>
      </c>
      <c r="E129" s="165">
        <f>VLOOKUP(B129,'Snapshot (Volume)'!$A$7:$G$168,7,0)</f>
        <v>19050625</v>
      </c>
      <c r="F129" s="165">
        <f>D129-E129</f>
        <v>-10021925</v>
      </c>
      <c r="G129" s="166">
        <f>F129/E129</f>
        <v>-0.52606804238706084</v>
      </c>
      <c r="H129" s="165">
        <f>VLOOKUP($B129,'Data shares'!$C:$FB,66)</f>
        <v>9847675</v>
      </c>
      <c r="I129" s="165">
        <f>VLOOKUP($B129,'Data shares'!$C:$FB,67)</f>
        <v>14255775</v>
      </c>
      <c r="J129" s="81">
        <f>(H129-I129)/I129*100</f>
        <v>-30.921503741466179</v>
      </c>
      <c r="K129" s="5">
        <f>VLOOKUP($B129,'Data Vlaue (Cr)'!$C:$FB,99)</f>
        <v>2058</v>
      </c>
      <c r="L129" s="81">
        <f>VLOOKUP(B129,'OI(Value)'!$A$7:$C$232,3,0)</f>
        <v>-2284</v>
      </c>
      <c r="M129" s="33">
        <f t="shared" si="44"/>
        <v>-110.98153547133138</v>
      </c>
      <c r="N129" s="5">
        <f>VLOOKUP($B129,'Data Vlaue (Cr)'!$C:$FB,67)</f>
        <v>2245</v>
      </c>
      <c r="O129" s="5">
        <f>VLOOKUP($B129,'Data Vlaue (Cr)'!$C:$FB,68)</f>
        <v>3249</v>
      </c>
      <c r="P129" s="5">
        <f>(N129-O129)/N129*100</f>
        <v>-44.721603563474389</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3107.3</v>
      </c>
      <c r="D130" s="82">
        <f>VLOOKUP($B130,'Data shares'!$C:$FB,98)</f>
        <v>23583600</v>
      </c>
      <c r="E130" s="165">
        <f>VLOOKUP(B130,'Snapshot (Volume)'!$A$7:$G$168,7,0)</f>
        <v>29847000</v>
      </c>
      <c r="F130" s="165">
        <f>D130-E130</f>
        <v>-6263400</v>
      </c>
      <c r="G130" s="166">
        <f>F130/E130</f>
        <v>-0.20985023620464369</v>
      </c>
      <c r="H130" s="165">
        <f>VLOOKUP($B130,'Data shares'!$C:$FB,66)</f>
        <v>14034400</v>
      </c>
      <c r="I130" s="165">
        <f>VLOOKUP($B130,'Data shares'!$C:$FB,67)</f>
        <v>27855800</v>
      </c>
      <c r="J130" s="81">
        <f>(H130-I130)/I130*100</f>
        <v>-49.61767387761256</v>
      </c>
      <c r="K130" s="5">
        <f>VLOOKUP($B130,'Data Vlaue (Cr)'!$C:$FB,99)</f>
        <v>7376</v>
      </c>
      <c r="L130" s="81">
        <f>VLOOKUP(B130,'OI(Value)'!$A$7:$C$232,3,0)</f>
        <v>-1959</v>
      </c>
      <c r="M130" s="33">
        <f t="shared" si="44"/>
        <v>-26.559110629067245</v>
      </c>
      <c r="N130" s="5">
        <f>VLOOKUP($B130,'Data Vlaue (Cr)'!$C:$FB,67)</f>
        <v>4390</v>
      </c>
      <c r="O130" s="5">
        <f>VLOOKUP($B130,'Data Vlaue (Cr)'!$C:$FB,68)</f>
        <v>8713</v>
      </c>
      <c r="P130" s="5">
        <f>(N130-O130)/N130*100</f>
        <v>-98.473804100227795</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330.25</v>
      </c>
      <c r="D131" s="82">
        <f>VLOOKUP($B131,'Data shares'!$C:$FB,98)</f>
        <v>58515000</v>
      </c>
      <c r="E131" s="165">
        <f>VLOOKUP(B131,'Snapshot (Volume)'!$A$7:$G$168,7,0)</f>
        <v>75459000</v>
      </c>
      <c r="F131" s="165">
        <f>D131-E131</f>
        <v>-16944000</v>
      </c>
      <c r="G131" s="166">
        <f>F131/E131</f>
        <v>-0.22454577982745597</v>
      </c>
      <c r="H131" s="165">
        <f>VLOOKUP($B131,'Data shares'!$C:$FB,66)</f>
        <v>40713000</v>
      </c>
      <c r="I131" s="165">
        <f>VLOOKUP($B131,'Data shares'!$C:$FB,67)</f>
        <v>57084000</v>
      </c>
      <c r="J131" s="81">
        <f>(H131-I131)/I131*100</f>
        <v>-28.678789152827409</v>
      </c>
      <c r="K131" s="5">
        <f>VLOOKUP($B131,'Data Vlaue (Cr)'!$C:$FB,99)</f>
        <v>1947</v>
      </c>
      <c r="L131" s="81">
        <f>VLOOKUP(B131,'OI(Value)'!$A$7:$C$232,3,0)</f>
        <v>-564</v>
      </c>
      <c r="M131" s="33">
        <f t="shared" si="44"/>
        <v>-28.967642526964561</v>
      </c>
      <c r="N131" s="5">
        <f>VLOOKUP($B131,'Data Vlaue (Cr)'!$C:$FB,67)</f>
        <v>1354</v>
      </c>
      <c r="O131" s="5">
        <f>VLOOKUP($B131,'Data Vlaue (Cr)'!$C:$FB,68)</f>
        <v>1899</v>
      </c>
      <c r="P131" s="5">
        <f>(N131-O131)/N131*100</f>
        <v>-40.251107828655833</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2423.6</v>
      </c>
      <c r="D132" s="165">
        <f>VLOOKUP($B132,'Data shares'!$C:$FB,98)</f>
        <v>4161125</v>
      </c>
      <c r="E132" s="165">
        <f>VLOOKUP(B132,'Snapshot (Volume)'!$A$7:$G$168,7,0)</f>
        <v>6022450</v>
      </c>
      <c r="F132" s="165">
        <f t="shared" ref="F132:F139" si="45">D132-E132</f>
        <v>-1861325</v>
      </c>
      <c r="G132" s="166">
        <f t="shared" ref="G132:G139" si="46">F132/E132</f>
        <v>-0.30906441730524953</v>
      </c>
      <c r="H132" s="165">
        <f>VLOOKUP($B132,'Data shares'!$C:$FB,66)</f>
        <v>2958975</v>
      </c>
      <c r="I132" s="165">
        <f>VLOOKUP($B132,'Data shares'!$C:$FB,67)</f>
        <v>5377275</v>
      </c>
      <c r="J132" s="81">
        <f t="shared" ref="J132:J139" si="47">(H132-I132)/I132*100</f>
        <v>-44.972592995522824</v>
      </c>
      <c r="K132" s="81">
        <f>VLOOKUP($B132,'Data Vlaue (Cr)'!$C:$FB,99)</f>
        <v>1016</v>
      </c>
      <c r="L132" s="81">
        <f>VLOOKUP(B132,'OI(Value)'!$A$7:$C$232,3,0)</f>
        <v>-454</v>
      </c>
      <c r="M132" s="81">
        <f t="shared" si="44"/>
        <v>-44.685039370078741</v>
      </c>
      <c r="N132" s="81">
        <f>VLOOKUP($B132,'Data Vlaue (Cr)'!$C:$FB,67)</f>
        <v>722</v>
      </c>
      <c r="O132" s="81">
        <f>VLOOKUP($B132,'Data Vlaue (Cr)'!$C:$FB,68)</f>
        <v>1312</v>
      </c>
      <c r="P132" s="81">
        <f t="shared" ref="P132:P139" si="48">(N132-O132)/N132*100</f>
        <v>-81.717451523545705</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830</v>
      </c>
      <c r="D133" s="165">
        <f>VLOOKUP($B133,'Data shares'!$C:$FB,98)</f>
        <v>19064400</v>
      </c>
      <c r="E133" s="165">
        <f>VLOOKUP(B133,'Snapshot (Volume)'!$A$7:$G$168,7,0)</f>
        <v>27595200</v>
      </c>
      <c r="F133" s="165">
        <f t="shared" si="45"/>
        <v>-8530800</v>
      </c>
      <c r="G133" s="166">
        <f t="shared" si="46"/>
        <v>-0.30914072012523919</v>
      </c>
      <c r="H133" s="165">
        <f>VLOOKUP($B133,'Data shares'!$C:$FB,66)</f>
        <v>10234800</v>
      </c>
      <c r="I133" s="165">
        <f>VLOOKUP($B133,'Data shares'!$C:$FB,67)</f>
        <v>17143200</v>
      </c>
      <c r="J133" s="81">
        <f t="shared" si="47"/>
        <v>-40.298194036119277</v>
      </c>
      <c r="K133" s="81">
        <f>VLOOKUP($B133,'Data Vlaue (Cr)'!$C:$FB,99)</f>
        <v>1591</v>
      </c>
      <c r="L133" s="81">
        <f>VLOOKUP(B133,'OI(Value)'!$A$7:$C$232,3,0)</f>
        <v>-712</v>
      </c>
      <c r="M133" s="81">
        <f t="shared" si="44"/>
        <v>-44.751728472658705</v>
      </c>
      <c r="N133" s="81">
        <f>VLOOKUP($B133,'Data Vlaue (Cr)'!$C:$FB,67)</f>
        <v>854</v>
      </c>
      <c r="O133" s="81">
        <f>VLOOKUP($B133,'Data Vlaue (Cr)'!$C:$FB,68)</f>
        <v>1430</v>
      </c>
      <c r="P133" s="81">
        <f t="shared" si="48"/>
        <v>-67.44730679156909</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13208</v>
      </c>
      <c r="D134" s="82">
        <f>VLOOKUP($B134,'Data shares'!$C:$FB,98)</f>
        <v>4039750</v>
      </c>
      <c r="E134" s="165">
        <f>VLOOKUP(B134,'Snapshot (Volume)'!$A$7:$G$168,7,0)</f>
        <v>6801000</v>
      </c>
      <c r="F134" s="165">
        <f t="shared" si="45"/>
        <v>-2761250</v>
      </c>
      <c r="G134" s="166">
        <f t="shared" si="46"/>
        <v>-0.40600646963681813</v>
      </c>
      <c r="H134" s="165">
        <f>VLOOKUP($B134,'Data shares'!$C:$FB,66)</f>
        <v>4931050</v>
      </c>
      <c r="I134" s="165">
        <f>VLOOKUP($B134,'Data shares'!$C:$FB,67)</f>
        <v>8365750</v>
      </c>
      <c r="J134" s="81">
        <f t="shared" si="47"/>
        <v>-41.056689477930846</v>
      </c>
      <c r="K134" s="5">
        <f>VLOOKUP($B134,'Data Vlaue (Cr)'!$C:$FB,99)</f>
        <v>5364</v>
      </c>
      <c r="L134" s="81">
        <f>VLOOKUP(B134,'OI(Value)'!$A$7:$C$232,3,0)</f>
        <v>-3667</v>
      </c>
      <c r="M134" s="33">
        <f t="shared" si="44"/>
        <v>-68.363161819537652</v>
      </c>
      <c r="N134" s="5">
        <f>VLOOKUP($B134,'Data Vlaue (Cr)'!$C:$FB,67)</f>
        <v>6548</v>
      </c>
      <c r="O134" s="5">
        <f>VLOOKUP($B134,'Data Vlaue (Cr)'!$C:$FB,68)</f>
        <v>11109</v>
      </c>
      <c r="P134" s="5">
        <f t="shared" si="48"/>
        <v>-69.654856444715946</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993.95</v>
      </c>
      <c r="D135" s="82">
        <f>VLOOKUP($B135,'Data shares'!$C:$FB,98)</f>
        <v>20211450</v>
      </c>
      <c r="E135" s="165">
        <f>VLOOKUP(B135,'Snapshot (Volume)'!$A$7:$G$168,7,0)</f>
        <v>26300925</v>
      </c>
      <c r="F135" s="165">
        <f t="shared" si="45"/>
        <v>-6089475</v>
      </c>
      <c r="G135" s="166">
        <f t="shared" si="46"/>
        <v>-0.23153083018943249</v>
      </c>
      <c r="H135" s="165">
        <f>VLOOKUP($B135,'Data shares'!$C:$FB,66)</f>
        <v>14795550</v>
      </c>
      <c r="I135" s="165">
        <f>VLOOKUP($B135,'Data shares'!$C:$FB,67)</f>
        <v>39660600</v>
      </c>
      <c r="J135" s="81">
        <f t="shared" si="47"/>
        <v>-62.694588584136405</v>
      </c>
      <c r="K135" s="5">
        <f>VLOOKUP($B135,'Data Vlaue (Cr)'!$C:$FB,99)</f>
        <v>2021</v>
      </c>
      <c r="L135" s="81">
        <f>VLOOKUP(B135,'OI(Value)'!$A$7:$C$232,3,0)</f>
        <v>-609</v>
      </c>
      <c r="M135" s="33">
        <f t="shared" si="44"/>
        <v>-30.133597229094505</v>
      </c>
      <c r="N135" s="5">
        <f>VLOOKUP($B135,'Data Vlaue (Cr)'!$C:$FB,67)</f>
        <v>1480</v>
      </c>
      <c r="O135" s="5">
        <f>VLOOKUP($B135,'Data Vlaue (Cr)'!$C:$FB,68)</f>
        <v>3966</v>
      </c>
      <c r="P135" s="5">
        <f t="shared" si="48"/>
        <v>-167.97297297297297</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2460.1</v>
      </c>
      <c r="D136" s="82">
        <f>VLOOKUP($B136,'Data shares'!$C:$FB,98)</f>
        <v>5761250</v>
      </c>
      <c r="E136" s="165">
        <f>VLOOKUP(B136,'Snapshot (Volume)'!$A$7:$G$168,7,0)</f>
        <v>11780450</v>
      </c>
      <c r="F136" s="165">
        <f t="shared" si="45"/>
        <v>-6019200</v>
      </c>
      <c r="G136" s="166">
        <f t="shared" si="46"/>
        <v>-0.51094822353984781</v>
      </c>
      <c r="H136" s="165">
        <f>VLOOKUP($B136,'Data shares'!$C:$FB,66)</f>
        <v>7635800</v>
      </c>
      <c r="I136" s="165">
        <f>VLOOKUP($B136,'Data shares'!$C:$FB,67)</f>
        <v>8866000</v>
      </c>
      <c r="J136" s="81">
        <f t="shared" si="47"/>
        <v>-13.875479359350326</v>
      </c>
      <c r="K136" s="5">
        <f>VLOOKUP($B136,'Data Vlaue (Cr)'!$C:$FB,99)</f>
        <v>1425</v>
      </c>
      <c r="L136" s="81">
        <f>VLOOKUP(B136,'OI(Value)'!$A$7:$C$232,3,0)</f>
        <v>-1489</v>
      </c>
      <c r="M136" s="33">
        <f t="shared" si="44"/>
        <v>-104.49122807017544</v>
      </c>
      <c r="N136" s="5">
        <f>VLOOKUP($B136,'Data Vlaue (Cr)'!$C:$FB,67)</f>
        <v>1889</v>
      </c>
      <c r="O136" s="5">
        <f>VLOOKUP($B136,'Data Vlaue (Cr)'!$C:$FB,68)</f>
        <v>2193</v>
      </c>
      <c r="P136" s="5">
        <f t="shared" si="48"/>
        <v>-16.093170989941768</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3307.3</v>
      </c>
      <c r="D137" s="82">
        <f>VLOOKUP($B137,'Data shares'!$C:$FB,98)</f>
        <v>17212100</v>
      </c>
      <c r="E137" s="165">
        <f>VLOOKUP(B137,'Snapshot (Volume)'!$A$7:$G$168,7,0)</f>
        <v>25165325</v>
      </c>
      <c r="F137" s="165">
        <f t="shared" si="45"/>
        <v>-7953225</v>
      </c>
      <c r="G137" s="166">
        <f t="shared" si="46"/>
        <v>-0.31603903386902416</v>
      </c>
      <c r="H137" s="165">
        <f>VLOOKUP($B137,'Data shares'!$C:$FB,66)</f>
        <v>24443750</v>
      </c>
      <c r="I137" s="165">
        <f>VLOOKUP($B137,'Data shares'!$C:$FB,67)</f>
        <v>48255000</v>
      </c>
      <c r="J137" s="81">
        <f t="shared" si="47"/>
        <v>-49.344627499740959</v>
      </c>
      <c r="K137" s="5">
        <f>VLOOKUP($B137,'Data Vlaue (Cr)'!$C:$FB,99)</f>
        <v>5717</v>
      </c>
      <c r="L137" s="81">
        <f>VLOOKUP(B137,'OI(Value)'!$A$7:$C$232,3,0)</f>
        <v>-2642</v>
      </c>
      <c r="M137" s="33">
        <f t="shared" si="44"/>
        <v>-46.213048801819134</v>
      </c>
      <c r="N137" s="5">
        <f>VLOOKUP($B137,'Data Vlaue (Cr)'!$C:$FB,67)</f>
        <v>8119</v>
      </c>
      <c r="O137" s="5">
        <f>VLOOKUP($B137,'Data Vlaue (Cr)'!$C:$FB,68)</f>
        <v>16028</v>
      </c>
      <c r="P137" s="5">
        <f t="shared" si="48"/>
        <v>-97.413474565833241</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1725.6</v>
      </c>
      <c r="D138" s="82">
        <f>VLOOKUP($B138,'Data shares'!$C:$FB,98)</f>
        <v>10447600</v>
      </c>
      <c r="E138" s="165">
        <f>VLOOKUP(B138,'Snapshot (Volume)'!$A$7:$G$168,7,0)</f>
        <v>11913600</v>
      </c>
      <c r="F138" s="165">
        <f t="shared" si="45"/>
        <v>-1466000</v>
      </c>
      <c r="G138" s="166">
        <f t="shared" si="46"/>
        <v>-0.12305264571582057</v>
      </c>
      <c r="H138" s="165">
        <f>VLOOKUP($B138,'Data shares'!$C:$FB,66)</f>
        <v>6744000</v>
      </c>
      <c r="I138" s="165">
        <f>VLOOKUP($B138,'Data shares'!$C:$FB,67)</f>
        <v>12451200</v>
      </c>
      <c r="J138" s="81">
        <f t="shared" si="47"/>
        <v>-45.836545875096377</v>
      </c>
      <c r="K138" s="5">
        <f>VLOOKUP($B138,'Data Vlaue (Cr)'!$C:$FB,99)</f>
        <v>1817</v>
      </c>
      <c r="L138" s="81">
        <f>VLOOKUP(B138,'OI(Value)'!$A$7:$C$232,3,0)</f>
        <v>-255</v>
      </c>
      <c r="M138" s="33">
        <f t="shared" si="44"/>
        <v>-14.034122179416622</v>
      </c>
      <c r="N138" s="5">
        <f>VLOOKUP($B138,'Data Vlaue (Cr)'!$C:$FB,67)</f>
        <v>1173</v>
      </c>
      <c r="O138" s="5">
        <f>VLOOKUP($B138,'Data Vlaue (Cr)'!$C:$FB,68)</f>
        <v>2165</v>
      </c>
      <c r="P138" s="5">
        <f t="shared" si="48"/>
        <v>-84.569479965899404</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14675.6</v>
      </c>
      <c r="D139" s="82">
        <f>VLOOKUP($B139,'Data shares'!$C:$FB,98)</f>
        <v>5443800</v>
      </c>
      <c r="E139" s="165">
        <f>VLOOKUP(B139,'Snapshot (Volume)'!$A$7:$G$168,7,0)</f>
        <v>19945800</v>
      </c>
      <c r="F139" s="165">
        <f t="shared" si="45"/>
        <v>-14502000</v>
      </c>
      <c r="G139" s="166">
        <f t="shared" si="46"/>
        <v>-0.7270703606774358</v>
      </c>
      <c r="H139" s="165">
        <f>VLOOKUP($B139,'Data shares'!$C:$FB,66)</f>
        <v>715997160</v>
      </c>
      <c r="I139" s="165">
        <f>VLOOKUP($B139,'Data shares'!$C:$FB,67)</f>
        <v>110670240</v>
      </c>
      <c r="J139" s="81">
        <f t="shared" si="47"/>
        <v>546.96449560423832</v>
      </c>
      <c r="K139" s="5">
        <f>VLOOKUP($B139,'Data Vlaue (Cr)'!$C:$FB,99)</f>
        <v>8044</v>
      </c>
      <c r="L139" s="81">
        <f>VLOOKUP(B139,'OI(Value)'!$A$7:$C$232,3,0)</f>
        <v>-21430</v>
      </c>
      <c r="M139" s="33">
        <f t="shared" si="44"/>
        <v>-266.40974639482846</v>
      </c>
      <c r="N139" s="5">
        <f>VLOOKUP($B139,'Data Vlaue (Cr)'!$C:$FB,67)</f>
        <v>1058040</v>
      </c>
      <c r="O139" s="5">
        <f>VLOOKUP($B139,'Data Vlaue (Cr)'!$C:$FB,68)</f>
        <v>163539</v>
      </c>
      <c r="P139" s="5">
        <f t="shared" si="48"/>
        <v>84.543211976862878</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135.82</v>
      </c>
      <c r="D140" s="165">
        <f>VLOOKUP($B140,'Data shares'!$C:$FB,98)</f>
        <v>192353550</v>
      </c>
      <c r="E140" s="165">
        <f>VLOOKUP(B140,'Snapshot (Volume)'!$A$7:$G$168,7,0)</f>
        <v>262721850</v>
      </c>
      <c r="F140" s="165">
        <f>D140-E140</f>
        <v>-70368300</v>
      </c>
      <c r="G140" s="166">
        <f>F140/E140</f>
        <v>-0.26784334839298674</v>
      </c>
      <c r="H140" s="165">
        <f>VLOOKUP($B140,'Data shares'!$C:$FB,66)</f>
        <v>141566850</v>
      </c>
      <c r="I140" s="165">
        <f>VLOOKUP($B140,'Data shares'!$C:$FB,67)</f>
        <v>217894500</v>
      </c>
      <c r="J140" s="81">
        <f>(H140-I140)/I140*100</f>
        <v>-35.029635901778157</v>
      </c>
      <c r="K140" s="81">
        <f>VLOOKUP($B140,'Data Vlaue (Cr)'!$C:$FB,99)</f>
        <v>2630</v>
      </c>
      <c r="L140" s="81">
        <f>VLOOKUP(B140,'OI(Value)'!$A$7:$C$232,3,0)</f>
        <v>-962</v>
      </c>
      <c r="M140" s="81">
        <f t="shared" si="44"/>
        <v>-36.577946768060841</v>
      </c>
      <c r="N140" s="81">
        <f>VLOOKUP($B140,'Data Vlaue (Cr)'!$C:$FB,67)</f>
        <v>1936</v>
      </c>
      <c r="O140" s="81">
        <f>VLOOKUP($B140,'Data Vlaue (Cr)'!$C:$FB,68)</f>
        <v>2979</v>
      </c>
      <c r="P140" s="81">
        <f>(N140-O140)/N140*100</f>
        <v>-53.873966942148769</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MOTILALOFS</v>
      </c>
      <c r="C141" s="4">
        <f>VLOOKUP($B141,'Data shares'!$C:$FB,7)</f>
        <v>870.55</v>
      </c>
      <c r="D141" s="82">
        <f>VLOOKUP($B141,'Data shares'!$C:$FB,98)</f>
        <v>5308750</v>
      </c>
      <c r="E141" s="165">
        <f>VLOOKUP(B141,'Snapshot (Volume)'!$A$7:$G$168,7,0)</f>
        <v>8063875</v>
      </c>
      <c r="F141" s="165">
        <f>D141-E141</f>
        <v>-2755125</v>
      </c>
      <c r="G141" s="166">
        <f>F141/E141</f>
        <v>-0.34166266218164343</v>
      </c>
      <c r="H141" s="165">
        <f>VLOOKUP($B141,'Data shares'!$C:$FB,66)</f>
        <v>8419600</v>
      </c>
      <c r="I141" s="165">
        <f>VLOOKUP($B141,'Data shares'!$C:$FB,67)</f>
        <v>10299750</v>
      </c>
      <c r="J141" s="81">
        <f>(H141-I141)/I141*100</f>
        <v>-18.254326561324305</v>
      </c>
      <c r="K141" s="5">
        <f>VLOOKUP($B141,'Data Vlaue (Cr)'!$C:$FB,99)</f>
        <v>464</v>
      </c>
      <c r="L141" s="81">
        <f>VLOOKUP(B141,'OI(Value)'!$A$7:$C$232,3,0)</f>
        <v>-241</v>
      </c>
      <c r="M141" s="33">
        <f t="shared" si="44"/>
        <v>-51.939655172413794</v>
      </c>
      <c r="N141" s="5">
        <f>VLOOKUP($B141,'Data Vlaue (Cr)'!$C:$FB,67)</f>
        <v>736</v>
      </c>
      <c r="O141" s="5">
        <f>VLOOKUP($B141,'Data Vlaue (Cr)'!$C:$FB,68)</f>
        <v>901</v>
      </c>
      <c r="P141" s="5">
        <f>(N141-O141)/N141*100</f>
        <v>-22.418478260869566</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Technology</v>
      </c>
      <c r="B142" s="79" t="str">
        <f>'Data shares'!C137</f>
        <v>MPHASIS</v>
      </c>
      <c r="C142" s="4">
        <f>VLOOKUP($B142,'Data shares'!$C:$FB,7)</f>
        <v>2265.3000000000002</v>
      </c>
      <c r="D142" s="82">
        <f>VLOOKUP($B142,'Data shares'!$C:$FB,98)</f>
        <v>5085850</v>
      </c>
      <c r="E142" s="165">
        <f>VLOOKUP(B142,'Snapshot (Volume)'!$A$7:$G$168,7,0)</f>
        <v>7911200</v>
      </c>
      <c r="F142" s="165">
        <f>D142-E142</f>
        <v>-2825350</v>
      </c>
      <c r="G142" s="166">
        <f>F142/E142</f>
        <v>-0.3571329254727475</v>
      </c>
      <c r="H142" s="165">
        <f>VLOOKUP($B142,'Data shares'!$C:$FB,66)</f>
        <v>4171200</v>
      </c>
      <c r="I142" s="165">
        <f>VLOOKUP($B142,'Data shares'!$C:$FB,67)</f>
        <v>4801775</v>
      </c>
      <c r="J142" s="81">
        <f>(H142-I142)/I142*100</f>
        <v>-13.132123017009334</v>
      </c>
      <c r="K142" s="5">
        <f>VLOOKUP($B142,'Data Vlaue (Cr)'!$C:$FB,99)</f>
        <v>1163</v>
      </c>
      <c r="L142" s="81">
        <f>VLOOKUP(B142,'OI(Value)'!$A$7:$C$232,3,0)</f>
        <v>-646</v>
      </c>
      <c r="M142" s="33">
        <f t="shared" si="44"/>
        <v>-55.546001719690452</v>
      </c>
      <c r="N142" s="5">
        <f>VLOOKUP($B142,'Data Vlaue (Cr)'!$C:$FB,67)</f>
        <v>954</v>
      </c>
      <c r="O142" s="5">
        <f>VLOOKUP($B142,'Data Vlaue (Cr)'!$C:$FB,68)</f>
        <v>1098</v>
      </c>
      <c r="P142" s="5">
        <f>(N142-O142)/N142*100</f>
        <v>-15.09433962264151</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Finance</v>
      </c>
      <c r="B143" s="79" t="str">
        <f>'Data shares'!C138</f>
        <v>MUTHOOTFIN</v>
      </c>
      <c r="C143" s="4">
        <f>VLOOKUP($B143,'Data shares'!$C:$FB,7)</f>
        <v>3331.5</v>
      </c>
      <c r="D143" s="82">
        <f>VLOOKUP($B143,'Data shares'!$C:$FB,98)</f>
        <v>5361675</v>
      </c>
      <c r="E143" s="165">
        <f>VLOOKUP(B143,'Snapshot (Volume)'!$A$7:$G$168,7,0)</f>
        <v>9370900</v>
      </c>
      <c r="F143" s="165">
        <f>D143-E143</f>
        <v>-4009225</v>
      </c>
      <c r="G143" s="166">
        <f>F143/E143</f>
        <v>-0.42783777438666509</v>
      </c>
      <c r="H143" s="165">
        <f>VLOOKUP($B143,'Data shares'!$C:$FB,66)</f>
        <v>4219050</v>
      </c>
      <c r="I143" s="165">
        <f>VLOOKUP($B143,'Data shares'!$C:$FB,67)</f>
        <v>10710425</v>
      </c>
      <c r="J143" s="81">
        <f>(H143-I143)/I143*100</f>
        <v>-60.608005751405756</v>
      </c>
      <c r="K143" s="5">
        <f>VLOOKUP($B143,'Data Vlaue (Cr)'!$C:$FB,99)</f>
        <v>1789</v>
      </c>
      <c r="L143" s="81">
        <f>VLOOKUP(B143,'OI(Value)'!$A$7:$C$232,3,0)</f>
        <v>-1338</v>
      </c>
      <c r="M143" s="33">
        <f t="shared" si="44"/>
        <v>-74.790385690329799</v>
      </c>
      <c r="N143" s="5">
        <f>VLOOKUP($B143,'Data Vlaue (Cr)'!$C:$FB,67)</f>
        <v>1408</v>
      </c>
      <c r="O143" s="5">
        <f>VLOOKUP($B143,'Data Vlaue (Cr)'!$C:$FB,68)</f>
        <v>3574</v>
      </c>
      <c r="P143" s="5">
        <f>(N143-O143)/N143*100</f>
        <v>-153.83522727272728</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Finance</v>
      </c>
      <c r="B144" s="79" t="str">
        <f>'Data shares'!C139</f>
        <v>NAM-INDIA</v>
      </c>
      <c r="C144" s="4">
        <f>VLOOKUP($B144,'Data shares'!$C:$FB,7)</f>
        <v>1095.7</v>
      </c>
      <c r="D144" s="82">
        <f>VLOOKUP($B144,'Data shares'!$C:$FB,98)</f>
        <v>3725625</v>
      </c>
      <c r="E144" s="165">
        <f>VLOOKUP(B144,'Snapshot (Volume)'!$A$7:$G$168,7,0)</f>
        <v>6528750</v>
      </c>
      <c r="F144" s="165">
        <f>D144-E144</f>
        <v>-2803125</v>
      </c>
      <c r="G144" s="166">
        <f>F144/E144</f>
        <v>-0.42935094773118898</v>
      </c>
      <c r="H144" s="165">
        <f>VLOOKUP($B144,'Data shares'!$C:$FB,66)</f>
        <v>3865625</v>
      </c>
      <c r="I144" s="165">
        <f>VLOOKUP($B144,'Data shares'!$C:$FB,67)</f>
        <v>5990625</v>
      </c>
      <c r="J144" s="81">
        <f>(H144-I144)/I144*100</f>
        <v>-35.472091810119977</v>
      </c>
      <c r="K144" s="5">
        <f>VLOOKUP($B144,'Data Vlaue (Cr)'!$C:$FB,99)</f>
        <v>407</v>
      </c>
      <c r="L144" s="81">
        <f>VLOOKUP(B144,'OI(Value)'!$A$7:$C$232,3,0)</f>
        <v>-306</v>
      </c>
      <c r="M144" s="33">
        <f t="shared" si="44"/>
        <v>-75.18427518427518</v>
      </c>
      <c r="N144" s="5">
        <f>VLOOKUP($B144,'Data Vlaue (Cr)'!$C:$FB,67)</f>
        <v>422</v>
      </c>
      <c r="O144" s="5">
        <f>VLOOKUP($B144,'Data Vlaue (Cr)'!$C:$FB,68)</f>
        <v>654</v>
      </c>
      <c r="P144" s="5">
        <f>(N144-O144)/N144*100</f>
        <v>-54.976303317535546</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Metals</v>
      </c>
      <c r="B145" s="79" t="str">
        <f>'Data shares'!C140</f>
        <v>NATIONALUM</v>
      </c>
      <c r="C145" s="4">
        <f>VLOOKUP($B145,'Data shares'!$C:$FB,7)</f>
        <v>416.2</v>
      </c>
      <c r="D145" s="82">
        <f>VLOOKUP($B145,'Data shares'!$C:$FB,98)</f>
        <v>58865625</v>
      </c>
      <c r="E145" s="165">
        <f>VLOOKUP(B145,'Snapshot (Volume)'!$A$7:$G$168,7,0)</f>
        <v>88535625</v>
      </c>
      <c r="F145" s="165">
        <f t="shared" ref="F145:F152" si="49">D145-E145</f>
        <v>-29670000</v>
      </c>
      <c r="G145" s="166">
        <f t="shared" ref="G145:G153" si="50">F145/E145</f>
        <v>-0.33511933755479784</v>
      </c>
      <c r="H145" s="165">
        <f>VLOOKUP($B145,'Data shares'!$C:$FB,66)</f>
        <v>92690625</v>
      </c>
      <c r="I145" s="165">
        <f>VLOOKUP($B145,'Data shares'!$C:$FB,67)</f>
        <v>65386875</v>
      </c>
      <c r="J145" s="81">
        <f t="shared" ref="J145:J153" si="51">(H145-I145)/I145*100</f>
        <v>41.757233389728441</v>
      </c>
      <c r="K145" s="5">
        <f>VLOOKUP($B145,'Data Vlaue (Cr)'!$C:$FB,99)</f>
        <v>2463</v>
      </c>
      <c r="L145" s="81">
        <f>VLOOKUP(B145,'OI(Value)'!$A$7:$C$232,3,0)</f>
        <v>-1242</v>
      </c>
      <c r="M145" s="33">
        <f t="shared" ref="M145:M153" si="52">L145/K145*100</f>
        <v>-50.42630937880633</v>
      </c>
      <c r="N145" s="5">
        <f>VLOOKUP($B145,'Data Vlaue (Cr)'!$C:$FB,67)</f>
        <v>3879</v>
      </c>
      <c r="O145" s="5">
        <f>VLOOKUP($B145,'Data Vlaue (Cr)'!$C:$FB,68)</f>
        <v>2736</v>
      </c>
      <c r="P145" s="5">
        <f t="shared" ref="P145:P152" si="53">(N145-O145)/N145*100</f>
        <v>29.466357308584683</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New_Age</v>
      </c>
      <c r="B146" s="79" t="str">
        <f>'Data shares'!C141</f>
        <v>NAUKRI</v>
      </c>
      <c r="C146" s="4">
        <f>VLOOKUP($B146,'Data shares'!$C:$FB,7)</f>
        <v>980.7</v>
      </c>
      <c r="D146" s="82">
        <f>VLOOKUP($B146,'Data shares'!$C:$FB,98)</f>
        <v>19828575</v>
      </c>
      <c r="E146" s="165">
        <f>VLOOKUP(B146,'Snapshot (Volume)'!$A$7:$G$168,7,0)</f>
        <v>24699650</v>
      </c>
      <c r="F146" s="165">
        <f t="shared" si="49"/>
        <v>-4871075</v>
      </c>
      <c r="G146" s="166">
        <f t="shared" si="50"/>
        <v>-0.19721230867643874</v>
      </c>
      <c r="H146" s="165">
        <f>VLOOKUP($B146,'Data shares'!$C:$FB,66)</f>
        <v>36536250</v>
      </c>
      <c r="I146" s="165">
        <f>VLOOKUP($B146,'Data shares'!$C:$FB,67)</f>
        <v>66911625</v>
      </c>
      <c r="J146" s="81">
        <f t="shared" si="51"/>
        <v>-45.396259618564038</v>
      </c>
      <c r="K146" s="5">
        <f>VLOOKUP($B146,'Data Vlaue (Cr)'!$C:$FB,99)</f>
        <v>1961</v>
      </c>
      <c r="L146" s="81">
        <f>VLOOKUP(B146,'OI(Value)'!$A$7:$C$232,3,0)</f>
        <v>-482</v>
      </c>
      <c r="M146" s="33">
        <f t="shared" si="52"/>
        <v>-24.579296277409483</v>
      </c>
      <c r="N146" s="5">
        <f>VLOOKUP($B146,'Data Vlaue (Cr)'!$C:$FB,67)</f>
        <v>3613</v>
      </c>
      <c r="O146" s="5">
        <f>VLOOKUP($B146,'Data Vlaue (Cr)'!$C:$FB,68)</f>
        <v>6616</v>
      </c>
      <c r="P146" s="5">
        <f t="shared" si="53"/>
        <v>-83.116523664544701</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Realty</v>
      </c>
      <c r="B147" s="79" t="str">
        <f>'Data shares'!C142</f>
        <v>NBCC</v>
      </c>
      <c r="C147" s="4">
        <f>VLOOKUP($B147,'Data shares'!$C:$FB,7)</f>
        <v>95.55</v>
      </c>
      <c r="D147" s="82">
        <f>VLOOKUP($B147,'Data shares'!$C:$FB,98)</f>
        <v>124891000</v>
      </c>
      <c r="E147" s="165">
        <f>VLOOKUP(B147,'Snapshot (Volume)'!$A$7:$G$168,7,0)</f>
        <v>139165000</v>
      </c>
      <c r="F147" s="165">
        <f t="shared" si="49"/>
        <v>-14274000</v>
      </c>
      <c r="G147" s="166">
        <f t="shared" si="50"/>
        <v>-0.10256889304063521</v>
      </c>
      <c r="H147" s="165">
        <f>VLOOKUP($B147,'Data shares'!$C:$FB,66)</f>
        <v>161330000</v>
      </c>
      <c r="I147" s="165">
        <f>VLOOKUP($B147,'Data shares'!$C:$FB,67)</f>
        <v>233954500</v>
      </c>
      <c r="J147" s="81">
        <f t="shared" si="51"/>
        <v>-31.042147084155253</v>
      </c>
      <c r="K147" s="5">
        <f>VLOOKUP($B147,'Data Vlaue (Cr)'!$C:$FB,99)</f>
        <v>1205</v>
      </c>
      <c r="L147" s="81">
        <f>VLOOKUP(B147,'OI(Value)'!$A$7:$C$232,3,0)</f>
        <v>-138</v>
      </c>
      <c r="M147" s="33">
        <f t="shared" si="52"/>
        <v>-11.452282157676349</v>
      </c>
      <c r="N147" s="5">
        <f>VLOOKUP($B147,'Data Vlaue (Cr)'!$C:$FB,67)</f>
        <v>1557</v>
      </c>
      <c r="O147" s="5">
        <f>VLOOKUP($B147,'Data Vlaue (Cr)'!$C:$FB,68)</f>
        <v>2258</v>
      </c>
      <c r="P147" s="5">
        <f t="shared" si="53"/>
        <v>-45.022479126525369</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FMCG</v>
      </c>
      <c r="B148" s="79" t="str">
        <f>'Data shares'!C143</f>
        <v>NESTLEIND</v>
      </c>
      <c r="C148" s="4">
        <f>VLOOKUP($B148,'Data shares'!$C:$FB,7)</f>
        <v>1428.6</v>
      </c>
      <c r="D148" s="82">
        <f>VLOOKUP($B148,'Data shares'!$C:$FB,98)</f>
        <v>15041500</v>
      </c>
      <c r="E148" s="165">
        <f>VLOOKUP(B148,'Snapshot (Volume)'!$A$7:$G$168,7,0)</f>
        <v>22299000</v>
      </c>
      <c r="F148" s="165">
        <f t="shared" si="49"/>
        <v>-7257500</v>
      </c>
      <c r="G148" s="166">
        <f t="shared" si="50"/>
        <v>-0.32546302524776893</v>
      </c>
      <c r="H148" s="165">
        <f>VLOOKUP($B148,'Data shares'!$C:$FB,66)</f>
        <v>7017000</v>
      </c>
      <c r="I148" s="165">
        <f>VLOOKUP($B148,'Data shares'!$C:$FB,67)</f>
        <v>11485000</v>
      </c>
      <c r="J148" s="81">
        <f t="shared" si="51"/>
        <v>-38.902916848062688</v>
      </c>
      <c r="K148" s="5">
        <f>VLOOKUP($B148,'Data Vlaue (Cr)'!$C:$FB,99)</f>
        <v>2161</v>
      </c>
      <c r="L148" s="81">
        <f>VLOOKUP(B148,'OI(Value)'!$A$7:$C$232,3,0)</f>
        <v>-1043</v>
      </c>
      <c r="M148" s="33">
        <f t="shared" si="52"/>
        <v>-48.264692272096248</v>
      </c>
      <c r="N148" s="5">
        <f>VLOOKUP($B148,'Data Vlaue (Cr)'!$C:$FB,67)</f>
        <v>1008</v>
      </c>
      <c r="O148" s="5">
        <f>VLOOKUP($B148,'Data Vlaue (Cr)'!$C:$FB,68)</f>
        <v>1650</v>
      </c>
      <c r="P148" s="5">
        <f t="shared" si="53"/>
        <v>-63.69047619047619</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Power</v>
      </c>
      <c r="B149" s="79" t="str">
        <f>'Data shares'!C144</f>
        <v>NHPC</v>
      </c>
      <c r="C149" s="4">
        <f>VLOOKUP($B149,'Data shares'!$C:$FB,7)</f>
        <v>78.44</v>
      </c>
      <c r="D149" s="82">
        <f>VLOOKUP($B149,'Data shares'!$C:$FB,98)</f>
        <v>153076250</v>
      </c>
      <c r="E149" s="165">
        <f>VLOOKUP(B149,'Snapshot (Volume)'!$A$7:$G$168,7,0)</f>
        <v>215407950</v>
      </c>
      <c r="F149" s="165">
        <f t="shared" si="49"/>
        <v>-62331700</v>
      </c>
      <c r="G149" s="166">
        <f t="shared" si="50"/>
        <v>-0.28936582888421714</v>
      </c>
      <c r="H149" s="165">
        <f>VLOOKUP($B149,'Data shares'!$C:$FB,66)</f>
        <v>86348800</v>
      </c>
      <c r="I149" s="165">
        <f>VLOOKUP($B149,'Data shares'!$C:$FB,67)</f>
        <v>138163200</v>
      </c>
      <c r="J149" s="81">
        <f t="shared" si="51"/>
        <v>-37.502316101537893</v>
      </c>
      <c r="K149" s="5">
        <f>VLOOKUP($B149,'Data Vlaue (Cr)'!$C:$FB,99)</f>
        <v>1199</v>
      </c>
      <c r="L149" s="81">
        <f>VLOOKUP(B149,'OI(Value)'!$A$7:$C$232,3,0)</f>
        <v>-488</v>
      </c>
      <c r="M149" s="33">
        <f t="shared" si="52"/>
        <v>-40.700583819849875</v>
      </c>
      <c r="N149" s="5">
        <f>VLOOKUP($B149,'Data Vlaue (Cr)'!$C:$FB,67)</f>
        <v>676</v>
      </c>
      <c r="O149" s="5">
        <f>VLOOKUP($B149,'Data Vlaue (Cr)'!$C:$FB,68)</f>
        <v>1082</v>
      </c>
      <c r="P149" s="5">
        <f t="shared" si="53"/>
        <v>-60.059171597633132</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v>
      </c>
      <c r="C150" s="4">
        <f>VLOOKUP($B150,'Data shares'!$C:$FB,7)</f>
        <v>23913.7</v>
      </c>
      <c r="D150" s="82">
        <f>VLOOKUP($B150,'Data shares'!$C:$FB,98)</f>
        <v>309290255</v>
      </c>
      <c r="E150" s="165">
        <f>VLOOKUP(B150,'Snapshot (Volume)'!$A$7:$G$168,7,0)</f>
        <v>574476110</v>
      </c>
      <c r="F150" s="165">
        <f t="shared" si="49"/>
        <v>-265185855</v>
      </c>
      <c r="G150" s="166">
        <f t="shared" si="50"/>
        <v>-0.46161337326977792</v>
      </c>
      <c r="H150" s="165">
        <f>VLOOKUP($B150,'Data shares'!$C:$FB,66)</f>
        <v>20420710570</v>
      </c>
      <c r="I150" s="165">
        <f>VLOOKUP($B150,'Data shares'!$C:$FB,67)</f>
        <v>6852156545</v>
      </c>
      <c r="J150" s="81">
        <f t="shared" si="51"/>
        <v>198.01873958791759</v>
      </c>
      <c r="K150" s="5">
        <f>VLOOKUP($B150,'Data Vlaue (Cr)'!$C:$FB,99)</f>
        <v>741644</v>
      </c>
      <c r="L150" s="81">
        <f>VLOOKUP(B150,'OI(Value)'!$A$7:$C$232,3,0)</f>
        <v>-635887</v>
      </c>
      <c r="M150" s="33">
        <f t="shared" si="52"/>
        <v>-85.740193408158092</v>
      </c>
      <c r="N150" s="5">
        <f>VLOOKUP($B150,'Data Vlaue (Cr)'!$C:$FB,67)</f>
        <v>48966618</v>
      </c>
      <c r="O150" s="5">
        <f>VLOOKUP($B150,'Data Vlaue (Cr)'!$C:$FB,68)</f>
        <v>16430718</v>
      </c>
      <c r="P150" s="5">
        <f t="shared" si="53"/>
        <v>66.445062634303227</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Index</v>
      </c>
      <c r="B151" s="79" t="str">
        <f>'Data shares'!C146</f>
        <v>NIFTYNXT50</v>
      </c>
      <c r="C151" s="4">
        <f>VLOOKUP($B151,'Data shares'!$C:$FB,7)</f>
        <v>70945.100000000006</v>
      </c>
      <c r="D151" s="82">
        <f>VLOOKUP($B151,'Data shares'!$C:$FB,98)</f>
        <v>16350</v>
      </c>
      <c r="E151" s="165">
        <f>VLOOKUP(B151,'Snapshot (Volume)'!$A$7:$G$168,7,0)</f>
        <v>55700</v>
      </c>
      <c r="F151" s="165">
        <f t="shared" si="49"/>
        <v>-39350</v>
      </c>
      <c r="G151" s="166">
        <f t="shared" si="50"/>
        <v>-0.70646319569120286</v>
      </c>
      <c r="H151" s="165">
        <f>VLOOKUP($B151,'Data shares'!$C:$FB,66)</f>
        <v>442075</v>
      </c>
      <c r="I151" s="165">
        <f>VLOOKUP($B151,'Data shares'!$C:$FB,67)</f>
        <v>97100</v>
      </c>
      <c r="J151" s="81">
        <f t="shared" si="51"/>
        <v>355.2780638516993</v>
      </c>
      <c r="K151" s="5">
        <f>VLOOKUP($B151,'Data Vlaue (Cr)'!$C:$FB,99)</f>
        <v>117</v>
      </c>
      <c r="L151" s="81">
        <f>VLOOKUP(B151,'OI(Value)'!$A$7:$C$232,3,0)</f>
        <v>-281</v>
      </c>
      <c r="M151" s="33">
        <f t="shared" si="52"/>
        <v>-240.17094017094016</v>
      </c>
      <c r="N151" s="5">
        <f>VLOOKUP($B151,'Data Vlaue (Cr)'!$C:$FB,67)</f>
        <v>3153</v>
      </c>
      <c r="O151" s="5">
        <f>VLOOKUP($B151,'Data Vlaue (Cr)'!$C:$FB,68)</f>
        <v>693</v>
      </c>
      <c r="P151" s="5">
        <f t="shared" si="53"/>
        <v>78.0209324452902</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Metals</v>
      </c>
      <c r="B152" s="79" t="str">
        <f>'Data shares'!C147</f>
        <v>NMDC</v>
      </c>
      <c r="C152" s="4">
        <f>VLOOKUP($B152,'Data shares'!$C:$FB,7)</f>
        <v>90.67</v>
      </c>
      <c r="D152" s="82">
        <f>VLOOKUP($B152,'Data shares'!$C:$FB,98)</f>
        <v>433086750</v>
      </c>
      <c r="E152" s="165">
        <f>VLOOKUP(B152,'Snapshot (Volume)'!$A$7:$G$168,7,0)</f>
        <v>480863250</v>
      </c>
      <c r="F152" s="165">
        <f t="shared" si="49"/>
        <v>-47776500</v>
      </c>
      <c r="G152" s="166">
        <f t="shared" si="50"/>
        <v>-9.9355690001263347E-2</v>
      </c>
      <c r="H152" s="165">
        <f>VLOOKUP($B152,'Data shares'!$C:$FB,66)</f>
        <v>287435250</v>
      </c>
      <c r="I152" s="165">
        <f>VLOOKUP($B152,'Data shares'!$C:$FB,67)</f>
        <v>252551250</v>
      </c>
      <c r="J152" s="81">
        <f t="shared" si="51"/>
        <v>13.812641988507282</v>
      </c>
      <c r="K152" s="5">
        <f>VLOOKUP($B152,'Data Vlaue (Cr)'!$C:$FB,99)</f>
        <v>3957</v>
      </c>
      <c r="L152" s="81">
        <f>VLOOKUP(B152,'OI(Value)'!$A$7:$C$232,3,0)</f>
        <v>-436</v>
      </c>
      <c r="M152" s="33">
        <f t="shared" si="52"/>
        <v>-11.018448319433913</v>
      </c>
      <c r="N152" s="5">
        <f>VLOOKUP($B152,'Data Vlaue (Cr)'!$C:$FB,67)</f>
        <v>2626</v>
      </c>
      <c r="O152" s="5">
        <f>VLOOKUP($B152,'Data Vlaue (Cr)'!$C:$FB,68)</f>
        <v>2307</v>
      </c>
      <c r="P152" s="5">
        <f t="shared" si="53"/>
        <v>12.147753236862147</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Power</v>
      </c>
      <c r="B153" s="79" t="str">
        <f>'Data shares'!C148</f>
        <v>NTPC</v>
      </c>
      <c r="C153" s="4">
        <f>VLOOKUP($B153,'Data shares'!$C:$FB,7)</f>
        <v>389.7</v>
      </c>
      <c r="D153" s="82">
        <f>VLOOKUP($B153,'Data shares'!$C:$FB,98)</f>
        <v>147705000</v>
      </c>
      <c r="E153" s="165">
        <f>VLOOKUP(B153,'Snapshot (Volume)'!$A$7:$G$168,7,0)</f>
        <v>242301000</v>
      </c>
      <c r="F153" s="165">
        <f>D153-E153</f>
        <v>-94596000</v>
      </c>
      <c r="G153" s="166">
        <f t="shared" si="50"/>
        <v>-0.39040697314497258</v>
      </c>
      <c r="H153" s="165">
        <f>VLOOKUP($B153,'Data shares'!$C:$FB,66)</f>
        <v>82678500</v>
      </c>
      <c r="I153" s="165">
        <f>VLOOKUP($B153,'Data shares'!$C:$FB,67)</f>
        <v>196519500</v>
      </c>
      <c r="J153" s="81">
        <f t="shared" si="51"/>
        <v>-57.928602505094915</v>
      </c>
      <c r="K153" s="5">
        <f>VLOOKUP($B153,'Data Vlaue (Cr)'!$C:$FB,99)</f>
        <v>5800</v>
      </c>
      <c r="L153" s="81">
        <f>VLOOKUP(B153,'OI(Value)'!$A$7:$C$232,3,0)</f>
        <v>-3714</v>
      </c>
      <c r="M153" s="33">
        <f t="shared" si="52"/>
        <v>-64.034482758620697</v>
      </c>
      <c r="N153" s="5">
        <f>VLOOKUP($B153,'Data Vlaue (Cr)'!$C:$FB,67)</f>
        <v>3246</v>
      </c>
      <c r="O153" s="5">
        <f>VLOOKUP($B153,'Data Vlaue (Cr)'!$C:$FB,68)</f>
        <v>7716</v>
      </c>
      <c r="P153" s="5">
        <f>(N153-O153)/N153*100</f>
        <v>-137.7079482439926</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Finance</v>
      </c>
      <c r="B154" s="79" t="str">
        <f>'Data shares'!C149</f>
        <v>NUVAMA</v>
      </c>
      <c r="C154" s="4">
        <f>VLOOKUP($B154,'Data shares'!$C:$FB,7)</f>
        <v>1513.4</v>
      </c>
      <c r="D154" s="82">
        <f>VLOOKUP($B154,'Data shares'!$C:$FB,98)</f>
        <v>2012000</v>
      </c>
      <c r="E154" s="165">
        <f>VLOOKUP(B154,'Snapshot (Volume)'!$A$7:$G$168,7,0)</f>
        <v>4528500</v>
      </c>
      <c r="F154" s="165">
        <f t="shared" ref="F154:F166" si="54">D154-E154</f>
        <v>-2516500</v>
      </c>
      <c r="G154" s="166">
        <f t="shared" ref="G154:G166" si="55">F154/E154</f>
        <v>-0.55570277133708734</v>
      </c>
      <c r="H154" s="165">
        <f>VLOOKUP($B154,'Data shares'!$C:$FB,66)</f>
        <v>3880000</v>
      </c>
      <c r="I154" s="165">
        <f>VLOOKUP($B154,'Data shares'!$C:$FB,67)</f>
        <v>4493000</v>
      </c>
      <c r="J154" s="81">
        <f t="shared" ref="J154:J166" si="56">(H154-I154)/I154*100</f>
        <v>-13.64344535944803</v>
      </c>
      <c r="K154" s="5">
        <f>VLOOKUP($B154,'Data Vlaue (Cr)'!$C:$FB,99)</f>
        <v>307</v>
      </c>
      <c r="L154" s="81">
        <f>VLOOKUP(B154,'OI(Value)'!$A$7:$C$232,3,0)</f>
        <v>-383</v>
      </c>
      <c r="M154" s="33">
        <f t="shared" ref="M154:M166" si="57">L154/K154*100</f>
        <v>-124.7557003257329</v>
      </c>
      <c r="N154" s="5">
        <f>VLOOKUP($B154,'Data Vlaue (Cr)'!$C:$FB,67)</f>
        <v>591</v>
      </c>
      <c r="O154" s="5">
        <f>VLOOKUP($B154,'Data Vlaue (Cr)'!$C:$FB,68)</f>
        <v>685</v>
      </c>
      <c r="P154" s="5">
        <f t="shared" ref="P154:P161" si="58">(N154-O154)/N154*100</f>
        <v>-15.905245346869712</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New_Age</v>
      </c>
      <c r="B155" s="79" t="str">
        <f>'Data shares'!C150</f>
        <v>NYKAA</v>
      </c>
      <c r="C155" s="4">
        <f>VLOOKUP($B155,'Data shares'!$C:$FB,7)</f>
        <v>266.35000000000002</v>
      </c>
      <c r="D155" s="82">
        <f>VLOOKUP($B155,'Data shares'!$C:$FB,98)</f>
        <v>80431250</v>
      </c>
      <c r="E155" s="165">
        <f>VLOOKUP(B155,'Snapshot (Volume)'!$A$7:$G$168,7,0)</f>
        <v>98690625</v>
      </c>
      <c r="F155" s="165">
        <f t="shared" si="54"/>
        <v>-18259375</v>
      </c>
      <c r="G155" s="166">
        <f t="shared" si="55"/>
        <v>-0.18501630727336058</v>
      </c>
      <c r="H155" s="165">
        <f>VLOOKUP($B155,'Data shares'!$C:$FB,66)</f>
        <v>62053125</v>
      </c>
      <c r="I155" s="165">
        <f>VLOOKUP($B155,'Data shares'!$C:$FB,67)</f>
        <v>137703125</v>
      </c>
      <c r="J155" s="81">
        <f t="shared" si="56"/>
        <v>-54.937024849653916</v>
      </c>
      <c r="K155" s="5">
        <f>VLOOKUP($B155,'Data Vlaue (Cr)'!$C:$FB,99)</f>
        <v>2157</v>
      </c>
      <c r="L155" s="81">
        <f>VLOOKUP(B155,'OI(Value)'!$A$7:$C$232,3,0)</f>
        <v>-490</v>
      </c>
      <c r="M155" s="33">
        <f t="shared" si="57"/>
        <v>-22.716736207695874</v>
      </c>
      <c r="N155" s="5">
        <f>VLOOKUP($B155,'Data Vlaue (Cr)'!$C:$FB,67)</f>
        <v>1664</v>
      </c>
      <c r="O155" s="5">
        <f>VLOOKUP($B155,'Data Vlaue (Cr)'!$C:$FB,68)</f>
        <v>3693</v>
      </c>
      <c r="P155" s="5">
        <f t="shared" si="58"/>
        <v>-121.93509615384615</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Realty</v>
      </c>
      <c r="B156" s="79" t="str">
        <f>'Data shares'!C151</f>
        <v>OBEROIRLTY</v>
      </c>
      <c r="C156" s="4">
        <f>VLOOKUP($B156,'Data shares'!$C:$FB,7)</f>
        <v>1693.7</v>
      </c>
      <c r="D156" s="82">
        <f>VLOOKUP($B156,'Data shares'!$C:$FB,98)</f>
        <v>6775650</v>
      </c>
      <c r="E156" s="165">
        <f>VLOOKUP(B156,'Snapshot (Volume)'!$A$7:$G$168,7,0)</f>
        <v>9948050</v>
      </c>
      <c r="F156" s="165">
        <f t="shared" si="54"/>
        <v>-3172400</v>
      </c>
      <c r="G156" s="166">
        <f t="shared" si="55"/>
        <v>-0.31889666819125356</v>
      </c>
      <c r="H156" s="165">
        <f>VLOOKUP($B156,'Data shares'!$C:$FB,66)</f>
        <v>3937850</v>
      </c>
      <c r="I156" s="165">
        <f>VLOOKUP($B156,'Data shares'!$C:$FB,67)</f>
        <v>10035550</v>
      </c>
      <c r="J156" s="81">
        <f t="shared" si="56"/>
        <v>-60.760994663969591</v>
      </c>
      <c r="K156" s="5">
        <f>VLOOKUP($B156,'Data Vlaue (Cr)'!$C:$FB,99)</f>
        <v>1142</v>
      </c>
      <c r="L156" s="81">
        <f>VLOOKUP(B156,'OI(Value)'!$A$7:$C$232,3,0)</f>
        <v>-535</v>
      </c>
      <c r="M156" s="33">
        <f t="shared" si="57"/>
        <v>-46.847635726795097</v>
      </c>
      <c r="N156" s="5">
        <f>VLOOKUP($B156,'Data Vlaue (Cr)'!$C:$FB,67)</f>
        <v>664</v>
      </c>
      <c r="O156" s="5">
        <f>VLOOKUP($B156,'Data Vlaue (Cr)'!$C:$FB,68)</f>
        <v>1692</v>
      </c>
      <c r="P156" s="5">
        <f t="shared" si="58"/>
        <v>-154.81927710843374</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Technology</v>
      </c>
      <c r="B157" s="79" t="str">
        <f>'Data shares'!C152</f>
        <v>OFSS</v>
      </c>
      <c r="C157" s="4">
        <f>VLOOKUP($B157,'Data shares'!$C:$FB,7)</f>
        <v>9882</v>
      </c>
      <c r="D157" s="82">
        <f>VLOOKUP($B157,'Data shares'!$C:$FB,98)</f>
        <v>1505175</v>
      </c>
      <c r="E157" s="165">
        <f>VLOOKUP(B157,'Snapshot (Volume)'!$A$7:$G$168,7,0)</f>
        <v>2560450</v>
      </c>
      <c r="F157" s="165">
        <f t="shared" si="54"/>
        <v>-1055275</v>
      </c>
      <c r="G157" s="166">
        <f t="shared" si="55"/>
        <v>-0.41214434962604229</v>
      </c>
      <c r="H157" s="165">
        <f>VLOOKUP($B157,'Data shares'!$C:$FB,66)</f>
        <v>2796675</v>
      </c>
      <c r="I157" s="165">
        <f>VLOOKUP($B157,'Data shares'!$C:$FB,67)</f>
        <v>3798075</v>
      </c>
      <c r="J157" s="81">
        <f t="shared" si="56"/>
        <v>-26.365988033411664</v>
      </c>
      <c r="K157" s="5">
        <f>VLOOKUP($B157,'Data Vlaue (Cr)'!$C:$FB,99)</f>
        <v>1473</v>
      </c>
      <c r="L157" s="81">
        <f>VLOOKUP(B157,'OI(Value)'!$A$7:$C$232,3,0)</f>
        <v>-1032</v>
      </c>
      <c r="M157" s="33">
        <f t="shared" si="57"/>
        <v>-70.06109979633402</v>
      </c>
      <c r="N157" s="5">
        <f>VLOOKUP($B157,'Data Vlaue (Cr)'!$C:$FB,67)</f>
        <v>2736</v>
      </c>
      <c r="O157" s="5">
        <f>VLOOKUP($B157,'Data Vlaue (Cr)'!$C:$FB,68)</f>
        <v>3716</v>
      </c>
      <c r="P157" s="5">
        <f t="shared" si="58"/>
        <v>-35.8187134502924</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OIL</v>
      </c>
      <c r="C158" s="4">
        <f>VLOOKUP($B158,'Data shares'!$C:$FB,7)</f>
        <v>492.1</v>
      </c>
      <c r="D158" s="82">
        <f>VLOOKUP($B158,'Data shares'!$C:$FB,98)</f>
        <v>18939200</v>
      </c>
      <c r="E158" s="165">
        <f>VLOOKUP(B158,'Snapshot (Volume)'!$A$7:$G$168,7,0)</f>
        <v>32866400</v>
      </c>
      <c r="F158" s="165">
        <f t="shared" si="54"/>
        <v>-13927200</v>
      </c>
      <c r="G158" s="166">
        <f t="shared" si="55"/>
        <v>-0.42375191685125235</v>
      </c>
      <c r="H158" s="165">
        <f>VLOOKUP($B158,'Data shares'!$C:$FB,66)</f>
        <v>23265200</v>
      </c>
      <c r="I158" s="165">
        <f>VLOOKUP($B158,'Data shares'!$C:$FB,67)</f>
        <v>32984000</v>
      </c>
      <c r="J158" s="81">
        <f t="shared" si="56"/>
        <v>-29.465195246179967</v>
      </c>
      <c r="K158" s="5">
        <f>VLOOKUP($B158,'Data Vlaue (Cr)'!$C:$FB,99)</f>
        <v>940</v>
      </c>
      <c r="L158" s="81">
        <f>VLOOKUP(B158,'OI(Value)'!$A$7:$C$232,3,0)</f>
        <v>-691</v>
      </c>
      <c r="M158" s="33">
        <f t="shared" si="57"/>
        <v>-73.510638297872347</v>
      </c>
      <c r="N158" s="5">
        <f>VLOOKUP($B158,'Data Vlaue (Cr)'!$C:$FB,67)</f>
        <v>1155</v>
      </c>
      <c r="O158" s="5">
        <f>VLOOKUP($B158,'Data Vlaue (Cr)'!$C:$FB,68)</f>
        <v>1637</v>
      </c>
      <c r="P158" s="5">
        <f t="shared" si="58"/>
        <v>-41.731601731601728</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ONGC</v>
      </c>
      <c r="C159" s="4">
        <f>VLOOKUP($B159,'Data shares'!$C:$FB,7)</f>
        <v>287.5</v>
      </c>
      <c r="D159" s="82">
        <f>VLOOKUP($B159,'Data shares'!$C:$FB,98)</f>
        <v>128497500</v>
      </c>
      <c r="E159" s="165">
        <f>VLOOKUP(B159,'Snapshot (Volume)'!$A$7:$G$168,7,0)</f>
        <v>204664500</v>
      </c>
      <c r="F159" s="165">
        <f t="shared" si="54"/>
        <v>-76167000</v>
      </c>
      <c r="G159" s="166">
        <f t="shared" si="55"/>
        <v>-0.37215540555396759</v>
      </c>
      <c r="H159" s="165">
        <f>VLOOKUP($B159,'Data shares'!$C:$FB,66)</f>
        <v>125867250</v>
      </c>
      <c r="I159" s="165">
        <f>VLOOKUP($B159,'Data shares'!$C:$FB,67)</f>
        <v>165530250</v>
      </c>
      <c r="J159" s="81">
        <f t="shared" si="56"/>
        <v>-23.961179301064305</v>
      </c>
      <c r="K159" s="5">
        <f>VLOOKUP($B159,'Data Vlaue (Cr)'!$C:$FB,99)</f>
        <v>3725</v>
      </c>
      <c r="L159" s="81">
        <f>VLOOKUP(B159,'OI(Value)'!$A$7:$C$232,3,0)</f>
        <v>-2208</v>
      </c>
      <c r="M159" s="33">
        <f t="shared" si="57"/>
        <v>-59.275167785234892</v>
      </c>
      <c r="N159" s="5">
        <f>VLOOKUP($B159,'Data Vlaue (Cr)'!$C:$FB,67)</f>
        <v>3648</v>
      </c>
      <c r="O159" s="5">
        <f>VLOOKUP($B159,'Data Vlaue (Cr)'!$C:$FB,68)</f>
        <v>4798</v>
      </c>
      <c r="P159" s="5">
        <f t="shared" si="58"/>
        <v>-31.524122807017545</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Textile</v>
      </c>
      <c r="B160" s="79" t="str">
        <f>'Data shares'!C155</f>
        <v>PAGEIND</v>
      </c>
      <c r="C160" s="4">
        <f>VLOOKUP($B160,'Data shares'!$C:$FB,7)</f>
        <v>38305</v>
      </c>
      <c r="D160" s="82">
        <f>VLOOKUP($B160,'Data shares'!$C:$FB,98)</f>
        <v>340980</v>
      </c>
      <c r="E160" s="165">
        <f>VLOOKUP(B160,'Snapshot (Volume)'!$A$7:$G$168,7,0)</f>
        <v>516775</v>
      </c>
      <c r="F160" s="165">
        <f t="shared" si="54"/>
        <v>-175795</v>
      </c>
      <c r="G160" s="166">
        <f t="shared" si="55"/>
        <v>-0.34017705964878331</v>
      </c>
      <c r="H160" s="165">
        <f>VLOOKUP($B160,'Data shares'!$C:$FB,66)</f>
        <v>318000</v>
      </c>
      <c r="I160" s="165">
        <f>VLOOKUP($B160,'Data shares'!$C:$FB,67)</f>
        <v>1280130</v>
      </c>
      <c r="J160" s="81">
        <f t="shared" si="56"/>
        <v>-75.158772937123572</v>
      </c>
      <c r="K160" s="5">
        <f>VLOOKUP($B160,'Data Vlaue (Cr)'!$C:$FB,99)</f>
        <v>1309</v>
      </c>
      <c r="L160" s="81">
        <f>VLOOKUP(B160,'OI(Value)'!$A$7:$C$232,3,0)</f>
        <v>-675</v>
      </c>
      <c r="M160" s="33">
        <f t="shared" si="57"/>
        <v>-51.566080977845687</v>
      </c>
      <c r="N160" s="5">
        <f>VLOOKUP($B160,'Data Vlaue (Cr)'!$C:$FB,67)</f>
        <v>1220</v>
      </c>
      <c r="O160" s="5">
        <f>VLOOKUP($B160,'Data Vlaue (Cr)'!$C:$FB,68)</f>
        <v>4912</v>
      </c>
      <c r="P160" s="5">
        <f t="shared" si="58"/>
        <v>-302.62295081967216</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FMCG</v>
      </c>
      <c r="B161" s="79" t="str">
        <f>'Data shares'!C156</f>
        <v>PATANJALI</v>
      </c>
      <c r="C161" s="4">
        <f>VLOOKUP($B161,'Data shares'!$C:$FB,7)</f>
        <v>465.75</v>
      </c>
      <c r="D161" s="82">
        <f>VLOOKUP($B161,'Data shares'!$C:$FB,98)</f>
        <v>36589600</v>
      </c>
      <c r="E161" s="165">
        <f>VLOOKUP(B161,'Snapshot (Volume)'!$A$7:$G$168,7,0)</f>
        <v>42860375</v>
      </c>
      <c r="F161" s="165">
        <f t="shared" si="54"/>
        <v>-6270775</v>
      </c>
      <c r="G161" s="166">
        <f t="shared" si="55"/>
        <v>-0.14630704934336203</v>
      </c>
      <c r="H161" s="165">
        <f>VLOOKUP($B161,'Data shares'!$C:$FB,66)</f>
        <v>17957700</v>
      </c>
      <c r="I161" s="165">
        <f>VLOOKUP($B161,'Data shares'!$C:$FB,67)</f>
        <v>33744600</v>
      </c>
      <c r="J161" s="81">
        <f t="shared" si="56"/>
        <v>-46.78348535765722</v>
      </c>
      <c r="K161" s="5">
        <f>VLOOKUP($B161,'Data Vlaue (Cr)'!$C:$FB,99)</f>
        <v>1710</v>
      </c>
      <c r="L161" s="81">
        <f>VLOOKUP(B161,'OI(Value)'!$A$7:$C$232,3,0)</f>
        <v>-293</v>
      </c>
      <c r="M161" s="33">
        <f t="shared" si="57"/>
        <v>-17.134502923976608</v>
      </c>
      <c r="N161" s="5">
        <f>VLOOKUP($B161,'Data Vlaue (Cr)'!$C:$FB,67)</f>
        <v>839</v>
      </c>
      <c r="O161" s="5">
        <f>VLOOKUP($B161,'Data Vlaue (Cr)'!$C:$FB,68)</f>
        <v>1577</v>
      </c>
      <c r="P161" s="5">
        <f t="shared" si="58"/>
        <v>-87.961859356376635</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New_Age</v>
      </c>
      <c r="B162" s="79" t="str">
        <f>'Data shares'!C157</f>
        <v>PAYTM</v>
      </c>
      <c r="C162" s="4">
        <f>VLOOKUP($B162,'Data shares'!$C:$FB,7)</f>
        <v>1131.5999999999999</v>
      </c>
      <c r="D162" s="82">
        <f>VLOOKUP($B162,'Data shares'!$C:$FB,98)</f>
        <v>22132800</v>
      </c>
      <c r="E162" s="165">
        <f>VLOOKUP(B162,'Snapshot (Volume)'!$A$7:$G$168,7,0)</f>
        <v>32270475</v>
      </c>
      <c r="F162" s="165">
        <f t="shared" si="54"/>
        <v>-10137675</v>
      </c>
      <c r="G162" s="166">
        <f t="shared" si="55"/>
        <v>-0.31414706477050619</v>
      </c>
      <c r="H162" s="165">
        <f>VLOOKUP($B162,'Data shares'!$C:$FB,66)</f>
        <v>35775850</v>
      </c>
      <c r="I162" s="165">
        <f>VLOOKUP($B162,'Data shares'!$C:$FB,67)</f>
        <v>35084200</v>
      </c>
      <c r="J162" s="81">
        <f t="shared" si="56"/>
        <v>1.9714002314432137</v>
      </c>
      <c r="K162" s="5">
        <f>VLOOKUP($B162,'Data Vlaue (Cr)'!$C:$FB,99)</f>
        <v>2526</v>
      </c>
      <c r="L162" s="81">
        <f>VLOOKUP(B162,'OI(Value)'!$A$7:$C$232,3,0)</f>
        <v>-1157</v>
      </c>
      <c r="M162" s="33">
        <f t="shared" si="57"/>
        <v>-45.803642121931908</v>
      </c>
      <c r="N162" s="5">
        <f>VLOOKUP($B162,'Data Vlaue (Cr)'!$C:$FB,67)</f>
        <v>4083</v>
      </c>
      <c r="O162" s="5">
        <f>VLOOKUP($B162,'Data Vlaue (Cr)'!$C:$FB,68)</f>
        <v>4004</v>
      </c>
      <c r="P162" s="5">
        <f>(N162-O162)/N162*100</f>
        <v>1.9348518246387461</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Technology</v>
      </c>
      <c r="B163" s="79" t="str">
        <f>'Data shares'!C158</f>
        <v>PERSISTENT</v>
      </c>
      <c r="C163" s="4">
        <f>VLOOKUP($B163,'Data shares'!$C:$FB,7)</f>
        <v>5105.8</v>
      </c>
      <c r="D163" s="82">
        <f>VLOOKUP($B163,'Data shares'!$C:$FB,98)</f>
        <v>4114200</v>
      </c>
      <c r="E163" s="165">
        <f>VLOOKUP(B163,'Snapshot (Volume)'!$A$7:$G$168,7,0)</f>
        <v>6672350</v>
      </c>
      <c r="F163" s="165">
        <f t="shared" si="54"/>
        <v>-2558150</v>
      </c>
      <c r="G163" s="166">
        <f t="shared" si="55"/>
        <v>-0.38339565520393865</v>
      </c>
      <c r="H163" s="165">
        <f>VLOOKUP($B163,'Data shares'!$C:$FB,66)</f>
        <v>4080400</v>
      </c>
      <c r="I163" s="165">
        <f>VLOOKUP($B163,'Data shares'!$C:$FB,67)</f>
        <v>5357700</v>
      </c>
      <c r="J163" s="81">
        <f t="shared" si="56"/>
        <v>-23.840453926125015</v>
      </c>
      <c r="K163" s="5">
        <f>VLOOKUP($B163,'Data Vlaue (Cr)'!$C:$FB,99)</f>
        <v>2103</v>
      </c>
      <c r="L163" s="81">
        <f>VLOOKUP(B163,'OI(Value)'!$A$7:$C$232,3,0)</f>
        <v>-1308</v>
      </c>
      <c r="M163" s="33">
        <f t="shared" si="57"/>
        <v>-62.196861626248214</v>
      </c>
      <c r="N163" s="5">
        <f>VLOOKUP($B163,'Data Vlaue (Cr)'!$C:$FB,67)</f>
        <v>2086</v>
      </c>
      <c r="O163" s="5">
        <f>VLOOKUP($B163,'Data Vlaue (Cr)'!$C:$FB,68)</f>
        <v>2739</v>
      </c>
      <c r="P163" s="5">
        <f>(N163-O163)/N163*100</f>
        <v>-31.3039309683605</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Oil_Gas</v>
      </c>
      <c r="B164" s="79" t="str">
        <f>'Data shares'!C159</f>
        <v>PETRONET</v>
      </c>
      <c r="C164" s="4">
        <f>VLOOKUP($B164,'Data shares'!$C:$FB,7)</f>
        <v>280.2</v>
      </c>
      <c r="D164" s="82">
        <f>VLOOKUP($B164,'Data shares'!$C:$FB,98)</f>
        <v>40878500</v>
      </c>
      <c r="E164" s="165">
        <f>VLOOKUP(B164,'Snapshot (Volume)'!$A$7:$G$168,7,0)</f>
        <v>54036000</v>
      </c>
      <c r="F164" s="165">
        <f t="shared" si="54"/>
        <v>-13157500</v>
      </c>
      <c r="G164" s="166">
        <f t="shared" si="55"/>
        <v>-0.24349507735583684</v>
      </c>
      <c r="H164" s="165">
        <f>VLOOKUP($B164,'Data shares'!$C:$FB,66)</f>
        <v>30506400</v>
      </c>
      <c r="I164" s="165">
        <f>VLOOKUP($B164,'Data shares'!$C:$FB,67)</f>
        <v>47082000</v>
      </c>
      <c r="J164" s="81">
        <f t="shared" si="56"/>
        <v>-35.205811138014525</v>
      </c>
      <c r="K164" s="5">
        <f>VLOOKUP($B164,'Data Vlaue (Cr)'!$C:$FB,99)</f>
        <v>1152</v>
      </c>
      <c r="L164" s="81">
        <f>VLOOKUP(B164,'OI(Value)'!$A$7:$C$232,3,0)</f>
        <v>-371</v>
      </c>
      <c r="M164" s="33">
        <f t="shared" si="57"/>
        <v>-32.204861111111107</v>
      </c>
      <c r="N164" s="5">
        <f>VLOOKUP($B164,'Data Vlaue (Cr)'!$C:$FB,67)</f>
        <v>860</v>
      </c>
      <c r="O164" s="5">
        <f>VLOOKUP($B164,'Data Vlaue (Cr)'!$C:$FB,68)</f>
        <v>1327</v>
      </c>
      <c r="P164" s="5">
        <f>(N164-O164)/N164*100</f>
        <v>-54.302325581395351</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VLOOKUP(B165,'OI(Value)'!$A$7:$C$232,3,0)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1079.05</v>
      </c>
      <c r="D166" s="82">
        <f>VLOOKUP($B166,'Data shares'!$C:$FB,98)</f>
        <v>15024600</v>
      </c>
      <c r="E166" s="165" t="e">
        <f>VLOOKUP(B166,'Snapshot (Volume)'!$A$7:$G$168,7,0)</f>
        <v>#N/A</v>
      </c>
      <c r="F166" s="165" t="e">
        <f t="shared" si="54"/>
        <v>#N/A</v>
      </c>
      <c r="G166" s="166" t="e">
        <f t="shared" si="55"/>
        <v>#N/A</v>
      </c>
      <c r="H166" s="165">
        <f>VLOOKUP($B166,'Data shares'!$C:$FB,66)</f>
        <v>16324200</v>
      </c>
      <c r="I166" s="165">
        <f>VLOOKUP($B166,'Data shares'!$C:$FB,67)</f>
        <v>39277800</v>
      </c>
      <c r="J166" s="81">
        <f t="shared" si="56"/>
        <v>-58.439118280555427</v>
      </c>
      <c r="K166" s="5">
        <f>VLOOKUP($B166,'Data Vlaue (Cr)'!$C:$FB,99)</f>
        <v>1629</v>
      </c>
      <c r="L166" s="81">
        <f>VLOOKUP(B166,'OI(Value)'!$A$7:$C$232,3,0)</f>
        <v>-1056</v>
      </c>
      <c r="M166" s="33">
        <f t="shared" si="57"/>
        <v>-64.825046040515659</v>
      </c>
      <c r="N166" s="5">
        <f>VLOOKUP($B166,'Data Vlaue (Cr)'!$C:$FB,67)</f>
        <v>1770</v>
      </c>
      <c r="O166" s="5">
        <f>VLOOKUP($B166,'Data Vlaue (Cr)'!$C:$FB,68)</f>
        <v>4260</v>
      </c>
      <c r="P166" s="5">
        <f>(N166-O166)/N166*100</f>
        <v>-140.67796610169492</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8"/>
  <sheetViews>
    <sheetView zoomScale="85" zoomScaleNormal="85" workbookViewId="0">
      <pane ySplit="6" topLeftCell="A183" activePane="bottomLeft" state="frozen"/>
      <selection activeCell="Q163" sqref="Q163"/>
      <selection pane="bottomLeft" activeCell="A7" sqref="A7:A221"/>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5" t="s">
        <v>334</v>
      </c>
      <c r="B3" s="276"/>
      <c r="C3" s="276"/>
      <c r="D3" s="277"/>
      <c r="E3" s="278"/>
      <c r="F3" s="278"/>
      <c r="G3" s="278"/>
      <c r="H3" s="278"/>
      <c r="I3" s="278"/>
      <c r="J3" s="278"/>
      <c r="K3" s="278"/>
      <c r="L3" s="278"/>
      <c r="M3" s="278"/>
      <c r="N3" s="278"/>
      <c r="O3" s="279"/>
    </row>
    <row r="4" spans="1:15" s="84" customFormat="1" x14ac:dyDescent="0.25">
      <c r="A4" s="272" t="s">
        <v>330</v>
      </c>
      <c r="B4" s="272" t="s">
        <v>340</v>
      </c>
      <c r="C4" s="272"/>
      <c r="D4" s="272"/>
      <c r="E4" s="272"/>
      <c r="F4" s="272"/>
      <c r="G4" s="272"/>
      <c r="H4" s="272"/>
      <c r="I4" s="272"/>
      <c r="J4" s="272"/>
      <c r="K4" s="272"/>
      <c r="L4" s="272"/>
      <c r="M4" s="272"/>
      <c r="N4" s="272"/>
      <c r="O4" s="272"/>
    </row>
    <row r="5" spans="1:15" s="84" customFormat="1" x14ac:dyDescent="0.25">
      <c r="A5" s="273"/>
      <c r="B5" s="273" t="s">
        <v>314</v>
      </c>
      <c r="C5" s="273"/>
      <c r="D5" s="273"/>
      <c r="E5" s="273" t="s">
        <v>341</v>
      </c>
      <c r="F5" s="273"/>
      <c r="G5" s="273"/>
      <c r="H5" s="273" t="s">
        <v>336</v>
      </c>
      <c r="I5" s="273"/>
      <c r="J5" s="273"/>
      <c r="K5" s="273" t="s">
        <v>342</v>
      </c>
      <c r="L5" s="273"/>
      <c r="M5" s="273"/>
      <c r="N5" s="273" t="s">
        <v>338</v>
      </c>
      <c r="O5" s="273"/>
    </row>
    <row r="6" spans="1:15" s="84" customFormat="1" x14ac:dyDescent="0.25">
      <c r="A6" s="71" t="s">
        <v>318</v>
      </c>
      <c r="B6" s="66">
        <f>'OI(Value)'!B6</f>
        <v>46168</v>
      </c>
      <c r="C6" s="71" t="s">
        <v>333</v>
      </c>
      <c r="D6" s="71" t="s">
        <v>328</v>
      </c>
      <c r="E6" s="66">
        <f>B6</f>
        <v>46168</v>
      </c>
      <c r="F6" s="71" t="s">
        <v>333</v>
      </c>
      <c r="G6" s="71" t="s">
        <v>328</v>
      </c>
      <c r="H6" s="66">
        <f>B6</f>
        <v>46168</v>
      </c>
      <c r="I6" s="71" t="s">
        <v>333</v>
      </c>
      <c r="J6" s="71" t="s">
        <v>328</v>
      </c>
      <c r="K6" s="66">
        <f>B6</f>
        <v>46168</v>
      </c>
      <c r="L6" s="71" t="s">
        <v>333</v>
      </c>
      <c r="M6" s="71" t="s">
        <v>328</v>
      </c>
      <c r="N6" s="71" t="s">
        <v>339</v>
      </c>
      <c r="O6" s="71" t="s">
        <v>328</v>
      </c>
    </row>
    <row r="7" spans="1:15" x14ac:dyDescent="0.25">
      <c r="A7" s="100" t="str">
        <f>'Data Vlaue (Cr)'!C2</f>
        <v>360ONE</v>
      </c>
      <c r="B7" s="82">
        <f>VLOOKUP(A7,'Data shares'!$C$2:$CV$216,98,0)</f>
        <v>5321000</v>
      </c>
      <c r="C7" s="82">
        <f>VLOOKUP(A7,'Data shares'!$C$2:$CX$216,100,0)</f>
        <v>-1860000</v>
      </c>
      <c r="D7" s="141">
        <f>VLOOKUP(A7,'Data shares'!$C$2:$CY$539,101,0)</f>
        <v>-0.25900000000000001</v>
      </c>
      <c r="E7" s="86">
        <f>VLOOKUP($A7,'Data shares'!$C:$FA,74)</f>
        <v>4760000</v>
      </c>
      <c r="F7" s="86">
        <f>VLOOKUP($A7,'Data shares'!$C:$FA,76)</f>
        <v>-589000</v>
      </c>
      <c r="G7" s="87">
        <f>VLOOKUP(A7,'Data shares'!$C$2:$CA$216,77,0)</f>
        <v>-0.1101</v>
      </c>
      <c r="H7" s="86">
        <f>VLOOKUP($A7,'Data shares'!$C:$FA,90)</f>
        <v>380500</v>
      </c>
      <c r="I7" s="86">
        <f>VLOOKUP($A7,'Data shares'!$C:$FA,92)</f>
        <v>-542500</v>
      </c>
      <c r="J7" s="87">
        <f>VLOOKUP($A7,'Data shares'!$C:$FA,93)</f>
        <v>-0.58779999999999999</v>
      </c>
      <c r="K7" s="86">
        <f>VLOOKUP($A7,'Data shares'!$C:$FA,94)</f>
        <v>180500</v>
      </c>
      <c r="L7" s="86">
        <f>VLOOKUP($A7,'Data shares'!$C:$FA,96)</f>
        <v>-728500</v>
      </c>
      <c r="M7" s="87">
        <f>VLOOKUP($A7,'Data shares'!$C:$FA,97)</f>
        <v>-0.8014</v>
      </c>
      <c r="N7" s="86">
        <f>VLOOKUP($A7,'Data shares'!$C:$FA,78)</f>
        <v>154000</v>
      </c>
      <c r="O7" s="87">
        <f>VLOOKUP($A7,'Data shares'!$C:$FA,81)</f>
        <v>-0.84919999999999995</v>
      </c>
    </row>
    <row r="8" spans="1:15" x14ac:dyDescent="0.25">
      <c r="A8" s="100" t="str">
        <f>'Data Vlaue (Cr)'!C3</f>
        <v>ABB</v>
      </c>
      <c r="B8" s="82">
        <f>VLOOKUP(A8,'Data shares'!$C$2:$CV$216,98,0)</f>
        <v>3501750</v>
      </c>
      <c r="C8" s="82">
        <f>VLOOKUP(A8,'Data shares'!$C$2:$CX$216,100,0)</f>
        <v>-2381750</v>
      </c>
      <c r="D8" s="141">
        <f>VLOOKUP(A8,'Data shares'!$C$2:$CY$539,101,0)</f>
        <v>-0.40479999999999999</v>
      </c>
      <c r="E8" s="86">
        <f>VLOOKUP($A8,'Data shares'!$C:$FA,74)</f>
        <v>2493625</v>
      </c>
      <c r="F8" s="86">
        <f>VLOOKUP($A8,'Data shares'!$C:$FA,76)</f>
        <v>-399625</v>
      </c>
      <c r="G8" s="87">
        <f>VLOOKUP(A8,'Data shares'!$C$2:$CA$216,77,0)</f>
        <v>-0.1381</v>
      </c>
      <c r="H8" s="86">
        <f>VLOOKUP($A8,'Data shares'!$C:$FA,90)</f>
        <v>537000</v>
      </c>
      <c r="I8" s="86">
        <f>VLOOKUP($A8,'Data shares'!$C:$FA,92)</f>
        <v>-1305625</v>
      </c>
      <c r="J8" s="87">
        <f>VLOOKUP($A8,'Data shares'!$C:$FA,93)</f>
        <v>-0.70860000000000001</v>
      </c>
      <c r="K8" s="86">
        <f>VLOOKUP($A8,'Data shares'!$C:$FA,94)</f>
        <v>471125</v>
      </c>
      <c r="L8" s="86">
        <f>VLOOKUP($A8,'Data shares'!$C:$FA,96)</f>
        <v>-676500</v>
      </c>
      <c r="M8" s="87">
        <f>VLOOKUP($A8,'Data shares'!$C:$FA,97)</f>
        <v>-0.58950000000000002</v>
      </c>
      <c r="N8" s="86">
        <f>VLOOKUP($A8,'Data shares'!$C:$FA,78)</f>
        <v>341875</v>
      </c>
      <c r="O8" s="87">
        <f>VLOOKUP($A8,'Data shares'!$C:$FA,81)</f>
        <v>-0.2114</v>
      </c>
    </row>
    <row r="9" spans="1:15" x14ac:dyDescent="0.25">
      <c r="A9" s="100" t="str">
        <f>'Data Vlaue (Cr)'!C4</f>
        <v>ABCAPITAL</v>
      </c>
      <c r="B9" s="82">
        <f>VLOOKUP(A9,'Data shares'!$C$2:$CV$216,98,0)</f>
        <v>66640700</v>
      </c>
      <c r="C9" s="82">
        <f>VLOOKUP(A9,'Data shares'!$C$2:$CX$216,100,0)</f>
        <v>-20630500</v>
      </c>
      <c r="D9" s="141">
        <f>VLOOKUP(A9,'Data shares'!$C$2:$CY$539,101,0)</f>
        <v>-0.2364</v>
      </c>
      <c r="E9" s="86">
        <f>VLOOKUP($A9,'Data shares'!$C:$FA,74)</f>
        <v>55982900</v>
      </c>
      <c r="F9" s="86">
        <f>VLOOKUP($A9,'Data shares'!$C:$FA,76)</f>
        <v>-2619500</v>
      </c>
      <c r="G9" s="87">
        <f>VLOOKUP(A9,'Data shares'!$C$2:$CA$216,77,0)</f>
        <v>-4.4699999999999997E-2</v>
      </c>
      <c r="H9" s="86">
        <f>VLOOKUP($A9,'Data shares'!$C:$FA,90)</f>
        <v>5719500</v>
      </c>
      <c r="I9" s="86">
        <f>VLOOKUP($A9,'Data shares'!$C:$FA,92)</f>
        <v>-10161800</v>
      </c>
      <c r="J9" s="87">
        <f>VLOOKUP($A9,'Data shares'!$C:$FA,93)</f>
        <v>-0.63990000000000002</v>
      </c>
      <c r="K9" s="86">
        <f>VLOOKUP($A9,'Data shares'!$C:$FA,94)</f>
        <v>4938300</v>
      </c>
      <c r="L9" s="86">
        <f>VLOOKUP($A9,'Data shares'!$C:$FA,96)</f>
        <v>-7849200</v>
      </c>
      <c r="M9" s="87">
        <f>VLOOKUP($A9,'Data shares'!$C:$FA,97)</f>
        <v>-0.61380000000000001</v>
      </c>
      <c r="N9" s="86">
        <f>VLOOKUP($A9,'Data shares'!$C:$FA,78)</f>
        <v>939300</v>
      </c>
      <c r="O9" s="87">
        <f>VLOOKUP($A9,'Data shares'!$C:$FA,81)</f>
        <v>-0.87609999999999999</v>
      </c>
    </row>
    <row r="10" spans="1:15" x14ac:dyDescent="0.25">
      <c r="A10" s="100" t="str">
        <f>'Data Vlaue (Cr)'!C5</f>
        <v>ADANIENSOL</v>
      </c>
      <c r="B10" s="82">
        <f>VLOOKUP(A10,'Data shares'!$C$2:$CV$216,98,0)</f>
        <v>24331050</v>
      </c>
      <c r="C10" s="82">
        <f>VLOOKUP(A10,'Data shares'!$C$2:$CX$216,100,0)</f>
        <v>-6959925</v>
      </c>
      <c r="D10" s="141">
        <f>VLOOKUP(A10,'Data shares'!$C$2:$CY$539,101,0)</f>
        <v>-0.22239999999999999</v>
      </c>
      <c r="E10" s="86">
        <f>VLOOKUP($A10,'Data shares'!$C:$FA,74)</f>
        <v>19869300</v>
      </c>
      <c r="F10" s="86">
        <f>VLOOKUP($A10,'Data shares'!$C:$FA,76)</f>
        <v>-1061100</v>
      </c>
      <c r="G10" s="87">
        <f>VLOOKUP(A10,'Data shares'!$C$2:$CA$216,77,0)</f>
        <v>-5.0700000000000002E-2</v>
      </c>
      <c r="H10" s="86">
        <f>VLOOKUP($A10,'Data shares'!$C:$FA,90)</f>
        <v>2636550</v>
      </c>
      <c r="I10" s="86">
        <f>VLOOKUP($A10,'Data shares'!$C:$FA,92)</f>
        <v>-3928500</v>
      </c>
      <c r="J10" s="87">
        <f>VLOOKUP($A10,'Data shares'!$C:$FA,93)</f>
        <v>-0.59840000000000004</v>
      </c>
      <c r="K10" s="86">
        <f>VLOOKUP($A10,'Data shares'!$C:$FA,94)</f>
        <v>1825200</v>
      </c>
      <c r="L10" s="86">
        <f>VLOOKUP($A10,'Data shares'!$C:$FA,96)</f>
        <v>-1970325</v>
      </c>
      <c r="M10" s="87">
        <f>VLOOKUP($A10,'Data shares'!$C:$FA,97)</f>
        <v>-0.51910000000000001</v>
      </c>
      <c r="N10" s="86">
        <f>VLOOKUP($A10,'Data shares'!$C:$FA,78)</f>
        <v>2085750</v>
      </c>
      <c r="O10" s="87">
        <f>VLOOKUP($A10,'Data shares'!$C:$FA,81)</f>
        <v>-0.35649999999999998</v>
      </c>
    </row>
    <row r="11" spans="1:15" x14ac:dyDescent="0.25">
      <c r="A11" s="100" t="str">
        <f>'Data Vlaue (Cr)'!C6</f>
        <v>ADANIENT</v>
      </c>
      <c r="B11" s="82">
        <f>VLOOKUP(A11,'Data shares'!$C$2:$CV$216,98,0)</f>
        <v>28415022</v>
      </c>
      <c r="C11" s="82">
        <f>VLOOKUP(A11,'Data shares'!$C$2:$CX$216,100,0)</f>
        <v>-11081049</v>
      </c>
      <c r="D11" s="141">
        <f>VLOOKUP(A11,'Data shares'!$C$2:$CY$539,101,0)</f>
        <v>-0.28060000000000002</v>
      </c>
      <c r="E11" s="86">
        <f>VLOOKUP($A11,'Data shares'!$C:$FA,74)</f>
        <v>19965417</v>
      </c>
      <c r="F11" s="86">
        <f>VLOOKUP($A11,'Data shares'!$C:$FA,76)</f>
        <v>-412824</v>
      </c>
      <c r="G11" s="87">
        <f>VLOOKUP(A11,'Data shares'!$C$2:$CA$216,77,0)</f>
        <v>-2.0299999999999999E-2</v>
      </c>
      <c r="H11" s="86">
        <f>VLOOKUP($A11,'Data shares'!$C:$FA,90)</f>
        <v>4455780</v>
      </c>
      <c r="I11" s="86">
        <f>VLOOKUP($A11,'Data shares'!$C:$FA,92)</f>
        <v>-5841954</v>
      </c>
      <c r="J11" s="87">
        <f>VLOOKUP($A11,'Data shares'!$C:$FA,93)</f>
        <v>-0.56730000000000003</v>
      </c>
      <c r="K11" s="86">
        <f>VLOOKUP($A11,'Data shares'!$C:$FA,94)</f>
        <v>3993825</v>
      </c>
      <c r="L11" s="86">
        <f>VLOOKUP($A11,'Data shares'!$C:$FA,96)</f>
        <v>-4826271</v>
      </c>
      <c r="M11" s="87">
        <f>VLOOKUP($A11,'Data shares'!$C:$FA,97)</f>
        <v>-0.54720000000000002</v>
      </c>
      <c r="N11" s="86">
        <f>VLOOKUP($A11,'Data shares'!$C:$FA,78)</f>
        <v>1815066</v>
      </c>
      <c r="O11" s="87">
        <f>VLOOKUP($A11,'Data shares'!$C:$FA,81)</f>
        <v>-0.55420000000000003</v>
      </c>
    </row>
    <row r="12" spans="1:15" x14ac:dyDescent="0.25">
      <c r="A12" s="100" t="str">
        <f>'Data Vlaue (Cr)'!C7</f>
        <v>ADANIGREEN</v>
      </c>
      <c r="B12" s="82">
        <f>VLOOKUP(A12,'Data shares'!$C$2:$CV$216,98,0)</f>
        <v>28196400</v>
      </c>
      <c r="C12" s="82">
        <f>VLOOKUP(A12,'Data shares'!$C$2:$CX$216,100,0)</f>
        <v>-12361200</v>
      </c>
      <c r="D12" s="141">
        <f>VLOOKUP(A12,'Data shares'!$C$2:$CY$539,101,0)</f>
        <v>-0.30480000000000002</v>
      </c>
      <c r="E12" s="86">
        <f>VLOOKUP($A12,'Data shares'!$C:$FA,74)</f>
        <v>21261000</v>
      </c>
      <c r="F12" s="86">
        <f>VLOOKUP($A12,'Data shares'!$C:$FA,76)</f>
        <v>-1683000</v>
      </c>
      <c r="G12" s="87">
        <f>VLOOKUP(A12,'Data shares'!$C$2:$CA$216,77,0)</f>
        <v>-7.3400000000000007E-2</v>
      </c>
      <c r="H12" s="86">
        <f>VLOOKUP($A12,'Data shares'!$C:$FA,90)</f>
        <v>4041000</v>
      </c>
      <c r="I12" s="86">
        <f>VLOOKUP($A12,'Data shares'!$C:$FA,92)</f>
        <v>-5802600</v>
      </c>
      <c r="J12" s="87">
        <f>VLOOKUP($A12,'Data shares'!$C:$FA,93)</f>
        <v>-0.58950000000000002</v>
      </c>
      <c r="K12" s="86">
        <f>VLOOKUP($A12,'Data shares'!$C:$FA,94)</f>
        <v>2894400</v>
      </c>
      <c r="L12" s="86">
        <f>VLOOKUP($A12,'Data shares'!$C:$FA,96)</f>
        <v>-4875600</v>
      </c>
      <c r="M12" s="87">
        <f>VLOOKUP($A12,'Data shares'!$C:$FA,97)</f>
        <v>-0.62749999999999995</v>
      </c>
      <c r="N12" s="86">
        <f>VLOOKUP($A12,'Data shares'!$C:$FA,78)</f>
        <v>1516800</v>
      </c>
      <c r="O12" s="87">
        <f>VLOOKUP($A12,'Data shares'!$C:$FA,81)</f>
        <v>-0.74209999999999998</v>
      </c>
    </row>
    <row r="13" spans="1:15" x14ac:dyDescent="0.25">
      <c r="A13" s="100" t="str">
        <f>'Data Vlaue (Cr)'!C8</f>
        <v>ADANIPORTS</v>
      </c>
      <c r="B13" s="82">
        <f>VLOOKUP(A13,'Data shares'!$C$2:$CV$216,98,0)</f>
        <v>27310125</v>
      </c>
      <c r="C13" s="82">
        <f>VLOOKUP(A13,'Data shares'!$C$2:$CX$216,100,0)</f>
        <v>-13702800</v>
      </c>
      <c r="D13" s="141">
        <f>VLOOKUP(A13,'Data shares'!$C$2:$CY$539,101,0)</f>
        <v>-0.33410000000000001</v>
      </c>
      <c r="E13" s="86">
        <f>VLOOKUP($A13,'Data shares'!$C:$FA,74)</f>
        <v>21572600</v>
      </c>
      <c r="F13" s="86">
        <f>VLOOKUP($A13,'Data shares'!$C:$FA,76)</f>
        <v>-3142600</v>
      </c>
      <c r="G13" s="87">
        <f>VLOOKUP(A13,'Data shares'!$C$2:$CA$216,77,0)</f>
        <v>-0.12720000000000001</v>
      </c>
      <c r="H13" s="86">
        <f>VLOOKUP($A13,'Data shares'!$C:$FA,90)</f>
        <v>3743950</v>
      </c>
      <c r="I13" s="86">
        <f>VLOOKUP($A13,'Data shares'!$C:$FA,92)</f>
        <v>-5713300</v>
      </c>
      <c r="J13" s="87">
        <f>VLOOKUP($A13,'Data shares'!$C:$FA,93)</f>
        <v>-0.60409999999999997</v>
      </c>
      <c r="K13" s="86">
        <f>VLOOKUP($A13,'Data shares'!$C:$FA,94)</f>
        <v>1993575</v>
      </c>
      <c r="L13" s="86">
        <f>VLOOKUP($A13,'Data shares'!$C:$FA,96)</f>
        <v>-4846900</v>
      </c>
      <c r="M13" s="87">
        <f>VLOOKUP($A13,'Data shares'!$C:$FA,97)</f>
        <v>-0.70860000000000001</v>
      </c>
      <c r="N13" s="86">
        <f>VLOOKUP($A13,'Data shares'!$C:$FA,78)</f>
        <v>3183450</v>
      </c>
      <c r="O13" s="87">
        <f>VLOOKUP($A13,'Data shares'!$C:$FA,81)</f>
        <v>-0.3362</v>
      </c>
    </row>
    <row r="14" spans="1:15" x14ac:dyDescent="0.25">
      <c r="A14" s="100" t="str">
        <f>'Data Vlaue (Cr)'!C9</f>
        <v>ADANIPOWER</v>
      </c>
      <c r="B14" s="82">
        <f>VLOOKUP(A14,'Data shares'!$C$2:$CV$216,98,0)</f>
        <v>139749300</v>
      </c>
      <c r="C14" s="82">
        <f>VLOOKUP(A14,'Data shares'!$C$2:$CX$216,100,0)</f>
        <v>-28801150</v>
      </c>
      <c r="D14" s="141">
        <f>VLOOKUP(A14,'Data shares'!$C$2:$CY$539,101,0)</f>
        <v>-0.1709</v>
      </c>
      <c r="E14" s="86">
        <f>VLOOKUP($A14,'Data shares'!$C:$FA,74)</f>
        <v>101054300</v>
      </c>
      <c r="F14" s="86">
        <f>VLOOKUP($A14,'Data shares'!$C:$FA,76)</f>
        <v>-628350</v>
      </c>
      <c r="G14" s="87">
        <f>VLOOKUP(A14,'Data shares'!$C$2:$CA$216,77,0)</f>
        <v>-6.1999999999999998E-3</v>
      </c>
      <c r="H14" s="86">
        <f>VLOOKUP($A14,'Data shares'!$C:$FA,90)</f>
        <v>22624150</v>
      </c>
      <c r="I14" s="86">
        <f>VLOOKUP($A14,'Data shares'!$C:$FA,92)</f>
        <v>-18499050</v>
      </c>
      <c r="J14" s="87">
        <f>VLOOKUP($A14,'Data shares'!$C:$FA,93)</f>
        <v>-0.44979999999999998</v>
      </c>
      <c r="K14" s="86">
        <f>VLOOKUP($A14,'Data shares'!$C:$FA,94)</f>
        <v>16070850</v>
      </c>
      <c r="L14" s="86">
        <f>VLOOKUP($A14,'Data shares'!$C:$FA,96)</f>
        <v>-9673750</v>
      </c>
      <c r="M14" s="87">
        <f>VLOOKUP($A14,'Data shares'!$C:$FA,97)</f>
        <v>-0.37580000000000002</v>
      </c>
      <c r="N14" s="86">
        <f>VLOOKUP($A14,'Data shares'!$C:$FA,78)</f>
        <v>2921650</v>
      </c>
      <c r="O14" s="87">
        <f>VLOOKUP($A14,'Data shares'!$C:$FA,81)</f>
        <v>-0.82089999999999996</v>
      </c>
    </row>
    <row r="15" spans="1:15" x14ac:dyDescent="0.25">
      <c r="A15" s="100" t="str">
        <f>'Data Vlaue (Cr)'!C10</f>
        <v>ALKEM</v>
      </c>
      <c r="B15" s="82">
        <f>VLOOKUP(A15,'Data shares'!$C$2:$CV$216,98,0)</f>
        <v>1427125</v>
      </c>
      <c r="C15" s="82">
        <f>VLOOKUP(A15,'Data shares'!$C$2:$CX$216,100,0)</f>
        <v>-442375</v>
      </c>
      <c r="D15" s="141">
        <f>VLOOKUP(A15,'Data shares'!$C$2:$CY$539,101,0)</f>
        <v>-0.2366</v>
      </c>
      <c r="E15" s="86">
        <f>VLOOKUP($A15,'Data shares'!$C:$FA,74)</f>
        <v>1231125</v>
      </c>
      <c r="F15" s="86">
        <f>VLOOKUP($A15,'Data shares'!$C:$FA,76)</f>
        <v>-33125</v>
      </c>
      <c r="G15" s="87">
        <f>VLOOKUP(A15,'Data shares'!$C$2:$CA$216,77,0)</f>
        <v>-2.6200000000000001E-2</v>
      </c>
      <c r="H15" s="86">
        <f>VLOOKUP($A15,'Data shares'!$C:$FA,90)</f>
        <v>110000</v>
      </c>
      <c r="I15" s="86">
        <f>VLOOKUP($A15,'Data shares'!$C:$FA,92)</f>
        <v>-290250</v>
      </c>
      <c r="J15" s="87">
        <f>VLOOKUP($A15,'Data shares'!$C:$FA,93)</f>
        <v>-0.72519999999999996</v>
      </c>
      <c r="K15" s="86">
        <f>VLOOKUP($A15,'Data shares'!$C:$FA,94)</f>
        <v>86000</v>
      </c>
      <c r="L15" s="86">
        <f>VLOOKUP($A15,'Data shares'!$C:$FA,96)</f>
        <v>-119000</v>
      </c>
      <c r="M15" s="87">
        <f>VLOOKUP($A15,'Data shares'!$C:$FA,97)</f>
        <v>-0.58050000000000002</v>
      </c>
      <c r="N15" s="86">
        <f>VLOOKUP($A15,'Data shares'!$C:$FA,78)</f>
        <v>24500</v>
      </c>
      <c r="O15" s="87">
        <f>VLOOKUP($A15,'Data shares'!$C:$FA,81)</f>
        <v>-0.72240000000000004</v>
      </c>
    </row>
    <row r="16" spans="1:15" x14ac:dyDescent="0.25">
      <c r="A16" s="100" t="str">
        <f>'Data Vlaue (Cr)'!C11</f>
        <v>AMBER</v>
      </c>
      <c r="B16" s="82">
        <f>VLOOKUP(A16,'Data shares'!$C$2:$CV$216,98,0)</f>
        <v>4963900</v>
      </c>
      <c r="C16" s="82">
        <f>VLOOKUP(A16,'Data shares'!$C$2:$CX$216,100,0)</f>
        <v>-3280000</v>
      </c>
      <c r="D16" s="141">
        <f>VLOOKUP(A16,'Data shares'!$C$2:$CY$539,101,0)</f>
        <v>-0.39789999999999998</v>
      </c>
      <c r="E16" s="86">
        <f>VLOOKUP($A16,'Data shares'!$C:$FA,74)</f>
        <v>2729600</v>
      </c>
      <c r="F16" s="86">
        <f>VLOOKUP($A16,'Data shares'!$C:$FA,76)</f>
        <v>-171000</v>
      </c>
      <c r="G16" s="87">
        <f>VLOOKUP(A16,'Data shares'!$C$2:$CA$216,77,0)</f>
        <v>-5.8999999999999997E-2</v>
      </c>
      <c r="H16" s="86">
        <f>VLOOKUP($A16,'Data shares'!$C:$FA,90)</f>
        <v>1133800</v>
      </c>
      <c r="I16" s="86">
        <f>VLOOKUP($A16,'Data shares'!$C:$FA,92)</f>
        <v>-2249900</v>
      </c>
      <c r="J16" s="87">
        <f>VLOOKUP($A16,'Data shares'!$C:$FA,93)</f>
        <v>-0.66490000000000005</v>
      </c>
      <c r="K16" s="86">
        <f>VLOOKUP($A16,'Data shares'!$C:$FA,94)</f>
        <v>1100500</v>
      </c>
      <c r="L16" s="86">
        <f>VLOOKUP($A16,'Data shares'!$C:$FA,96)</f>
        <v>-859100</v>
      </c>
      <c r="M16" s="87">
        <f>VLOOKUP($A16,'Data shares'!$C:$FA,97)</f>
        <v>-0.43840000000000001</v>
      </c>
      <c r="N16" s="86">
        <f>VLOOKUP($A16,'Data shares'!$C:$FA,78)</f>
        <v>275300</v>
      </c>
      <c r="O16" s="87">
        <f>VLOOKUP($A16,'Data shares'!$C:$FA,81)</f>
        <v>-0.57250000000000001</v>
      </c>
    </row>
    <row r="17" spans="1:15" x14ac:dyDescent="0.25">
      <c r="A17" s="100" t="str">
        <f>'Data Vlaue (Cr)'!C12</f>
        <v>AMBUJACEM</v>
      </c>
      <c r="B17" s="82">
        <f>VLOOKUP(A17,'Data shares'!$C$2:$CV$216,98,0)</f>
        <v>86918250</v>
      </c>
      <c r="C17" s="82">
        <f>VLOOKUP(A17,'Data shares'!$C$2:$CX$216,100,0)</f>
        <v>-15808050</v>
      </c>
      <c r="D17" s="141">
        <f>VLOOKUP(A17,'Data shares'!$C$2:$CY$539,101,0)</f>
        <v>-0.15390000000000001</v>
      </c>
      <c r="E17" s="86">
        <f>VLOOKUP($A17,'Data shares'!$C:$FA,74)</f>
        <v>72301050</v>
      </c>
      <c r="F17" s="86">
        <f>VLOOKUP($A17,'Data shares'!$C:$FA,76)</f>
        <v>-2270400</v>
      </c>
      <c r="G17" s="87">
        <f>VLOOKUP(A17,'Data shares'!$C$2:$CA$216,77,0)</f>
        <v>-3.04E-2</v>
      </c>
      <c r="H17" s="86">
        <f>VLOOKUP($A17,'Data shares'!$C:$FA,90)</f>
        <v>7417200</v>
      </c>
      <c r="I17" s="86">
        <f>VLOOKUP($A17,'Data shares'!$C:$FA,92)</f>
        <v>-9834300</v>
      </c>
      <c r="J17" s="87">
        <f>VLOOKUP($A17,'Data shares'!$C:$FA,93)</f>
        <v>-0.57010000000000005</v>
      </c>
      <c r="K17" s="86">
        <f>VLOOKUP($A17,'Data shares'!$C:$FA,94)</f>
        <v>7200000</v>
      </c>
      <c r="L17" s="86">
        <f>VLOOKUP($A17,'Data shares'!$C:$FA,96)</f>
        <v>-3703350</v>
      </c>
      <c r="M17" s="87">
        <f>VLOOKUP($A17,'Data shares'!$C:$FA,97)</f>
        <v>-0.3397</v>
      </c>
      <c r="N17" s="86">
        <f>VLOOKUP($A17,'Data shares'!$C:$FA,78)</f>
        <v>5070450</v>
      </c>
      <c r="O17" s="87">
        <f>VLOOKUP($A17,'Data shares'!$C:$FA,81)</f>
        <v>-0.5302</v>
      </c>
    </row>
    <row r="18" spans="1:15" x14ac:dyDescent="0.25">
      <c r="A18" s="100" t="str">
        <f>'Data Vlaue (Cr)'!C13</f>
        <v>ANGELONE</v>
      </c>
      <c r="B18" s="82">
        <f>VLOOKUP(A18,'Data shares'!$C$2:$CV$216,98,0)</f>
        <v>38817500</v>
      </c>
      <c r="C18" s="82">
        <f>VLOOKUP(A18,'Data shares'!$C$2:$CX$216,100,0)</f>
        <v>-30520000</v>
      </c>
      <c r="D18" s="141">
        <f>VLOOKUP(A18,'Data shares'!$C$2:$CY$539,101,0)</f>
        <v>-0.44019999999999998</v>
      </c>
      <c r="E18" s="86">
        <f>VLOOKUP($A18,'Data shares'!$C:$FA,74)</f>
        <v>21192500</v>
      </c>
      <c r="F18" s="86">
        <f>VLOOKUP($A18,'Data shares'!$C:$FA,76)</f>
        <v>-8507500</v>
      </c>
      <c r="G18" s="87">
        <f>VLOOKUP(A18,'Data shares'!$C$2:$CA$216,77,0)</f>
        <v>-0.28639999999999999</v>
      </c>
      <c r="H18" s="86">
        <f>VLOOKUP($A18,'Data shares'!$C:$FA,90)</f>
        <v>9327500</v>
      </c>
      <c r="I18" s="86">
        <f>VLOOKUP($A18,'Data shares'!$C:$FA,92)</f>
        <v>-11480000</v>
      </c>
      <c r="J18" s="87">
        <f>VLOOKUP($A18,'Data shares'!$C:$FA,93)</f>
        <v>-0.55169999999999997</v>
      </c>
      <c r="K18" s="86">
        <f>VLOOKUP($A18,'Data shares'!$C:$FA,94)</f>
        <v>8297500</v>
      </c>
      <c r="L18" s="86">
        <f>VLOOKUP($A18,'Data shares'!$C:$FA,96)</f>
        <v>-10532500</v>
      </c>
      <c r="M18" s="87">
        <f>VLOOKUP($A18,'Data shares'!$C:$FA,97)</f>
        <v>-0.55930000000000002</v>
      </c>
      <c r="N18" s="86">
        <f>VLOOKUP($A18,'Data shares'!$C:$FA,78)</f>
        <v>6325000</v>
      </c>
      <c r="O18" s="87">
        <f>VLOOKUP($A18,'Data shares'!$C:$FA,81)</f>
        <v>-0.37940000000000002</v>
      </c>
    </row>
    <row r="19" spans="1:15" x14ac:dyDescent="0.25">
      <c r="A19" s="100" t="str">
        <f>'Data Vlaue (Cr)'!C14</f>
        <v>APLAPOLLO</v>
      </c>
      <c r="B19" s="82">
        <f>VLOOKUP(A19,'Data shares'!$C$2:$CV$216,98,0)</f>
        <v>6459600</v>
      </c>
      <c r="C19" s="82">
        <f>VLOOKUP(A19,'Data shares'!$C$2:$CX$216,100,0)</f>
        <v>-2465400</v>
      </c>
      <c r="D19" s="141">
        <f>VLOOKUP(A19,'Data shares'!$C$2:$CY$539,101,0)</f>
        <v>-0.2762</v>
      </c>
      <c r="E19" s="86">
        <f>VLOOKUP($A19,'Data shares'!$C:$FA,74)</f>
        <v>5507250</v>
      </c>
      <c r="F19" s="86">
        <f>VLOOKUP($A19,'Data shares'!$C:$FA,76)</f>
        <v>-200200</v>
      </c>
      <c r="G19" s="87">
        <f>VLOOKUP(A19,'Data shares'!$C$2:$CA$216,77,0)</f>
        <v>-3.5099999999999999E-2</v>
      </c>
      <c r="H19" s="86">
        <f>VLOOKUP($A19,'Data shares'!$C:$FA,90)</f>
        <v>437850</v>
      </c>
      <c r="I19" s="86">
        <f>VLOOKUP($A19,'Data shares'!$C:$FA,92)</f>
        <v>-1577450</v>
      </c>
      <c r="J19" s="87">
        <f>VLOOKUP($A19,'Data shares'!$C:$FA,93)</f>
        <v>-0.78269999999999995</v>
      </c>
      <c r="K19" s="86">
        <f>VLOOKUP($A19,'Data shares'!$C:$FA,94)</f>
        <v>514500</v>
      </c>
      <c r="L19" s="86">
        <f>VLOOKUP($A19,'Data shares'!$C:$FA,96)</f>
        <v>-687750</v>
      </c>
      <c r="M19" s="87">
        <f>VLOOKUP($A19,'Data shares'!$C:$FA,97)</f>
        <v>-0.57210000000000005</v>
      </c>
      <c r="N19" s="86">
        <f>VLOOKUP($A19,'Data shares'!$C:$FA,78)</f>
        <v>261450</v>
      </c>
      <c r="O19" s="87">
        <f>VLOOKUP($A19,'Data shares'!$C:$FA,81)</f>
        <v>-0.62460000000000004</v>
      </c>
    </row>
    <row r="20" spans="1:15" x14ac:dyDescent="0.25">
      <c r="A20" s="100" t="str">
        <f>'Data Vlaue (Cr)'!C15</f>
        <v>APOLLOHOSP</v>
      </c>
      <c r="B20" s="82">
        <f>VLOOKUP(A20,'Data shares'!$C$2:$CV$216,98,0)</f>
        <v>2733500</v>
      </c>
      <c r="C20" s="82">
        <f>VLOOKUP(A20,'Data shares'!$C$2:$CX$216,100,0)</f>
        <v>-2151750</v>
      </c>
      <c r="D20" s="141">
        <f>VLOOKUP(A20,'Data shares'!$C$2:$CY$539,101,0)</f>
        <v>-0.4405</v>
      </c>
      <c r="E20" s="86">
        <f>VLOOKUP($A20,'Data shares'!$C:$FA,74)</f>
        <v>1852250</v>
      </c>
      <c r="F20" s="86">
        <f>VLOOKUP($A20,'Data shares'!$C:$FA,76)</f>
        <v>-374000</v>
      </c>
      <c r="G20" s="87">
        <f>VLOOKUP(A20,'Data shares'!$C$2:$CA$216,77,0)</f>
        <v>-0.16800000000000001</v>
      </c>
      <c r="H20" s="86">
        <f>VLOOKUP($A20,'Data shares'!$C:$FA,90)</f>
        <v>541875</v>
      </c>
      <c r="I20" s="86">
        <f>VLOOKUP($A20,'Data shares'!$C:$FA,92)</f>
        <v>-736000</v>
      </c>
      <c r="J20" s="87">
        <f>VLOOKUP($A20,'Data shares'!$C:$FA,93)</f>
        <v>-0.57599999999999996</v>
      </c>
      <c r="K20" s="86">
        <f>VLOOKUP($A20,'Data shares'!$C:$FA,94)</f>
        <v>339375</v>
      </c>
      <c r="L20" s="86">
        <f>VLOOKUP($A20,'Data shares'!$C:$FA,96)</f>
        <v>-1041750</v>
      </c>
      <c r="M20" s="87">
        <f>VLOOKUP($A20,'Data shares'!$C:$FA,97)</f>
        <v>-0.75429999999999997</v>
      </c>
      <c r="N20" s="86">
        <f>VLOOKUP($A20,'Data shares'!$C:$FA,78)</f>
        <v>304500</v>
      </c>
      <c r="O20" s="87">
        <f>VLOOKUP($A20,'Data shares'!$C:$FA,81)</f>
        <v>-0.18559999999999999</v>
      </c>
    </row>
    <row r="21" spans="1:15" x14ac:dyDescent="0.25">
      <c r="A21" s="100" t="str">
        <f>'Data Vlaue (Cr)'!C16</f>
        <v>ASHOKLEY</v>
      </c>
      <c r="B21" s="82">
        <f>VLOOKUP(A21,'Data shares'!$C$2:$CV$216,98,0)</f>
        <v>263205000</v>
      </c>
      <c r="C21" s="82">
        <f>VLOOKUP(A21,'Data shares'!$C$2:$CX$216,100,0)</f>
        <v>-100105000</v>
      </c>
      <c r="D21" s="141">
        <f>VLOOKUP(A21,'Data shares'!$C$2:$CY$539,101,0)</f>
        <v>-0.27550000000000002</v>
      </c>
      <c r="E21" s="86">
        <f>VLOOKUP($A21,'Data shares'!$C:$FA,74)</f>
        <v>173570000</v>
      </c>
      <c r="F21" s="86">
        <f>VLOOKUP($A21,'Data shares'!$C:$FA,76)</f>
        <v>-12585000</v>
      </c>
      <c r="G21" s="87">
        <f>VLOOKUP(A21,'Data shares'!$C$2:$CA$216,77,0)</f>
        <v>-6.7599999999999993E-2</v>
      </c>
      <c r="H21" s="86">
        <f>VLOOKUP($A21,'Data shares'!$C:$FA,90)</f>
        <v>47235000</v>
      </c>
      <c r="I21" s="86">
        <f>VLOOKUP($A21,'Data shares'!$C:$FA,92)</f>
        <v>-54145000</v>
      </c>
      <c r="J21" s="87">
        <f>VLOOKUP($A21,'Data shares'!$C:$FA,93)</f>
        <v>-0.53410000000000002</v>
      </c>
      <c r="K21" s="86">
        <f>VLOOKUP($A21,'Data shares'!$C:$FA,94)</f>
        <v>42400000</v>
      </c>
      <c r="L21" s="86">
        <f>VLOOKUP($A21,'Data shares'!$C:$FA,96)</f>
        <v>-33375000</v>
      </c>
      <c r="M21" s="87">
        <f>VLOOKUP($A21,'Data shares'!$C:$FA,97)</f>
        <v>-0.44040000000000001</v>
      </c>
      <c r="N21" s="86">
        <f>VLOOKUP($A21,'Data shares'!$C:$FA,78)</f>
        <v>16820000</v>
      </c>
      <c r="O21" s="87">
        <f>VLOOKUP($A21,'Data shares'!$C:$FA,81)</f>
        <v>-0.56069999999999998</v>
      </c>
    </row>
    <row r="22" spans="1:15" x14ac:dyDescent="0.25">
      <c r="A22" s="100" t="str">
        <f>'Data Vlaue (Cr)'!C17</f>
        <v>ASIANPAINT</v>
      </c>
      <c r="B22" s="82">
        <f>VLOOKUP(A22,'Data shares'!$C$2:$CV$216,98,0)</f>
        <v>14338750</v>
      </c>
      <c r="C22" s="82">
        <f>VLOOKUP(A22,'Data shares'!$C$2:$CX$216,100,0)</f>
        <v>-10942500</v>
      </c>
      <c r="D22" s="141">
        <f>VLOOKUP(A22,'Data shares'!$C$2:$CY$539,101,0)</f>
        <v>-0.43280000000000002</v>
      </c>
      <c r="E22" s="86">
        <f>VLOOKUP($A22,'Data shares'!$C:$FA,74)</f>
        <v>11234000</v>
      </c>
      <c r="F22" s="86">
        <f>VLOOKUP($A22,'Data shares'!$C:$FA,76)</f>
        <v>-1973750</v>
      </c>
      <c r="G22" s="87">
        <f>VLOOKUP(A22,'Data shares'!$C$2:$CA$216,77,0)</f>
        <v>-0.14940000000000001</v>
      </c>
      <c r="H22" s="86">
        <f>VLOOKUP($A22,'Data shares'!$C:$FA,90)</f>
        <v>1842750</v>
      </c>
      <c r="I22" s="86">
        <f>VLOOKUP($A22,'Data shares'!$C:$FA,92)</f>
        <v>-5512250</v>
      </c>
      <c r="J22" s="87">
        <f>VLOOKUP($A22,'Data shares'!$C:$FA,93)</f>
        <v>-0.74950000000000006</v>
      </c>
      <c r="K22" s="86">
        <f>VLOOKUP($A22,'Data shares'!$C:$FA,94)</f>
        <v>1262000</v>
      </c>
      <c r="L22" s="86">
        <f>VLOOKUP($A22,'Data shares'!$C:$FA,96)</f>
        <v>-3456500</v>
      </c>
      <c r="M22" s="87">
        <f>VLOOKUP($A22,'Data shares'!$C:$FA,97)</f>
        <v>-0.73250000000000004</v>
      </c>
      <c r="N22" s="86">
        <f>VLOOKUP($A22,'Data shares'!$C:$FA,78)</f>
        <v>2528750</v>
      </c>
      <c r="O22" s="87">
        <f>VLOOKUP($A22,'Data shares'!$C:$FA,81)</f>
        <v>-0.2369</v>
      </c>
    </row>
    <row r="23" spans="1:15" x14ac:dyDescent="0.25">
      <c r="A23" s="100" t="str">
        <f>'Data Vlaue (Cr)'!C18</f>
        <v>ASTRAL</v>
      </c>
      <c r="B23" s="82">
        <f>VLOOKUP(A23,'Data shares'!$C$2:$CV$216,98,0)</f>
        <v>9464325</v>
      </c>
      <c r="C23" s="82">
        <f>VLOOKUP(A23,'Data shares'!$C$2:$CX$216,100,0)</f>
        <v>-5091500</v>
      </c>
      <c r="D23" s="141">
        <f>VLOOKUP(A23,'Data shares'!$C$2:$CY$539,101,0)</f>
        <v>-0.3498</v>
      </c>
      <c r="E23" s="86">
        <f>VLOOKUP($A23,'Data shares'!$C:$FA,74)</f>
        <v>7250075</v>
      </c>
      <c r="F23" s="86">
        <f>VLOOKUP($A23,'Data shares'!$C:$FA,76)</f>
        <v>-1897625</v>
      </c>
      <c r="G23" s="87">
        <f>VLOOKUP(A23,'Data shares'!$C$2:$CA$216,77,0)</f>
        <v>-0.2074</v>
      </c>
      <c r="H23" s="86">
        <f>VLOOKUP($A23,'Data shares'!$C:$FA,90)</f>
        <v>1410150</v>
      </c>
      <c r="I23" s="86">
        <f>VLOOKUP($A23,'Data shares'!$C:$FA,92)</f>
        <v>-1600550</v>
      </c>
      <c r="J23" s="87">
        <f>VLOOKUP($A23,'Data shares'!$C:$FA,93)</f>
        <v>-0.53159999999999996</v>
      </c>
      <c r="K23" s="86">
        <f>VLOOKUP($A23,'Data shares'!$C:$FA,94)</f>
        <v>804100</v>
      </c>
      <c r="L23" s="86">
        <f>VLOOKUP($A23,'Data shares'!$C:$FA,96)</f>
        <v>-1593325</v>
      </c>
      <c r="M23" s="87">
        <f>VLOOKUP($A23,'Data shares'!$C:$FA,97)</f>
        <v>-0.66459999999999997</v>
      </c>
      <c r="N23" s="86">
        <f>VLOOKUP($A23,'Data shares'!$C:$FA,78)</f>
        <v>1181925</v>
      </c>
      <c r="O23" s="87">
        <f>VLOOKUP($A23,'Data shares'!$C:$FA,81)</f>
        <v>-0.35139999999999999</v>
      </c>
    </row>
    <row r="24" spans="1:15" x14ac:dyDescent="0.25">
      <c r="A24" s="100" t="str">
        <f>'Data Vlaue (Cr)'!C19</f>
        <v>AUBANK</v>
      </c>
      <c r="B24" s="82">
        <f>VLOOKUP(A24,'Data shares'!$C$2:$CV$216,98,0)</f>
        <v>29751000</v>
      </c>
      <c r="C24" s="82">
        <f>VLOOKUP(A24,'Data shares'!$C$2:$CX$216,100,0)</f>
        <v>-9751000</v>
      </c>
      <c r="D24" s="141">
        <f>VLOOKUP(A24,'Data shares'!$C$2:$CY$539,101,0)</f>
        <v>-0.24679999999999999</v>
      </c>
      <c r="E24" s="86">
        <f>VLOOKUP($A24,'Data shares'!$C:$FA,74)</f>
        <v>25261000</v>
      </c>
      <c r="F24" s="86">
        <f>VLOOKUP($A24,'Data shares'!$C:$FA,76)</f>
        <v>-820000</v>
      </c>
      <c r="G24" s="87">
        <f>VLOOKUP(A24,'Data shares'!$C$2:$CA$216,77,0)</f>
        <v>-3.1399999999999997E-2</v>
      </c>
      <c r="H24" s="86">
        <f>VLOOKUP($A24,'Data shares'!$C:$FA,90)</f>
        <v>2196000</v>
      </c>
      <c r="I24" s="86">
        <f>VLOOKUP($A24,'Data shares'!$C:$FA,92)</f>
        <v>-5016000</v>
      </c>
      <c r="J24" s="87">
        <f>VLOOKUP($A24,'Data shares'!$C:$FA,93)</f>
        <v>-0.69550000000000001</v>
      </c>
      <c r="K24" s="86">
        <f>VLOOKUP($A24,'Data shares'!$C:$FA,94)</f>
        <v>2294000</v>
      </c>
      <c r="L24" s="86">
        <f>VLOOKUP($A24,'Data shares'!$C:$FA,96)</f>
        <v>-3915000</v>
      </c>
      <c r="M24" s="87">
        <f>VLOOKUP($A24,'Data shares'!$C:$FA,97)</f>
        <v>-0.63049999999999995</v>
      </c>
      <c r="N24" s="86">
        <f>VLOOKUP($A24,'Data shares'!$C:$FA,78)</f>
        <v>1105000</v>
      </c>
      <c r="O24" s="87">
        <f>VLOOKUP($A24,'Data shares'!$C:$FA,81)</f>
        <v>-0.66190000000000004</v>
      </c>
    </row>
    <row r="25" spans="1:15" x14ac:dyDescent="0.25">
      <c r="A25" s="100" t="str">
        <f>'Data Vlaue (Cr)'!C20</f>
        <v>AUROPHARMA</v>
      </c>
      <c r="B25" s="82">
        <f>VLOOKUP(A25,'Data shares'!$C$2:$CV$216,98,0)</f>
        <v>22388850</v>
      </c>
      <c r="C25" s="82">
        <f>VLOOKUP(A25,'Data shares'!$C$2:$CX$216,100,0)</f>
        <v>-5710100</v>
      </c>
      <c r="D25" s="141">
        <f>VLOOKUP(A25,'Data shares'!$C$2:$CY$539,101,0)</f>
        <v>-0.20319999999999999</v>
      </c>
      <c r="E25" s="86">
        <f>VLOOKUP($A25,'Data shares'!$C:$FA,74)</f>
        <v>18051550</v>
      </c>
      <c r="F25" s="86">
        <f>VLOOKUP($A25,'Data shares'!$C:$FA,76)</f>
        <v>-1423950</v>
      </c>
      <c r="G25" s="87">
        <f>VLOOKUP(A25,'Data shares'!$C$2:$CA$216,77,0)</f>
        <v>-7.3099999999999998E-2</v>
      </c>
      <c r="H25" s="86">
        <f>VLOOKUP($A25,'Data shares'!$C:$FA,90)</f>
        <v>2825900</v>
      </c>
      <c r="I25" s="86">
        <f>VLOOKUP($A25,'Data shares'!$C:$FA,92)</f>
        <v>-2413400</v>
      </c>
      <c r="J25" s="87">
        <f>VLOOKUP($A25,'Data shares'!$C:$FA,93)</f>
        <v>-0.46060000000000001</v>
      </c>
      <c r="K25" s="86">
        <f>VLOOKUP($A25,'Data shares'!$C:$FA,94)</f>
        <v>1511400</v>
      </c>
      <c r="L25" s="86">
        <f>VLOOKUP($A25,'Data shares'!$C:$FA,96)</f>
        <v>-1872750</v>
      </c>
      <c r="M25" s="87">
        <f>VLOOKUP($A25,'Data shares'!$C:$FA,97)</f>
        <v>-0.5534</v>
      </c>
      <c r="N25" s="86">
        <f>VLOOKUP($A25,'Data shares'!$C:$FA,78)</f>
        <v>1676950</v>
      </c>
      <c r="O25" s="87">
        <f>VLOOKUP($A25,'Data shares'!$C:$FA,81)</f>
        <v>-0.31030000000000002</v>
      </c>
    </row>
    <row r="26" spans="1:15" x14ac:dyDescent="0.25">
      <c r="A26" s="100" t="str">
        <f>'Data Vlaue (Cr)'!C21</f>
        <v>AXISBANK</v>
      </c>
      <c r="B26" s="82">
        <f>VLOOKUP(A26,'Data shares'!$C$2:$CV$216,98,0)</f>
        <v>75337500</v>
      </c>
      <c r="C26" s="82">
        <f>VLOOKUP(A26,'Data shares'!$C$2:$CX$216,100,0)</f>
        <v>-27996250</v>
      </c>
      <c r="D26" s="141">
        <f>VLOOKUP(A26,'Data shares'!$C$2:$CY$539,101,0)</f>
        <v>-0.27089999999999997</v>
      </c>
      <c r="E26" s="86">
        <f>VLOOKUP($A26,'Data shares'!$C:$FA,74)</f>
        <v>66494375</v>
      </c>
      <c r="F26" s="86">
        <f>VLOOKUP($A26,'Data shares'!$C:$FA,76)</f>
        <v>-5035625</v>
      </c>
      <c r="G26" s="87">
        <f>VLOOKUP(A26,'Data shares'!$C$2:$CA$216,77,0)</f>
        <v>-7.0400000000000004E-2</v>
      </c>
      <c r="H26" s="86">
        <f>VLOOKUP($A26,'Data shares'!$C:$FA,90)</f>
        <v>4778750</v>
      </c>
      <c r="I26" s="86">
        <f>VLOOKUP($A26,'Data shares'!$C:$FA,92)</f>
        <v>-13593125</v>
      </c>
      <c r="J26" s="87">
        <f>VLOOKUP($A26,'Data shares'!$C:$FA,93)</f>
        <v>-0.7399</v>
      </c>
      <c r="K26" s="86">
        <f>VLOOKUP($A26,'Data shares'!$C:$FA,94)</f>
        <v>4064375</v>
      </c>
      <c r="L26" s="86">
        <f>VLOOKUP($A26,'Data shares'!$C:$FA,96)</f>
        <v>-9367500</v>
      </c>
      <c r="M26" s="87">
        <f>VLOOKUP($A26,'Data shares'!$C:$FA,97)</f>
        <v>-0.69740000000000002</v>
      </c>
      <c r="N26" s="86">
        <f>VLOOKUP($A26,'Data shares'!$C:$FA,78)</f>
        <v>6693125</v>
      </c>
      <c r="O26" s="87">
        <f>VLOOKUP($A26,'Data shares'!$C:$FA,81)</f>
        <v>-0.21510000000000001</v>
      </c>
    </row>
    <row r="27" spans="1:15" x14ac:dyDescent="0.25">
      <c r="A27" s="100" t="str">
        <f>'Data Vlaue (Cr)'!C22</f>
        <v>BAJAJ-AUTO</v>
      </c>
      <c r="B27" s="82">
        <f>VLOOKUP(A27,'Data shares'!$C$2:$CV$216,98,0)</f>
        <v>3618075</v>
      </c>
      <c r="C27" s="82">
        <f>VLOOKUP(A27,'Data shares'!$C$2:$CX$216,100,0)</f>
        <v>-2737500</v>
      </c>
      <c r="D27" s="141">
        <f>VLOOKUP(A27,'Data shares'!$C$2:$CY$539,101,0)</f>
        <v>-0.43070000000000003</v>
      </c>
      <c r="E27" s="86">
        <f>VLOOKUP($A27,'Data shares'!$C:$FA,74)</f>
        <v>2410575</v>
      </c>
      <c r="F27" s="86">
        <f>VLOOKUP($A27,'Data shares'!$C:$FA,76)</f>
        <v>-351150</v>
      </c>
      <c r="G27" s="87">
        <f>VLOOKUP(A27,'Data shares'!$C$2:$CA$216,77,0)</f>
        <v>-0.12709999999999999</v>
      </c>
      <c r="H27" s="86">
        <f>VLOOKUP($A27,'Data shares'!$C:$FA,90)</f>
        <v>826500</v>
      </c>
      <c r="I27" s="86">
        <f>VLOOKUP($A27,'Data shares'!$C:$FA,92)</f>
        <v>-1415775</v>
      </c>
      <c r="J27" s="87">
        <f>VLOOKUP($A27,'Data shares'!$C:$FA,93)</f>
        <v>-0.63139999999999996</v>
      </c>
      <c r="K27" s="86">
        <f>VLOOKUP($A27,'Data shares'!$C:$FA,94)</f>
        <v>381000</v>
      </c>
      <c r="L27" s="86">
        <f>VLOOKUP($A27,'Data shares'!$C:$FA,96)</f>
        <v>-970575</v>
      </c>
      <c r="M27" s="87">
        <f>VLOOKUP($A27,'Data shares'!$C:$FA,97)</f>
        <v>-0.71809999999999996</v>
      </c>
      <c r="N27" s="86">
        <f>VLOOKUP($A27,'Data shares'!$C:$FA,78)</f>
        <v>469950</v>
      </c>
      <c r="O27" s="87">
        <f>VLOOKUP($A27,'Data shares'!$C:$FA,81)</f>
        <v>-0.37259999999999999</v>
      </c>
    </row>
    <row r="28" spans="1:15" x14ac:dyDescent="0.25">
      <c r="A28" s="100" t="str">
        <f>'Data Vlaue (Cr)'!C23</f>
        <v>BAJAJFINSV</v>
      </c>
      <c r="B28" s="82">
        <f>VLOOKUP(A28,'Data shares'!$C$2:$CV$216,98,0)</f>
        <v>14065650</v>
      </c>
      <c r="C28" s="82">
        <f>VLOOKUP(A28,'Data shares'!$C$2:$CX$216,100,0)</f>
        <v>-7890950</v>
      </c>
      <c r="D28" s="141">
        <f>VLOOKUP(A28,'Data shares'!$C$2:$CY$539,101,0)</f>
        <v>-0.3594</v>
      </c>
      <c r="E28" s="86">
        <f>VLOOKUP($A28,'Data shares'!$C:$FA,74)</f>
        <v>11029800</v>
      </c>
      <c r="F28" s="86">
        <f>VLOOKUP($A28,'Data shares'!$C:$FA,76)</f>
        <v>-1050050</v>
      </c>
      <c r="G28" s="87">
        <f>VLOOKUP(A28,'Data shares'!$C$2:$CA$216,77,0)</f>
        <v>-8.6900000000000005E-2</v>
      </c>
      <c r="H28" s="86">
        <f>VLOOKUP($A28,'Data shares'!$C:$FA,90)</f>
        <v>1418250</v>
      </c>
      <c r="I28" s="86">
        <f>VLOOKUP($A28,'Data shares'!$C:$FA,92)</f>
        <v>-4824750</v>
      </c>
      <c r="J28" s="87">
        <f>VLOOKUP($A28,'Data shares'!$C:$FA,93)</f>
        <v>-0.77280000000000004</v>
      </c>
      <c r="K28" s="86">
        <f>VLOOKUP($A28,'Data shares'!$C:$FA,94)</f>
        <v>1617600</v>
      </c>
      <c r="L28" s="86">
        <f>VLOOKUP($A28,'Data shares'!$C:$FA,96)</f>
        <v>-2016150</v>
      </c>
      <c r="M28" s="87">
        <f>VLOOKUP($A28,'Data shares'!$C:$FA,97)</f>
        <v>-0.55479999999999996</v>
      </c>
      <c r="N28" s="86">
        <f>VLOOKUP($A28,'Data shares'!$C:$FA,78)</f>
        <v>1613750</v>
      </c>
      <c r="O28" s="87">
        <f>VLOOKUP($A28,'Data shares'!$C:$FA,81)</f>
        <v>-5.8400000000000001E-2</v>
      </c>
    </row>
    <row r="29" spans="1:15" x14ac:dyDescent="0.25">
      <c r="A29" s="100" t="str">
        <f>'Data Vlaue (Cr)'!C24</f>
        <v>BAJAJHLDNG</v>
      </c>
      <c r="B29" s="82">
        <f>VLOOKUP(A29,'Data shares'!$C$2:$CV$216,98,0)</f>
        <v>303650</v>
      </c>
      <c r="C29" s="82">
        <f>VLOOKUP(A29,'Data shares'!$C$2:$CX$216,100,0)</f>
        <v>-135300</v>
      </c>
      <c r="D29" s="141">
        <f>VLOOKUP(A29,'Data shares'!$C$2:$CY$539,101,0)</f>
        <v>-0.30819999999999997</v>
      </c>
      <c r="E29" s="86">
        <f>VLOOKUP($A29,'Data shares'!$C:$FA,74)</f>
        <v>273750</v>
      </c>
      <c r="F29" s="86">
        <f>VLOOKUP($A29,'Data shares'!$C:$FA,76)</f>
        <v>-29050</v>
      </c>
      <c r="G29" s="87">
        <f>VLOOKUP(A29,'Data shares'!$C$2:$CA$216,77,0)</f>
        <v>-9.5899999999999999E-2</v>
      </c>
      <c r="H29" s="86">
        <f>VLOOKUP($A29,'Data shares'!$C:$FA,90)</f>
        <v>17450</v>
      </c>
      <c r="I29" s="86">
        <f>VLOOKUP($A29,'Data shares'!$C:$FA,92)</f>
        <v>-67650</v>
      </c>
      <c r="J29" s="87">
        <f>VLOOKUP($A29,'Data shares'!$C:$FA,93)</f>
        <v>-0.79490000000000005</v>
      </c>
      <c r="K29" s="86">
        <f>VLOOKUP($A29,'Data shares'!$C:$FA,94)</f>
        <v>12450</v>
      </c>
      <c r="L29" s="86">
        <f>VLOOKUP($A29,'Data shares'!$C:$FA,96)</f>
        <v>-38600</v>
      </c>
      <c r="M29" s="87">
        <f>VLOOKUP($A29,'Data shares'!$C:$FA,97)</f>
        <v>-0.75609999999999999</v>
      </c>
      <c r="N29" s="86">
        <f>VLOOKUP($A29,'Data shares'!$C:$FA,78)</f>
        <v>42700</v>
      </c>
      <c r="O29" s="87">
        <f>VLOOKUP($A29,'Data shares'!$C:$FA,81)</f>
        <v>-0.34</v>
      </c>
    </row>
    <row r="30" spans="1:15" x14ac:dyDescent="0.25">
      <c r="A30" s="100" t="str">
        <f>'Data Vlaue (Cr)'!C25</f>
        <v>BAJFINANCE</v>
      </c>
      <c r="B30" s="82">
        <f>VLOOKUP(A30,'Data shares'!$C$2:$CV$216,98,0)</f>
        <v>88527000</v>
      </c>
      <c r="C30" s="82">
        <f>VLOOKUP(A30,'Data shares'!$C$2:$CX$216,100,0)</f>
        <v>-15171000</v>
      </c>
      <c r="D30" s="141">
        <f>VLOOKUP(A30,'Data shares'!$C$2:$CY$539,101,0)</f>
        <v>-0.14630000000000001</v>
      </c>
      <c r="E30" s="86">
        <f>VLOOKUP($A30,'Data shares'!$C:$FA,74)</f>
        <v>73353000</v>
      </c>
      <c r="F30" s="86">
        <f>VLOOKUP($A30,'Data shares'!$C:$FA,76)</f>
        <v>459750</v>
      </c>
      <c r="G30" s="87">
        <f>VLOOKUP(A30,'Data shares'!$C$2:$CA$216,77,0)</f>
        <v>6.3E-3</v>
      </c>
      <c r="H30" s="86">
        <f>VLOOKUP($A30,'Data shares'!$C:$FA,90)</f>
        <v>7968750</v>
      </c>
      <c r="I30" s="86">
        <f>VLOOKUP($A30,'Data shares'!$C:$FA,92)</f>
        <v>-9683250</v>
      </c>
      <c r="J30" s="87">
        <f>VLOOKUP($A30,'Data shares'!$C:$FA,93)</f>
        <v>-0.54859999999999998</v>
      </c>
      <c r="K30" s="86">
        <f>VLOOKUP($A30,'Data shares'!$C:$FA,94)</f>
        <v>7205250</v>
      </c>
      <c r="L30" s="86">
        <f>VLOOKUP($A30,'Data shares'!$C:$FA,96)</f>
        <v>-5947500</v>
      </c>
      <c r="M30" s="87">
        <f>VLOOKUP($A30,'Data shares'!$C:$FA,97)</f>
        <v>-0.45219999999999999</v>
      </c>
      <c r="N30" s="86">
        <f>VLOOKUP($A30,'Data shares'!$C:$FA,78)</f>
        <v>1193250</v>
      </c>
      <c r="O30" s="87">
        <f>VLOOKUP($A30,'Data shares'!$C:$FA,81)</f>
        <v>-0.53979999999999995</v>
      </c>
    </row>
    <row r="31" spans="1:15" x14ac:dyDescent="0.25">
      <c r="A31" s="100" t="str">
        <f>'Data Vlaue (Cr)'!C26</f>
        <v>BANDHANBNK</v>
      </c>
      <c r="B31" s="82">
        <f>VLOOKUP(A31,'Data shares'!$C$2:$CV$216,98,0)</f>
        <v>133142400</v>
      </c>
      <c r="C31" s="82">
        <f>VLOOKUP(A31,'Data shares'!$C$2:$CX$216,100,0)</f>
        <v>-30398400</v>
      </c>
      <c r="D31" s="141">
        <f>VLOOKUP(A31,'Data shares'!$C$2:$CY$539,101,0)</f>
        <v>-0.18590000000000001</v>
      </c>
      <c r="E31" s="86">
        <f>VLOOKUP($A31,'Data shares'!$C:$FA,74)</f>
        <v>103518000</v>
      </c>
      <c r="F31" s="86">
        <f>VLOOKUP($A31,'Data shares'!$C:$FA,76)</f>
        <v>2037600</v>
      </c>
      <c r="G31" s="87">
        <f>VLOOKUP(A31,'Data shares'!$C$2:$CA$216,77,0)</f>
        <v>2.01E-2</v>
      </c>
      <c r="H31" s="86">
        <f>VLOOKUP($A31,'Data shares'!$C:$FA,90)</f>
        <v>18453600</v>
      </c>
      <c r="I31" s="86">
        <f>VLOOKUP($A31,'Data shares'!$C:$FA,92)</f>
        <v>-19015200</v>
      </c>
      <c r="J31" s="87">
        <f>VLOOKUP($A31,'Data shares'!$C:$FA,93)</f>
        <v>-0.50749999999999995</v>
      </c>
      <c r="K31" s="86">
        <f>VLOOKUP($A31,'Data shares'!$C:$FA,94)</f>
        <v>11170800</v>
      </c>
      <c r="L31" s="86">
        <f>VLOOKUP($A31,'Data shares'!$C:$FA,96)</f>
        <v>-13420800</v>
      </c>
      <c r="M31" s="87">
        <f>VLOOKUP($A31,'Data shares'!$C:$FA,97)</f>
        <v>-0.54569999999999996</v>
      </c>
      <c r="N31" s="86">
        <f>VLOOKUP($A31,'Data shares'!$C:$FA,78)</f>
        <v>3412800</v>
      </c>
      <c r="O31" s="87">
        <f>VLOOKUP($A31,'Data shares'!$C:$FA,81)</f>
        <v>-0.68759999999999999</v>
      </c>
    </row>
    <row r="32" spans="1:15" x14ac:dyDescent="0.25">
      <c r="A32" s="100" t="str">
        <f>'Data Vlaue (Cr)'!C27</f>
        <v>BANKBARODA</v>
      </c>
      <c r="B32" s="82">
        <f>VLOOKUP(A32,'Data shares'!$C$2:$CV$216,98,0)</f>
        <v>156695175</v>
      </c>
      <c r="C32" s="82">
        <f>VLOOKUP(A32,'Data shares'!$C$2:$CX$216,100,0)</f>
        <v>-58646250</v>
      </c>
      <c r="D32" s="141">
        <f>VLOOKUP(A32,'Data shares'!$C$2:$CY$539,101,0)</f>
        <v>-0.27229999999999999</v>
      </c>
      <c r="E32" s="86">
        <f>VLOOKUP($A32,'Data shares'!$C:$FA,74)</f>
        <v>118860300</v>
      </c>
      <c r="F32" s="86">
        <f>VLOOKUP($A32,'Data shares'!$C:$FA,76)</f>
        <v>-12855375</v>
      </c>
      <c r="G32" s="87">
        <f>VLOOKUP(A32,'Data shares'!$C$2:$CA$216,77,0)</f>
        <v>-9.7600000000000006E-2</v>
      </c>
      <c r="H32" s="86">
        <f>VLOOKUP($A32,'Data shares'!$C:$FA,90)</f>
        <v>16880175</v>
      </c>
      <c r="I32" s="86">
        <f>VLOOKUP($A32,'Data shares'!$C:$FA,92)</f>
        <v>-27237600</v>
      </c>
      <c r="J32" s="87">
        <f>VLOOKUP($A32,'Data shares'!$C:$FA,93)</f>
        <v>-0.61739999999999995</v>
      </c>
      <c r="K32" s="86">
        <f>VLOOKUP($A32,'Data shares'!$C:$FA,94)</f>
        <v>20954700</v>
      </c>
      <c r="L32" s="86">
        <f>VLOOKUP($A32,'Data shares'!$C:$FA,96)</f>
        <v>-18553275</v>
      </c>
      <c r="M32" s="87">
        <f>VLOOKUP($A32,'Data shares'!$C:$FA,97)</f>
        <v>-0.46960000000000002</v>
      </c>
      <c r="N32" s="86">
        <f>VLOOKUP($A32,'Data shares'!$C:$FA,78)</f>
        <v>14332500</v>
      </c>
      <c r="O32" s="87">
        <f>VLOOKUP($A32,'Data shares'!$C:$FA,81)</f>
        <v>-0.43459999999999999</v>
      </c>
    </row>
    <row r="33" spans="1:15" x14ac:dyDescent="0.25">
      <c r="A33" s="100" t="str">
        <f>'Data Vlaue (Cr)'!C28</f>
        <v>BANKINDIA</v>
      </c>
      <c r="B33" s="82">
        <f>VLOOKUP(A33,'Data shares'!$C$2:$CV$216,98,0)</f>
        <v>81338400</v>
      </c>
      <c r="C33" s="82">
        <f>VLOOKUP(A33,'Data shares'!$C$2:$CX$216,100,0)</f>
        <v>-39655200</v>
      </c>
      <c r="D33" s="141">
        <f>VLOOKUP(A33,'Data shares'!$C$2:$CY$539,101,0)</f>
        <v>-0.32769999999999999</v>
      </c>
      <c r="E33" s="86">
        <f>VLOOKUP($A33,'Data shares'!$C:$FA,74)</f>
        <v>62597600</v>
      </c>
      <c r="F33" s="86">
        <f>VLOOKUP($A33,'Data shares'!$C:$FA,76)</f>
        <v>-12230400</v>
      </c>
      <c r="G33" s="87">
        <f>VLOOKUP(A33,'Data shares'!$C$2:$CA$216,77,0)</f>
        <v>-0.16339999999999999</v>
      </c>
      <c r="H33" s="86">
        <f>VLOOKUP($A33,'Data shares'!$C:$FA,90)</f>
        <v>10020400</v>
      </c>
      <c r="I33" s="86">
        <f>VLOOKUP($A33,'Data shares'!$C:$FA,92)</f>
        <v>-17508400</v>
      </c>
      <c r="J33" s="87">
        <f>VLOOKUP($A33,'Data shares'!$C:$FA,93)</f>
        <v>-0.63600000000000001</v>
      </c>
      <c r="K33" s="86">
        <f>VLOOKUP($A33,'Data shares'!$C:$FA,94)</f>
        <v>8720400</v>
      </c>
      <c r="L33" s="86">
        <f>VLOOKUP($A33,'Data shares'!$C:$FA,96)</f>
        <v>-9916400</v>
      </c>
      <c r="M33" s="87">
        <f>VLOOKUP($A33,'Data shares'!$C:$FA,97)</f>
        <v>-0.53210000000000002</v>
      </c>
      <c r="N33" s="86">
        <f>VLOOKUP($A33,'Data shares'!$C:$FA,78)</f>
        <v>9365200</v>
      </c>
      <c r="O33" s="87">
        <f>VLOOKUP($A33,'Data shares'!$C:$FA,81)</f>
        <v>-0.45179999999999998</v>
      </c>
    </row>
    <row r="34" spans="1:15" x14ac:dyDescent="0.25">
      <c r="A34" s="100" t="str">
        <f>'Data Vlaue (Cr)'!C29</f>
        <v>BANKNIFTY</v>
      </c>
      <c r="B34" s="82">
        <f>VLOOKUP(A34,'Data shares'!$C$2:$CV$216,98,0)</f>
        <v>21005910</v>
      </c>
      <c r="C34" s="82">
        <f>VLOOKUP(A34,'Data shares'!$C$2:$CX$216,100,0)</f>
        <v>-33463380</v>
      </c>
      <c r="D34" s="141">
        <f>VLOOKUP(A34,'Data shares'!$C$2:$CY$539,101,0)</f>
        <v>-0.61439999999999995</v>
      </c>
      <c r="E34" s="86">
        <f>VLOOKUP($A34,'Data shares'!$C:$FA,74)</f>
        <v>2528250</v>
      </c>
      <c r="F34" s="86">
        <f>VLOOKUP($A34,'Data shares'!$C:$FA,76)</f>
        <v>-628380</v>
      </c>
      <c r="G34" s="87">
        <f>VLOOKUP(A34,'Data shares'!$C$2:$CA$216,77,0)</f>
        <v>-0.1991</v>
      </c>
      <c r="H34" s="86">
        <f>VLOOKUP($A34,'Data shares'!$C:$FA,90)</f>
        <v>9314040</v>
      </c>
      <c r="I34" s="86">
        <f>VLOOKUP($A34,'Data shares'!$C:$FA,92)</f>
        <v>-16504620</v>
      </c>
      <c r="J34" s="87">
        <f>VLOOKUP($A34,'Data shares'!$C:$FA,93)</f>
        <v>-0.63929999999999998</v>
      </c>
      <c r="K34" s="86">
        <f>VLOOKUP($A34,'Data shares'!$C:$FA,94)</f>
        <v>9163620</v>
      </c>
      <c r="L34" s="86">
        <f>VLOOKUP($A34,'Data shares'!$C:$FA,96)</f>
        <v>-16330380</v>
      </c>
      <c r="M34" s="87">
        <f>VLOOKUP($A34,'Data shares'!$C:$FA,97)</f>
        <v>-0.64059999999999995</v>
      </c>
      <c r="N34" s="86">
        <f>VLOOKUP($A34,'Data shares'!$C:$FA,78)</f>
        <v>827490</v>
      </c>
      <c r="O34" s="87">
        <f>VLOOKUP($A34,'Data shares'!$C:$FA,81)</f>
        <v>-0.27950000000000003</v>
      </c>
    </row>
    <row r="35" spans="1:15" x14ac:dyDescent="0.25">
      <c r="A35" s="100" t="str">
        <f>'Data Vlaue (Cr)'!C30</f>
        <v>BDL</v>
      </c>
      <c r="B35" s="82">
        <f>VLOOKUP(A35,'Data shares'!$C$2:$CV$216,98,0)</f>
        <v>5612825</v>
      </c>
      <c r="C35" s="82">
        <f>VLOOKUP(A35,'Data shares'!$C$2:$CX$216,100,0)</f>
        <v>-4111800</v>
      </c>
      <c r="D35" s="141">
        <f>VLOOKUP(A35,'Data shares'!$C$2:$CY$539,101,0)</f>
        <v>-0.42280000000000001</v>
      </c>
      <c r="E35" s="86">
        <f>VLOOKUP($A35,'Data shares'!$C:$FA,74)</f>
        <v>3314925</v>
      </c>
      <c r="F35" s="86">
        <f>VLOOKUP($A35,'Data shares'!$C:$FA,76)</f>
        <v>-518000</v>
      </c>
      <c r="G35" s="87">
        <f>VLOOKUP(A35,'Data shares'!$C$2:$CA$216,77,0)</f>
        <v>-0.1351</v>
      </c>
      <c r="H35" s="86">
        <f>VLOOKUP($A35,'Data shares'!$C:$FA,90)</f>
        <v>1320000</v>
      </c>
      <c r="I35" s="86">
        <f>VLOOKUP($A35,'Data shares'!$C:$FA,92)</f>
        <v>-2507400</v>
      </c>
      <c r="J35" s="87">
        <f>VLOOKUP($A35,'Data shares'!$C:$FA,93)</f>
        <v>-0.65510000000000002</v>
      </c>
      <c r="K35" s="86">
        <f>VLOOKUP($A35,'Data shares'!$C:$FA,94)</f>
        <v>977900</v>
      </c>
      <c r="L35" s="86">
        <f>VLOOKUP($A35,'Data shares'!$C:$FA,96)</f>
        <v>-1086400</v>
      </c>
      <c r="M35" s="87">
        <f>VLOOKUP($A35,'Data shares'!$C:$FA,97)</f>
        <v>-0.52629999999999999</v>
      </c>
      <c r="N35" s="86">
        <f>VLOOKUP($A35,'Data shares'!$C:$FA,78)</f>
        <v>406700</v>
      </c>
      <c r="O35" s="87">
        <f>VLOOKUP($A35,'Data shares'!$C:$FA,81)</f>
        <v>-0.4854</v>
      </c>
    </row>
    <row r="36" spans="1:15" x14ac:dyDescent="0.25">
      <c r="A36" s="100" t="str">
        <f>'Data Vlaue (Cr)'!C31</f>
        <v>BEL</v>
      </c>
      <c r="B36" s="82">
        <f>VLOOKUP(A36,'Data shares'!$C$2:$CV$216,98,0)</f>
        <v>153047850</v>
      </c>
      <c r="C36" s="82">
        <f>VLOOKUP(A36,'Data shares'!$C$2:$CX$216,100,0)</f>
        <v>-58872450</v>
      </c>
      <c r="D36" s="141">
        <f>VLOOKUP(A36,'Data shares'!$C$2:$CY$539,101,0)</f>
        <v>-0.27779999999999999</v>
      </c>
      <c r="E36" s="86">
        <f>VLOOKUP($A36,'Data shares'!$C:$FA,74)</f>
        <v>108348450</v>
      </c>
      <c r="F36" s="86">
        <f>VLOOKUP($A36,'Data shares'!$C:$FA,76)</f>
        <v>-7833225</v>
      </c>
      <c r="G36" s="87">
        <f>VLOOKUP(A36,'Data shares'!$C$2:$CA$216,77,0)</f>
        <v>-6.7400000000000002E-2</v>
      </c>
      <c r="H36" s="86">
        <f>VLOOKUP($A36,'Data shares'!$C:$FA,90)</f>
        <v>24702375</v>
      </c>
      <c r="I36" s="86">
        <f>VLOOKUP($A36,'Data shares'!$C:$FA,92)</f>
        <v>-36316125</v>
      </c>
      <c r="J36" s="87">
        <f>VLOOKUP($A36,'Data shares'!$C:$FA,93)</f>
        <v>-0.59519999999999995</v>
      </c>
      <c r="K36" s="86">
        <f>VLOOKUP($A36,'Data shares'!$C:$FA,94)</f>
        <v>19997025</v>
      </c>
      <c r="L36" s="86">
        <f>VLOOKUP($A36,'Data shares'!$C:$FA,96)</f>
        <v>-14723100</v>
      </c>
      <c r="M36" s="87">
        <f>VLOOKUP($A36,'Data shares'!$C:$FA,97)</f>
        <v>-0.42409999999999998</v>
      </c>
      <c r="N36" s="86">
        <f>VLOOKUP($A36,'Data shares'!$C:$FA,78)</f>
        <v>7938675</v>
      </c>
      <c r="O36" s="87">
        <f>VLOOKUP($A36,'Data shares'!$C:$FA,81)</f>
        <v>-0.67430000000000001</v>
      </c>
    </row>
    <row r="37" spans="1:15" x14ac:dyDescent="0.25">
      <c r="A37" s="100" t="str">
        <f>'Data Vlaue (Cr)'!C32</f>
        <v>BHARATFORG</v>
      </c>
      <c r="B37" s="82">
        <f>VLOOKUP(A37,'Data shares'!$C$2:$CV$216,98,0)</f>
        <v>8602000</v>
      </c>
      <c r="C37" s="82">
        <f>VLOOKUP(A37,'Data shares'!$C$2:$CX$216,100,0)</f>
        <v>-4751500</v>
      </c>
      <c r="D37" s="141">
        <f>VLOOKUP(A37,'Data shares'!$C$2:$CY$539,101,0)</f>
        <v>-0.35580000000000001</v>
      </c>
      <c r="E37" s="86">
        <f>VLOOKUP($A37,'Data shares'!$C:$FA,74)</f>
        <v>6855000</v>
      </c>
      <c r="F37" s="86">
        <f>VLOOKUP($A37,'Data shares'!$C:$FA,76)</f>
        <v>-461500</v>
      </c>
      <c r="G37" s="87">
        <f>VLOOKUP(A37,'Data shares'!$C$2:$CA$216,77,0)</f>
        <v>-6.3100000000000003E-2</v>
      </c>
      <c r="H37" s="86">
        <f>VLOOKUP($A37,'Data shares'!$C:$FA,90)</f>
        <v>982500</v>
      </c>
      <c r="I37" s="86">
        <f>VLOOKUP($A37,'Data shares'!$C:$FA,92)</f>
        <v>-2618000</v>
      </c>
      <c r="J37" s="87">
        <f>VLOOKUP($A37,'Data shares'!$C:$FA,93)</f>
        <v>-0.72709999999999997</v>
      </c>
      <c r="K37" s="86">
        <f>VLOOKUP($A37,'Data shares'!$C:$FA,94)</f>
        <v>764500</v>
      </c>
      <c r="L37" s="86">
        <f>VLOOKUP($A37,'Data shares'!$C:$FA,96)</f>
        <v>-1672000</v>
      </c>
      <c r="M37" s="87">
        <f>VLOOKUP($A37,'Data shares'!$C:$FA,97)</f>
        <v>-0.68620000000000003</v>
      </c>
      <c r="N37" s="86">
        <f>VLOOKUP($A37,'Data shares'!$C:$FA,78)</f>
        <v>526000</v>
      </c>
      <c r="O37" s="87">
        <f>VLOOKUP($A37,'Data shares'!$C:$FA,81)</f>
        <v>-0.49740000000000001</v>
      </c>
    </row>
    <row r="38" spans="1:15" x14ac:dyDescent="0.25">
      <c r="A38" s="100" t="str">
        <f>'Data Vlaue (Cr)'!C33</f>
        <v>BHARTIARTL</v>
      </c>
      <c r="B38" s="82">
        <f>VLOOKUP(A38,'Data shares'!$C$2:$CV$216,98,0)</f>
        <v>69046000</v>
      </c>
      <c r="C38" s="82">
        <f>VLOOKUP(A38,'Data shares'!$C$2:$CX$216,100,0)</f>
        <v>-24942250</v>
      </c>
      <c r="D38" s="141">
        <f>VLOOKUP(A38,'Data shares'!$C$2:$CY$539,101,0)</f>
        <v>-0.26540000000000002</v>
      </c>
      <c r="E38" s="86">
        <f>VLOOKUP($A38,'Data shares'!$C:$FA,74)</f>
        <v>57618450</v>
      </c>
      <c r="F38" s="86">
        <f>VLOOKUP($A38,'Data shares'!$C:$FA,76)</f>
        <v>23750</v>
      </c>
      <c r="G38" s="87">
        <f>VLOOKUP(A38,'Data shares'!$C$2:$CA$216,77,0)</f>
        <v>4.0000000000000002E-4</v>
      </c>
      <c r="H38" s="86">
        <f>VLOOKUP($A38,'Data shares'!$C:$FA,90)</f>
        <v>7433750</v>
      </c>
      <c r="I38" s="86">
        <f>VLOOKUP($A38,'Data shares'!$C:$FA,92)</f>
        <v>-16613600</v>
      </c>
      <c r="J38" s="87">
        <f>VLOOKUP($A38,'Data shares'!$C:$FA,93)</f>
        <v>-0.69089999999999996</v>
      </c>
      <c r="K38" s="86">
        <f>VLOOKUP($A38,'Data shares'!$C:$FA,94)</f>
        <v>3993800</v>
      </c>
      <c r="L38" s="86">
        <f>VLOOKUP($A38,'Data shares'!$C:$FA,96)</f>
        <v>-8352400</v>
      </c>
      <c r="M38" s="87">
        <f>VLOOKUP($A38,'Data shares'!$C:$FA,97)</f>
        <v>-0.67649999999999999</v>
      </c>
      <c r="N38" s="86">
        <f>VLOOKUP($A38,'Data shares'!$C:$FA,78)</f>
        <v>4581850</v>
      </c>
      <c r="O38" s="87">
        <f>VLOOKUP($A38,'Data shares'!$C:$FA,81)</f>
        <v>-0.13339999999999999</v>
      </c>
    </row>
    <row r="39" spans="1:15" x14ac:dyDescent="0.25">
      <c r="A39" s="100" t="str">
        <f>'Data Vlaue (Cr)'!C34</f>
        <v>BHEL</v>
      </c>
      <c r="B39" s="82">
        <f>VLOOKUP(A39,'Data shares'!$C$2:$CV$216,98,0)</f>
        <v>158497500</v>
      </c>
      <c r="C39" s="82">
        <f>VLOOKUP(A39,'Data shares'!$C$2:$CX$216,100,0)</f>
        <v>-62740125</v>
      </c>
      <c r="D39" s="141">
        <f>VLOOKUP(A39,'Data shares'!$C$2:$CY$539,101,0)</f>
        <v>-0.28360000000000002</v>
      </c>
      <c r="E39" s="86">
        <f>VLOOKUP($A39,'Data shares'!$C:$FA,74)</f>
        <v>121831500</v>
      </c>
      <c r="F39" s="86">
        <f>VLOOKUP($A39,'Data shares'!$C:$FA,76)</f>
        <v>-9321375</v>
      </c>
      <c r="G39" s="87">
        <f>VLOOKUP(A39,'Data shares'!$C$2:$CA$216,77,0)</f>
        <v>-7.1099999999999997E-2</v>
      </c>
      <c r="H39" s="86">
        <f>VLOOKUP($A39,'Data shares'!$C:$FA,90)</f>
        <v>22126125</v>
      </c>
      <c r="I39" s="86">
        <f>VLOOKUP($A39,'Data shares'!$C:$FA,92)</f>
        <v>-27433875</v>
      </c>
      <c r="J39" s="87">
        <f>VLOOKUP($A39,'Data shares'!$C:$FA,93)</f>
        <v>-0.55349999999999999</v>
      </c>
      <c r="K39" s="86">
        <f>VLOOKUP($A39,'Data shares'!$C:$FA,94)</f>
        <v>14539875</v>
      </c>
      <c r="L39" s="86">
        <f>VLOOKUP($A39,'Data shares'!$C:$FA,96)</f>
        <v>-25984875</v>
      </c>
      <c r="M39" s="87">
        <f>VLOOKUP($A39,'Data shares'!$C:$FA,97)</f>
        <v>-0.64119999999999999</v>
      </c>
      <c r="N39" s="86">
        <f>VLOOKUP($A39,'Data shares'!$C:$FA,78)</f>
        <v>11082750</v>
      </c>
      <c r="O39" s="87">
        <f>VLOOKUP($A39,'Data shares'!$C:$FA,81)</f>
        <v>-0.47349999999999998</v>
      </c>
    </row>
    <row r="40" spans="1:15" x14ac:dyDescent="0.25">
      <c r="A40" s="100" t="str">
        <f>'Data Vlaue (Cr)'!C35</f>
        <v>BIOCON</v>
      </c>
      <c r="B40" s="82">
        <f>VLOOKUP(A40,'Data shares'!$C$2:$CV$216,98,0)</f>
        <v>56305000</v>
      </c>
      <c r="C40" s="82">
        <f>VLOOKUP(A40,'Data shares'!$C$2:$CX$216,100,0)</f>
        <v>-29687500</v>
      </c>
      <c r="D40" s="141">
        <f>VLOOKUP(A40,'Data shares'!$C$2:$CY$539,101,0)</f>
        <v>-0.34520000000000001</v>
      </c>
      <c r="E40" s="86">
        <f>VLOOKUP($A40,'Data shares'!$C:$FA,74)</f>
        <v>40112500</v>
      </c>
      <c r="F40" s="86">
        <f>VLOOKUP($A40,'Data shares'!$C:$FA,76)</f>
        <v>-892500</v>
      </c>
      <c r="G40" s="87">
        <f>VLOOKUP(A40,'Data shares'!$C$2:$CA$216,77,0)</f>
        <v>-2.18E-2</v>
      </c>
      <c r="H40" s="86">
        <f>VLOOKUP($A40,'Data shares'!$C:$FA,90)</f>
        <v>9782500</v>
      </c>
      <c r="I40" s="86">
        <f>VLOOKUP($A40,'Data shares'!$C:$FA,92)</f>
        <v>-14717500</v>
      </c>
      <c r="J40" s="87">
        <f>VLOOKUP($A40,'Data shares'!$C:$FA,93)</f>
        <v>-0.60070000000000001</v>
      </c>
      <c r="K40" s="86">
        <f>VLOOKUP($A40,'Data shares'!$C:$FA,94)</f>
        <v>6410000</v>
      </c>
      <c r="L40" s="86">
        <f>VLOOKUP($A40,'Data shares'!$C:$FA,96)</f>
        <v>-14077500</v>
      </c>
      <c r="M40" s="87">
        <f>VLOOKUP($A40,'Data shares'!$C:$FA,97)</f>
        <v>-0.68710000000000004</v>
      </c>
      <c r="N40" s="86">
        <f>VLOOKUP($A40,'Data shares'!$C:$FA,78)</f>
        <v>2785000</v>
      </c>
      <c r="O40" s="87">
        <f>VLOOKUP($A40,'Data shares'!$C:$FA,81)</f>
        <v>-0.5171</v>
      </c>
    </row>
    <row r="41" spans="1:15" x14ac:dyDescent="0.25">
      <c r="A41" s="100" t="str">
        <f>'Data Vlaue (Cr)'!C36</f>
        <v>BLUESTARCO</v>
      </c>
      <c r="B41" s="82">
        <f>VLOOKUP(A41,'Data shares'!$C$2:$CV$216,98,0)</f>
        <v>3802175</v>
      </c>
      <c r="C41" s="82">
        <f>VLOOKUP(A41,'Data shares'!$C$2:$CX$216,100,0)</f>
        <v>-3393000</v>
      </c>
      <c r="D41" s="141">
        <f>VLOOKUP(A41,'Data shares'!$C$2:$CY$539,101,0)</f>
        <v>-0.47160000000000002</v>
      </c>
      <c r="E41" s="86">
        <f>VLOOKUP($A41,'Data shares'!$C:$FA,74)</f>
        <v>2878850</v>
      </c>
      <c r="F41" s="86">
        <f>VLOOKUP($A41,'Data shares'!$C:$FA,76)</f>
        <v>-411775</v>
      </c>
      <c r="G41" s="87">
        <f>VLOOKUP(A41,'Data shares'!$C$2:$CA$216,77,0)</f>
        <v>-0.12509999999999999</v>
      </c>
      <c r="H41" s="86">
        <f>VLOOKUP($A41,'Data shares'!$C:$FA,90)</f>
        <v>529425</v>
      </c>
      <c r="I41" s="86">
        <f>VLOOKUP($A41,'Data shares'!$C:$FA,92)</f>
        <v>-1979575</v>
      </c>
      <c r="J41" s="87">
        <f>VLOOKUP($A41,'Data shares'!$C:$FA,93)</f>
        <v>-0.78900000000000003</v>
      </c>
      <c r="K41" s="86">
        <f>VLOOKUP($A41,'Data shares'!$C:$FA,94)</f>
        <v>393900</v>
      </c>
      <c r="L41" s="86">
        <f>VLOOKUP($A41,'Data shares'!$C:$FA,96)</f>
        <v>-1001650</v>
      </c>
      <c r="M41" s="87">
        <f>VLOOKUP($A41,'Data shares'!$C:$FA,97)</f>
        <v>-0.7177</v>
      </c>
      <c r="N41" s="86">
        <f>VLOOKUP($A41,'Data shares'!$C:$FA,78)</f>
        <v>488475</v>
      </c>
      <c r="O41" s="87">
        <f>VLOOKUP($A41,'Data shares'!$C:$FA,81)</f>
        <v>-0.23469999999999999</v>
      </c>
    </row>
    <row r="42" spans="1:15" x14ac:dyDescent="0.25">
      <c r="A42" s="100" t="str">
        <f>'Data Vlaue (Cr)'!C37</f>
        <v>BOSCHLTD</v>
      </c>
      <c r="B42" s="82">
        <f>VLOOKUP(A42,'Data shares'!$C$2:$CV$216,98,0)</f>
        <v>494450</v>
      </c>
      <c r="C42" s="82">
        <f>VLOOKUP(A42,'Data shares'!$C$2:$CX$216,100,0)</f>
        <v>-342900</v>
      </c>
      <c r="D42" s="141">
        <f>VLOOKUP(A42,'Data shares'!$C$2:$CY$539,101,0)</f>
        <v>-0.40949999999999998</v>
      </c>
      <c r="E42" s="86">
        <f>VLOOKUP($A42,'Data shares'!$C:$FA,74)</f>
        <v>346750</v>
      </c>
      <c r="F42" s="86">
        <f>VLOOKUP($A42,'Data shares'!$C:$FA,76)</f>
        <v>-16875</v>
      </c>
      <c r="G42" s="87">
        <f>VLOOKUP(A42,'Data shares'!$C$2:$CA$216,77,0)</f>
        <v>-4.6399999999999997E-2</v>
      </c>
      <c r="H42" s="86">
        <f>VLOOKUP($A42,'Data shares'!$C:$FA,90)</f>
        <v>98350</v>
      </c>
      <c r="I42" s="86">
        <f>VLOOKUP($A42,'Data shares'!$C:$FA,92)</f>
        <v>-235225</v>
      </c>
      <c r="J42" s="87">
        <f>VLOOKUP($A42,'Data shares'!$C:$FA,93)</f>
        <v>-0.70520000000000005</v>
      </c>
      <c r="K42" s="86">
        <f>VLOOKUP($A42,'Data shares'!$C:$FA,94)</f>
        <v>49350</v>
      </c>
      <c r="L42" s="86">
        <f>VLOOKUP($A42,'Data shares'!$C:$FA,96)</f>
        <v>-90800</v>
      </c>
      <c r="M42" s="87">
        <f>VLOOKUP($A42,'Data shares'!$C:$FA,97)</f>
        <v>-0.64790000000000003</v>
      </c>
      <c r="N42" s="86">
        <f>VLOOKUP($A42,'Data shares'!$C:$FA,78)</f>
        <v>15325</v>
      </c>
      <c r="O42" s="87">
        <f>VLOOKUP($A42,'Data shares'!$C:$FA,81)</f>
        <v>-0.60319999999999996</v>
      </c>
    </row>
    <row r="43" spans="1:15" x14ac:dyDescent="0.25">
      <c r="A43" s="100" t="str">
        <f>'Data Vlaue (Cr)'!C38</f>
        <v>BPCL</v>
      </c>
      <c r="B43" s="82">
        <f>VLOOKUP(A43,'Data shares'!$C$2:$CV$216,98,0)</f>
        <v>63950500</v>
      </c>
      <c r="C43" s="82">
        <f>VLOOKUP(A43,'Data shares'!$C$2:$CX$216,100,0)</f>
        <v>-39948325</v>
      </c>
      <c r="D43" s="141">
        <f>VLOOKUP(A43,'Data shares'!$C$2:$CY$539,101,0)</f>
        <v>-0.38450000000000001</v>
      </c>
      <c r="E43" s="86">
        <f>VLOOKUP($A43,'Data shares'!$C:$FA,74)</f>
        <v>49487575</v>
      </c>
      <c r="F43" s="86">
        <f>VLOOKUP($A43,'Data shares'!$C:$FA,76)</f>
        <v>-8851950</v>
      </c>
      <c r="G43" s="87">
        <f>VLOOKUP(A43,'Data shares'!$C$2:$CA$216,77,0)</f>
        <v>-0.1517</v>
      </c>
      <c r="H43" s="86">
        <f>VLOOKUP($A43,'Data shares'!$C:$FA,90)</f>
        <v>8249575</v>
      </c>
      <c r="I43" s="86">
        <f>VLOOKUP($A43,'Data shares'!$C:$FA,92)</f>
        <v>-17715750</v>
      </c>
      <c r="J43" s="87">
        <f>VLOOKUP($A43,'Data shares'!$C:$FA,93)</f>
        <v>-0.68230000000000002</v>
      </c>
      <c r="K43" s="86">
        <f>VLOOKUP($A43,'Data shares'!$C:$FA,94)</f>
        <v>6213350</v>
      </c>
      <c r="L43" s="86">
        <f>VLOOKUP($A43,'Data shares'!$C:$FA,96)</f>
        <v>-13380625</v>
      </c>
      <c r="M43" s="87">
        <f>VLOOKUP($A43,'Data shares'!$C:$FA,97)</f>
        <v>-0.68289999999999995</v>
      </c>
      <c r="N43" s="86">
        <f>VLOOKUP($A43,'Data shares'!$C:$FA,78)</f>
        <v>7672875</v>
      </c>
      <c r="O43" s="87">
        <f>VLOOKUP($A43,'Data shares'!$C:$FA,81)</f>
        <v>-0.2752</v>
      </c>
    </row>
    <row r="44" spans="1:15" x14ac:dyDescent="0.25">
      <c r="A44" s="100" t="str">
        <f>'Data Vlaue (Cr)'!C39</f>
        <v>BRITANNIA</v>
      </c>
      <c r="B44" s="82">
        <f>VLOOKUP(A44,'Data shares'!$C$2:$CV$216,98,0)</f>
        <v>3218375</v>
      </c>
      <c r="C44" s="82">
        <f>VLOOKUP(A44,'Data shares'!$C$2:$CX$216,100,0)</f>
        <v>-2770750</v>
      </c>
      <c r="D44" s="141">
        <f>VLOOKUP(A44,'Data shares'!$C$2:$CY$539,101,0)</f>
        <v>-0.46260000000000001</v>
      </c>
      <c r="E44" s="86">
        <f>VLOOKUP($A44,'Data shares'!$C:$FA,74)</f>
        <v>2476250</v>
      </c>
      <c r="F44" s="86">
        <f>VLOOKUP($A44,'Data shares'!$C:$FA,76)</f>
        <v>-434375</v>
      </c>
      <c r="G44" s="87">
        <f>VLOOKUP(A44,'Data shares'!$C$2:$CA$216,77,0)</f>
        <v>-0.1492</v>
      </c>
      <c r="H44" s="86">
        <f>VLOOKUP($A44,'Data shares'!$C:$FA,90)</f>
        <v>376625</v>
      </c>
      <c r="I44" s="86">
        <f>VLOOKUP($A44,'Data shares'!$C:$FA,92)</f>
        <v>-1575625</v>
      </c>
      <c r="J44" s="87">
        <f>VLOOKUP($A44,'Data shares'!$C:$FA,93)</f>
        <v>-0.80710000000000004</v>
      </c>
      <c r="K44" s="86">
        <f>VLOOKUP($A44,'Data shares'!$C:$FA,94)</f>
        <v>365500</v>
      </c>
      <c r="L44" s="86">
        <f>VLOOKUP($A44,'Data shares'!$C:$FA,96)</f>
        <v>-760750</v>
      </c>
      <c r="M44" s="87">
        <f>VLOOKUP($A44,'Data shares'!$C:$FA,97)</f>
        <v>-0.67549999999999999</v>
      </c>
      <c r="N44" s="86">
        <f>VLOOKUP($A44,'Data shares'!$C:$FA,78)</f>
        <v>439000</v>
      </c>
      <c r="O44" s="87">
        <f>VLOOKUP($A44,'Data shares'!$C:$FA,81)</f>
        <v>-0.30349999999999999</v>
      </c>
    </row>
    <row r="45" spans="1:15" x14ac:dyDescent="0.25">
      <c r="A45" s="100" t="str">
        <f>'Data Vlaue (Cr)'!C40</f>
        <v>BSE</v>
      </c>
      <c r="B45" s="82">
        <f>VLOOKUP(A45,'Data shares'!$C$2:$CV$216,98,0)</f>
        <v>15497050</v>
      </c>
      <c r="C45" s="82">
        <f>VLOOKUP(A45,'Data shares'!$C$2:$CX$216,100,0)</f>
        <v>-9138250</v>
      </c>
      <c r="D45" s="141">
        <f>VLOOKUP(A45,'Data shares'!$C$2:$CY$539,101,0)</f>
        <v>-0.37090000000000001</v>
      </c>
      <c r="E45" s="86">
        <f>VLOOKUP($A45,'Data shares'!$C:$FA,74)</f>
        <v>7613200</v>
      </c>
      <c r="F45" s="86">
        <f>VLOOKUP($A45,'Data shares'!$C:$FA,76)</f>
        <v>-868650</v>
      </c>
      <c r="G45" s="87">
        <f>VLOOKUP(A45,'Data shares'!$C$2:$CA$216,77,0)</f>
        <v>-0.1024</v>
      </c>
      <c r="H45" s="86">
        <f>VLOOKUP($A45,'Data shares'!$C:$FA,90)</f>
        <v>3963100</v>
      </c>
      <c r="I45" s="86">
        <f>VLOOKUP($A45,'Data shares'!$C:$FA,92)</f>
        <v>-3640500</v>
      </c>
      <c r="J45" s="87">
        <f>VLOOKUP($A45,'Data shares'!$C:$FA,93)</f>
        <v>-0.4788</v>
      </c>
      <c r="K45" s="86">
        <f>VLOOKUP($A45,'Data shares'!$C:$FA,94)</f>
        <v>3920750</v>
      </c>
      <c r="L45" s="86">
        <f>VLOOKUP($A45,'Data shares'!$C:$FA,96)</f>
        <v>-4629100</v>
      </c>
      <c r="M45" s="87">
        <f>VLOOKUP($A45,'Data shares'!$C:$FA,97)</f>
        <v>-0.54139999999999999</v>
      </c>
      <c r="N45" s="86">
        <f>VLOOKUP($A45,'Data shares'!$C:$FA,78)</f>
        <v>1080000</v>
      </c>
      <c r="O45" s="87">
        <f>VLOOKUP($A45,'Data shares'!$C:$FA,81)</f>
        <v>-0.39319999999999999</v>
      </c>
    </row>
    <row r="46" spans="1:15" x14ac:dyDescent="0.25">
      <c r="A46" s="100" t="str">
        <f>'Data Vlaue (Cr)'!C41</f>
        <v>CAMS</v>
      </c>
      <c r="B46" s="82">
        <f>VLOOKUP(A46,'Data shares'!$C$2:$CV$216,98,0)</f>
        <v>7163175</v>
      </c>
      <c r="C46" s="82">
        <f>VLOOKUP(A46,'Data shares'!$C$2:$CX$216,100,0)</f>
        <v>-6579750</v>
      </c>
      <c r="D46" s="141">
        <f>VLOOKUP(A46,'Data shares'!$C$2:$CY$539,101,0)</f>
        <v>-0.4788</v>
      </c>
      <c r="E46" s="86">
        <f>VLOOKUP($A46,'Data shares'!$C:$FA,74)</f>
        <v>5712675</v>
      </c>
      <c r="F46" s="86">
        <f>VLOOKUP($A46,'Data shares'!$C:$FA,76)</f>
        <v>-1277250</v>
      </c>
      <c r="G46" s="87">
        <f>VLOOKUP(A46,'Data shares'!$C$2:$CA$216,77,0)</f>
        <v>-0.1827</v>
      </c>
      <c r="H46" s="86">
        <f>VLOOKUP($A46,'Data shares'!$C:$FA,90)</f>
        <v>849750</v>
      </c>
      <c r="I46" s="86">
        <f>VLOOKUP($A46,'Data shares'!$C:$FA,92)</f>
        <v>-2972250</v>
      </c>
      <c r="J46" s="87">
        <f>VLOOKUP($A46,'Data shares'!$C:$FA,93)</f>
        <v>-0.77769999999999995</v>
      </c>
      <c r="K46" s="86">
        <f>VLOOKUP($A46,'Data shares'!$C:$FA,94)</f>
        <v>600750</v>
      </c>
      <c r="L46" s="86">
        <f>VLOOKUP($A46,'Data shares'!$C:$FA,96)</f>
        <v>-2330250</v>
      </c>
      <c r="M46" s="87">
        <f>VLOOKUP($A46,'Data shares'!$C:$FA,97)</f>
        <v>-0.79500000000000004</v>
      </c>
      <c r="N46" s="86">
        <f>VLOOKUP($A46,'Data shares'!$C:$FA,78)</f>
        <v>1446000</v>
      </c>
      <c r="O46" s="87">
        <f>VLOOKUP($A46,'Data shares'!$C:$FA,81)</f>
        <v>-0.17180000000000001</v>
      </c>
    </row>
    <row r="47" spans="1:15" x14ac:dyDescent="0.25">
      <c r="A47" s="100" t="str">
        <f>'Data Vlaue (Cr)'!C42</f>
        <v>CANBK</v>
      </c>
      <c r="B47" s="82">
        <f>VLOOKUP(A47,'Data shares'!$C$2:$CV$216,98,0)</f>
        <v>322825500</v>
      </c>
      <c r="C47" s="82">
        <f>VLOOKUP(A47,'Data shares'!$C$2:$CX$216,100,0)</f>
        <v>-109539000</v>
      </c>
      <c r="D47" s="141">
        <f>VLOOKUP(A47,'Data shares'!$C$2:$CY$539,101,0)</f>
        <v>-0.25330000000000003</v>
      </c>
      <c r="E47" s="86">
        <f>VLOOKUP($A47,'Data shares'!$C:$FA,74)</f>
        <v>244248750</v>
      </c>
      <c r="F47" s="86">
        <f>VLOOKUP($A47,'Data shares'!$C:$FA,76)</f>
        <v>-8133750</v>
      </c>
      <c r="G47" s="87">
        <f>VLOOKUP(A47,'Data shares'!$C$2:$CA$216,77,0)</f>
        <v>-3.2199999999999999E-2</v>
      </c>
      <c r="H47" s="86">
        <f>VLOOKUP($A47,'Data shares'!$C:$FA,90)</f>
        <v>36571500</v>
      </c>
      <c r="I47" s="86">
        <f>VLOOKUP($A47,'Data shares'!$C:$FA,92)</f>
        <v>-61600500</v>
      </c>
      <c r="J47" s="87">
        <f>VLOOKUP($A47,'Data shares'!$C:$FA,93)</f>
        <v>-0.62749999999999995</v>
      </c>
      <c r="K47" s="86">
        <f>VLOOKUP($A47,'Data shares'!$C:$FA,94)</f>
        <v>42005250</v>
      </c>
      <c r="L47" s="86">
        <f>VLOOKUP($A47,'Data shares'!$C:$FA,96)</f>
        <v>-39804750</v>
      </c>
      <c r="M47" s="87">
        <f>VLOOKUP($A47,'Data shares'!$C:$FA,97)</f>
        <v>-0.48659999999999998</v>
      </c>
      <c r="N47" s="86">
        <f>VLOOKUP($A47,'Data shares'!$C:$FA,78)</f>
        <v>12048750</v>
      </c>
      <c r="O47" s="87">
        <f>VLOOKUP($A47,'Data shares'!$C:$FA,81)</f>
        <v>-0.76080000000000003</v>
      </c>
    </row>
    <row r="48" spans="1:15" x14ac:dyDescent="0.25">
      <c r="A48" s="100" t="str">
        <f>'Data Vlaue (Cr)'!C43</f>
        <v>CDSL</v>
      </c>
      <c r="B48" s="82">
        <f>VLOOKUP(A48,'Data shares'!$C$2:$CV$216,98,0)</f>
        <v>19380000</v>
      </c>
      <c r="C48" s="82">
        <f>VLOOKUP(A48,'Data shares'!$C$2:$CX$216,100,0)</f>
        <v>-9998275</v>
      </c>
      <c r="D48" s="141">
        <f>VLOOKUP(A48,'Data shares'!$C$2:$CY$539,101,0)</f>
        <v>-0.34029999999999999</v>
      </c>
      <c r="E48" s="86">
        <f>VLOOKUP($A48,'Data shares'!$C:$FA,74)</f>
        <v>11836050</v>
      </c>
      <c r="F48" s="86">
        <f>VLOOKUP($A48,'Data shares'!$C:$FA,76)</f>
        <v>-2577825</v>
      </c>
      <c r="G48" s="87">
        <f>VLOOKUP(A48,'Data shares'!$C$2:$CA$216,77,0)</f>
        <v>-0.17879999999999999</v>
      </c>
      <c r="H48" s="86">
        <f>VLOOKUP($A48,'Data shares'!$C:$FA,90)</f>
        <v>4136775</v>
      </c>
      <c r="I48" s="86">
        <f>VLOOKUP($A48,'Data shares'!$C:$FA,92)</f>
        <v>-4820775</v>
      </c>
      <c r="J48" s="87">
        <f>VLOOKUP($A48,'Data shares'!$C:$FA,93)</f>
        <v>-0.53820000000000001</v>
      </c>
      <c r="K48" s="86">
        <f>VLOOKUP($A48,'Data shares'!$C:$FA,94)</f>
        <v>3407175</v>
      </c>
      <c r="L48" s="86">
        <f>VLOOKUP($A48,'Data shares'!$C:$FA,96)</f>
        <v>-2599675</v>
      </c>
      <c r="M48" s="87">
        <f>VLOOKUP($A48,'Data shares'!$C:$FA,97)</f>
        <v>-0.43280000000000002</v>
      </c>
      <c r="N48" s="86">
        <f>VLOOKUP($A48,'Data shares'!$C:$FA,78)</f>
        <v>900600</v>
      </c>
      <c r="O48" s="87">
        <f>VLOOKUP($A48,'Data shares'!$C:$FA,81)</f>
        <v>-0.63660000000000005</v>
      </c>
    </row>
    <row r="49" spans="1:15" x14ac:dyDescent="0.25">
      <c r="A49" s="100" t="str">
        <f>'Data Vlaue (Cr)'!C44</f>
        <v>CGPOWER</v>
      </c>
      <c r="B49" s="82">
        <f>VLOOKUP(A49,'Data shares'!$C$2:$CV$216,98,0)</f>
        <v>24308300</v>
      </c>
      <c r="C49" s="82">
        <f>VLOOKUP(A49,'Data shares'!$C$2:$CX$216,100,0)</f>
        <v>-8370800</v>
      </c>
      <c r="D49" s="141">
        <f>VLOOKUP(A49,'Data shares'!$C$2:$CY$539,101,0)</f>
        <v>-0.25619999999999998</v>
      </c>
      <c r="E49" s="86">
        <f>VLOOKUP($A49,'Data shares'!$C:$FA,74)</f>
        <v>19907000</v>
      </c>
      <c r="F49" s="86">
        <f>VLOOKUP($A49,'Data shares'!$C:$FA,76)</f>
        <v>-1406750</v>
      </c>
      <c r="G49" s="87">
        <f>VLOOKUP(A49,'Data shares'!$C$2:$CA$216,77,0)</f>
        <v>-6.6000000000000003E-2</v>
      </c>
      <c r="H49" s="86">
        <f>VLOOKUP($A49,'Data shares'!$C:$FA,90)</f>
        <v>2674950</v>
      </c>
      <c r="I49" s="86">
        <f>VLOOKUP($A49,'Data shares'!$C:$FA,92)</f>
        <v>-3420400</v>
      </c>
      <c r="J49" s="87">
        <f>VLOOKUP($A49,'Data shares'!$C:$FA,93)</f>
        <v>-0.56110000000000004</v>
      </c>
      <c r="K49" s="86">
        <f>VLOOKUP($A49,'Data shares'!$C:$FA,94)</f>
        <v>1726350</v>
      </c>
      <c r="L49" s="86">
        <f>VLOOKUP($A49,'Data shares'!$C:$FA,96)</f>
        <v>-3543650</v>
      </c>
      <c r="M49" s="87">
        <f>VLOOKUP($A49,'Data shares'!$C:$FA,97)</f>
        <v>-0.6724</v>
      </c>
      <c r="N49" s="86">
        <f>VLOOKUP($A49,'Data shares'!$C:$FA,78)</f>
        <v>981750</v>
      </c>
      <c r="O49" s="87">
        <f>VLOOKUP($A49,'Data shares'!$C:$FA,81)</f>
        <v>-0.57330000000000003</v>
      </c>
    </row>
    <row r="50" spans="1:15" x14ac:dyDescent="0.25">
      <c r="A50" s="100" t="str">
        <f>'Data Vlaue (Cr)'!C45</f>
        <v>CHOLAFIN</v>
      </c>
      <c r="B50" s="82">
        <f>VLOOKUP(A50,'Data shares'!$C$2:$CV$216,98,0)</f>
        <v>19820000</v>
      </c>
      <c r="C50" s="82">
        <f>VLOOKUP(A50,'Data shares'!$C$2:$CX$216,100,0)</f>
        <v>-5141250</v>
      </c>
      <c r="D50" s="141">
        <f>VLOOKUP(A50,'Data shares'!$C$2:$CY$539,101,0)</f>
        <v>-0.20599999999999999</v>
      </c>
      <c r="E50" s="86">
        <f>VLOOKUP($A50,'Data shares'!$C:$FA,74)</f>
        <v>17470625</v>
      </c>
      <c r="F50" s="86">
        <f>VLOOKUP($A50,'Data shares'!$C:$FA,76)</f>
        <v>-1251875</v>
      </c>
      <c r="G50" s="87">
        <f>VLOOKUP(A50,'Data shares'!$C$2:$CA$216,77,0)</f>
        <v>-6.6900000000000001E-2</v>
      </c>
      <c r="H50" s="86">
        <f>VLOOKUP($A50,'Data shares'!$C:$FA,90)</f>
        <v>1352500</v>
      </c>
      <c r="I50" s="86">
        <f>VLOOKUP($A50,'Data shares'!$C:$FA,92)</f>
        <v>-2276250</v>
      </c>
      <c r="J50" s="87">
        <f>VLOOKUP($A50,'Data shares'!$C:$FA,93)</f>
        <v>-0.62729999999999997</v>
      </c>
      <c r="K50" s="86">
        <f>VLOOKUP($A50,'Data shares'!$C:$FA,94)</f>
        <v>996875</v>
      </c>
      <c r="L50" s="86">
        <f>VLOOKUP($A50,'Data shares'!$C:$FA,96)</f>
        <v>-1613125</v>
      </c>
      <c r="M50" s="87">
        <f>VLOOKUP($A50,'Data shares'!$C:$FA,97)</f>
        <v>-0.61809999999999998</v>
      </c>
      <c r="N50" s="86">
        <f>VLOOKUP($A50,'Data shares'!$C:$FA,78)</f>
        <v>1176875</v>
      </c>
      <c r="O50" s="87">
        <f>VLOOKUP($A50,'Data shares'!$C:$FA,81)</f>
        <v>-0.42770000000000002</v>
      </c>
    </row>
    <row r="51" spans="1:15" x14ac:dyDescent="0.25">
      <c r="A51" s="100" t="str">
        <f>'Data Vlaue (Cr)'!C46</f>
        <v>CIPLA</v>
      </c>
      <c r="B51" s="82">
        <f>VLOOKUP(A51,'Data shares'!$C$2:$CV$216,98,0)</f>
        <v>17959350</v>
      </c>
      <c r="C51" s="82">
        <f>VLOOKUP(A51,'Data shares'!$C$2:$CX$216,100,0)</f>
        <v>-14107200</v>
      </c>
      <c r="D51" s="141">
        <f>VLOOKUP(A51,'Data shares'!$C$2:$CY$539,101,0)</f>
        <v>-0.43990000000000001</v>
      </c>
      <c r="E51" s="86">
        <f>VLOOKUP($A51,'Data shares'!$C:$FA,74)</f>
        <v>14782050</v>
      </c>
      <c r="F51" s="86">
        <f>VLOOKUP($A51,'Data shares'!$C:$FA,76)</f>
        <v>-1465200</v>
      </c>
      <c r="G51" s="87">
        <f>VLOOKUP(A51,'Data shares'!$C$2:$CA$216,77,0)</f>
        <v>-9.0200000000000002E-2</v>
      </c>
      <c r="H51" s="86">
        <f>VLOOKUP($A51,'Data shares'!$C:$FA,90)</f>
        <v>1738050</v>
      </c>
      <c r="I51" s="86">
        <f>VLOOKUP($A51,'Data shares'!$C:$FA,92)</f>
        <v>-6520125</v>
      </c>
      <c r="J51" s="87">
        <f>VLOOKUP($A51,'Data shares'!$C:$FA,93)</f>
        <v>-0.78949999999999998</v>
      </c>
      <c r="K51" s="86">
        <f>VLOOKUP($A51,'Data shares'!$C:$FA,94)</f>
        <v>1439250</v>
      </c>
      <c r="L51" s="86">
        <f>VLOOKUP($A51,'Data shares'!$C:$FA,96)</f>
        <v>-6121875</v>
      </c>
      <c r="M51" s="87">
        <f>VLOOKUP($A51,'Data shares'!$C:$FA,97)</f>
        <v>-0.80969999999999998</v>
      </c>
      <c r="N51" s="86">
        <f>VLOOKUP($A51,'Data shares'!$C:$FA,78)</f>
        <v>1837125</v>
      </c>
      <c r="O51" s="87">
        <f>VLOOKUP($A51,'Data shares'!$C:$FA,81)</f>
        <v>-0.19370000000000001</v>
      </c>
    </row>
    <row r="52" spans="1:15" x14ac:dyDescent="0.25">
      <c r="A52" s="100" t="str">
        <f>'Data Vlaue (Cr)'!C47</f>
        <v>COALINDIA</v>
      </c>
      <c r="B52" s="82">
        <f>VLOOKUP(A52,'Data shares'!$C$2:$CV$216,98,0)</f>
        <v>95651550</v>
      </c>
      <c r="C52" s="82">
        <f>VLOOKUP(A52,'Data shares'!$C$2:$CX$216,100,0)</f>
        <v>-18883800</v>
      </c>
      <c r="D52" s="141">
        <f>VLOOKUP(A52,'Data shares'!$C$2:$CY$539,101,0)</f>
        <v>-0.16489999999999999</v>
      </c>
      <c r="E52" s="86">
        <f>VLOOKUP($A52,'Data shares'!$C:$FA,74)</f>
        <v>57056400</v>
      </c>
      <c r="F52" s="86">
        <f>VLOOKUP($A52,'Data shares'!$C:$FA,76)</f>
        <v>-1042200</v>
      </c>
      <c r="G52" s="87">
        <f>VLOOKUP(A52,'Data shares'!$C$2:$CA$216,77,0)</f>
        <v>-1.7899999999999999E-2</v>
      </c>
      <c r="H52" s="86">
        <f>VLOOKUP($A52,'Data shares'!$C:$FA,90)</f>
        <v>20002950</v>
      </c>
      <c r="I52" s="86">
        <f>VLOOKUP($A52,'Data shares'!$C:$FA,92)</f>
        <v>-15511500</v>
      </c>
      <c r="J52" s="87">
        <f>VLOOKUP($A52,'Data shares'!$C:$FA,93)</f>
        <v>-0.43680000000000002</v>
      </c>
      <c r="K52" s="86">
        <f>VLOOKUP($A52,'Data shares'!$C:$FA,94)</f>
        <v>18592200</v>
      </c>
      <c r="L52" s="86">
        <f>VLOOKUP($A52,'Data shares'!$C:$FA,96)</f>
        <v>-2330100</v>
      </c>
      <c r="M52" s="87">
        <f>VLOOKUP($A52,'Data shares'!$C:$FA,97)</f>
        <v>-0.1114</v>
      </c>
      <c r="N52" s="86">
        <f>VLOOKUP($A52,'Data shares'!$C:$FA,78)</f>
        <v>4252500</v>
      </c>
      <c r="O52" s="87">
        <f>VLOOKUP($A52,'Data shares'!$C:$FA,81)</f>
        <v>-0.3846</v>
      </c>
    </row>
    <row r="53" spans="1:15" x14ac:dyDescent="0.25">
      <c r="A53" s="100" t="str">
        <f>'Data Vlaue (Cr)'!C48</f>
        <v>COCHINSHIP</v>
      </c>
      <c r="B53" s="82">
        <f>VLOOKUP(A53,'Data shares'!$C$2:$CV$216,98,0)</f>
        <v>3996000</v>
      </c>
      <c r="C53" s="82">
        <f>VLOOKUP(A53,'Data shares'!$C$2:$CX$216,100,0)</f>
        <v>-2458800</v>
      </c>
      <c r="D53" s="141">
        <f>VLOOKUP(A53,'Data shares'!$C$2:$CY$539,101,0)</f>
        <v>-0.38090000000000002</v>
      </c>
      <c r="E53" s="86">
        <f>VLOOKUP($A53,'Data shares'!$C:$FA,74)</f>
        <v>3176000</v>
      </c>
      <c r="F53" s="86">
        <f>VLOOKUP($A53,'Data shares'!$C:$FA,76)</f>
        <v>-126400</v>
      </c>
      <c r="G53" s="87">
        <f>VLOOKUP(A53,'Data shares'!$C$2:$CA$216,77,0)</f>
        <v>-3.8300000000000001E-2</v>
      </c>
      <c r="H53" s="86">
        <f>VLOOKUP($A53,'Data shares'!$C:$FA,90)</f>
        <v>479200</v>
      </c>
      <c r="I53" s="86">
        <f>VLOOKUP($A53,'Data shares'!$C:$FA,92)</f>
        <v>-1584000</v>
      </c>
      <c r="J53" s="87">
        <f>VLOOKUP($A53,'Data shares'!$C:$FA,93)</f>
        <v>-0.76770000000000005</v>
      </c>
      <c r="K53" s="86">
        <f>VLOOKUP($A53,'Data shares'!$C:$FA,94)</f>
        <v>340800</v>
      </c>
      <c r="L53" s="86">
        <f>VLOOKUP($A53,'Data shares'!$C:$FA,96)</f>
        <v>-748400</v>
      </c>
      <c r="M53" s="87">
        <f>VLOOKUP($A53,'Data shares'!$C:$FA,97)</f>
        <v>-0.68710000000000004</v>
      </c>
      <c r="N53" s="86">
        <f>VLOOKUP($A53,'Data shares'!$C:$FA,78)</f>
        <v>182000</v>
      </c>
      <c r="O53" s="87">
        <f>VLOOKUP($A53,'Data shares'!$C:$FA,81)</f>
        <v>-0.71089999999999998</v>
      </c>
    </row>
    <row r="54" spans="1:15" x14ac:dyDescent="0.25">
      <c r="A54" s="100" t="str">
        <f>'Data Vlaue (Cr)'!C49</f>
        <v>COFORGE</v>
      </c>
      <c r="B54" s="82">
        <f>VLOOKUP(A54,'Data shares'!$C$2:$CV$216,98,0)</f>
        <v>21243400</v>
      </c>
      <c r="C54" s="82">
        <f>VLOOKUP(A54,'Data shares'!$C$2:$CX$216,100,0)</f>
        <v>-15928750</v>
      </c>
      <c r="D54" s="141">
        <f>VLOOKUP(A54,'Data shares'!$C$2:$CY$539,101,0)</f>
        <v>-0.42849999999999999</v>
      </c>
      <c r="E54" s="86">
        <f>VLOOKUP($A54,'Data shares'!$C:$FA,74)</f>
        <v>15218825</v>
      </c>
      <c r="F54" s="86">
        <f>VLOOKUP($A54,'Data shares'!$C:$FA,76)</f>
        <v>-2775625</v>
      </c>
      <c r="G54" s="87">
        <f>VLOOKUP(A54,'Data shares'!$C$2:$CA$216,77,0)</f>
        <v>-0.1542</v>
      </c>
      <c r="H54" s="86">
        <f>VLOOKUP($A54,'Data shares'!$C:$FA,90)</f>
        <v>3818625</v>
      </c>
      <c r="I54" s="86">
        <f>VLOOKUP($A54,'Data shares'!$C:$FA,92)</f>
        <v>-6784500</v>
      </c>
      <c r="J54" s="87">
        <f>VLOOKUP($A54,'Data shares'!$C:$FA,93)</f>
        <v>-0.63990000000000002</v>
      </c>
      <c r="K54" s="86">
        <f>VLOOKUP($A54,'Data shares'!$C:$FA,94)</f>
        <v>2205950</v>
      </c>
      <c r="L54" s="86">
        <f>VLOOKUP($A54,'Data shares'!$C:$FA,96)</f>
        <v>-6368625</v>
      </c>
      <c r="M54" s="87">
        <f>VLOOKUP($A54,'Data shares'!$C:$FA,97)</f>
        <v>-0.74270000000000003</v>
      </c>
      <c r="N54" s="86">
        <f>VLOOKUP($A54,'Data shares'!$C:$FA,78)</f>
        <v>3424500</v>
      </c>
      <c r="O54" s="87">
        <f>VLOOKUP($A54,'Data shares'!$C:$FA,81)</f>
        <v>-8.1699999999999995E-2</v>
      </c>
    </row>
    <row r="55" spans="1:15" x14ac:dyDescent="0.25">
      <c r="A55" s="100" t="str">
        <f>'Data Vlaue (Cr)'!C50</f>
        <v>COLPAL</v>
      </c>
      <c r="B55" s="82">
        <f>VLOOKUP(A55,'Data shares'!$C$2:$CV$216,98,0)</f>
        <v>7238950</v>
      </c>
      <c r="C55" s="82">
        <f>VLOOKUP(A55,'Data shares'!$C$2:$CX$216,100,0)</f>
        <v>-1040900</v>
      </c>
      <c r="D55" s="141">
        <f>VLOOKUP(A55,'Data shares'!$C$2:$CY$539,101,0)</f>
        <v>-0.12570000000000001</v>
      </c>
      <c r="E55" s="86">
        <f>VLOOKUP($A55,'Data shares'!$C:$FA,74)</f>
        <v>4855875</v>
      </c>
      <c r="F55" s="86">
        <f>VLOOKUP($A55,'Data shares'!$C:$FA,76)</f>
        <v>-142075</v>
      </c>
      <c r="G55" s="87">
        <f>VLOOKUP(A55,'Data shares'!$C$2:$CA$216,77,0)</f>
        <v>-2.8400000000000002E-2</v>
      </c>
      <c r="H55" s="86">
        <f>VLOOKUP($A55,'Data shares'!$C:$FA,90)</f>
        <v>1438200</v>
      </c>
      <c r="I55" s="86">
        <f>VLOOKUP($A55,'Data shares'!$C:$FA,92)</f>
        <v>-690525</v>
      </c>
      <c r="J55" s="87">
        <f>VLOOKUP($A55,'Data shares'!$C:$FA,93)</f>
        <v>-0.32440000000000002</v>
      </c>
      <c r="K55" s="86">
        <f>VLOOKUP($A55,'Data shares'!$C:$FA,94)</f>
        <v>944875</v>
      </c>
      <c r="L55" s="86">
        <f>VLOOKUP($A55,'Data shares'!$C:$FA,96)</f>
        <v>-208300</v>
      </c>
      <c r="M55" s="87">
        <f>VLOOKUP($A55,'Data shares'!$C:$FA,97)</f>
        <v>-0.18060000000000001</v>
      </c>
      <c r="N55" s="86">
        <f>VLOOKUP($A55,'Data shares'!$C:$FA,78)</f>
        <v>181125</v>
      </c>
      <c r="O55" s="87">
        <f>VLOOKUP($A55,'Data shares'!$C:$FA,81)</f>
        <v>-0.68589999999999995</v>
      </c>
    </row>
    <row r="56" spans="1:15" x14ac:dyDescent="0.25">
      <c r="A56" s="100" t="str">
        <f>'Data Vlaue (Cr)'!C51</f>
        <v>CONCOR</v>
      </c>
      <c r="B56" s="82">
        <f>VLOOKUP(A56,'Data shares'!$C$2:$CV$216,98,0)</f>
        <v>38237500</v>
      </c>
      <c r="C56" s="82">
        <f>VLOOKUP(A56,'Data shares'!$C$2:$CX$216,100,0)</f>
        <v>3056250</v>
      </c>
      <c r="D56" s="141">
        <f>VLOOKUP(A56,'Data shares'!$C$2:$CY$539,101,0)</f>
        <v>8.6900000000000005E-2</v>
      </c>
      <c r="E56" s="86">
        <f>VLOOKUP($A56,'Data shares'!$C:$FA,74)</f>
        <v>24438750</v>
      </c>
      <c r="F56" s="86">
        <f>VLOOKUP($A56,'Data shares'!$C:$FA,76)</f>
        <v>-1217500</v>
      </c>
      <c r="G56" s="87">
        <f>VLOOKUP(A56,'Data shares'!$C$2:$CA$216,77,0)</f>
        <v>-4.7500000000000001E-2</v>
      </c>
      <c r="H56" s="86">
        <f>VLOOKUP($A56,'Data shares'!$C:$FA,90)</f>
        <v>7953750</v>
      </c>
      <c r="I56" s="86">
        <f>VLOOKUP($A56,'Data shares'!$C:$FA,92)</f>
        <v>2962500</v>
      </c>
      <c r="J56" s="87">
        <f>VLOOKUP($A56,'Data shares'!$C:$FA,93)</f>
        <v>0.59350000000000003</v>
      </c>
      <c r="K56" s="86">
        <f>VLOOKUP($A56,'Data shares'!$C:$FA,94)</f>
        <v>5845000</v>
      </c>
      <c r="L56" s="86">
        <f>VLOOKUP($A56,'Data shares'!$C:$FA,96)</f>
        <v>1311250</v>
      </c>
      <c r="M56" s="87">
        <f>VLOOKUP($A56,'Data shares'!$C:$FA,97)</f>
        <v>0.28920000000000001</v>
      </c>
      <c r="N56" s="86">
        <f>VLOOKUP($A56,'Data shares'!$C:$FA,78)</f>
        <v>4266250</v>
      </c>
      <c r="O56" s="87">
        <f>VLOOKUP($A56,'Data shares'!$C:$FA,81)</f>
        <v>-0.41449999999999998</v>
      </c>
    </row>
    <row r="57" spans="1:15" x14ac:dyDescent="0.25">
      <c r="A57" s="100" t="str">
        <f>'Data Vlaue (Cr)'!C52</f>
        <v>CROMPTON</v>
      </c>
      <c r="B57" s="82">
        <f>VLOOKUP(A57,'Data shares'!$C$2:$CV$216,98,0)</f>
        <v>61068900</v>
      </c>
      <c r="C57" s="82">
        <f>VLOOKUP(A57,'Data shares'!$C$2:$CX$216,100,0)</f>
        <v>-24599800</v>
      </c>
      <c r="D57" s="141">
        <f>VLOOKUP(A57,'Data shares'!$C$2:$CY$539,101,0)</f>
        <v>-0.28720000000000001</v>
      </c>
      <c r="E57" s="86">
        <f>VLOOKUP($A57,'Data shares'!$C:$FA,74)</f>
        <v>53836500</v>
      </c>
      <c r="F57" s="86">
        <f>VLOOKUP($A57,'Data shares'!$C:$FA,76)</f>
        <v>-2031400</v>
      </c>
      <c r="G57" s="87">
        <f>VLOOKUP(A57,'Data shares'!$C$2:$CA$216,77,0)</f>
        <v>-3.6400000000000002E-2</v>
      </c>
      <c r="H57" s="86">
        <f>VLOOKUP($A57,'Data shares'!$C:$FA,90)</f>
        <v>5171400</v>
      </c>
      <c r="I57" s="86">
        <f>VLOOKUP($A57,'Data shares'!$C:$FA,92)</f>
        <v>-13802400</v>
      </c>
      <c r="J57" s="87">
        <f>VLOOKUP($A57,'Data shares'!$C:$FA,93)</f>
        <v>-0.72740000000000005</v>
      </c>
      <c r="K57" s="86">
        <f>VLOOKUP($A57,'Data shares'!$C:$FA,94)</f>
        <v>2061000</v>
      </c>
      <c r="L57" s="86">
        <f>VLOOKUP($A57,'Data shares'!$C:$FA,96)</f>
        <v>-8766000</v>
      </c>
      <c r="M57" s="87">
        <f>VLOOKUP($A57,'Data shares'!$C:$FA,97)</f>
        <v>-0.80959999999999999</v>
      </c>
      <c r="N57" s="86">
        <f>VLOOKUP($A57,'Data shares'!$C:$FA,78)</f>
        <v>1585800</v>
      </c>
      <c r="O57" s="87">
        <f>VLOOKUP($A57,'Data shares'!$C:$FA,81)</f>
        <v>-0.74390000000000001</v>
      </c>
    </row>
    <row r="58" spans="1:15" x14ac:dyDescent="0.25">
      <c r="A58" s="100" t="str">
        <f>'Data Vlaue (Cr)'!C53</f>
        <v>CUMMINSIND</v>
      </c>
      <c r="B58" s="82">
        <f>VLOOKUP(A58,'Data shares'!$C$2:$CV$216,98,0)</f>
        <v>3998000</v>
      </c>
      <c r="C58" s="82">
        <f>VLOOKUP(A58,'Data shares'!$C$2:$CX$216,100,0)</f>
        <v>-1168200</v>
      </c>
      <c r="D58" s="141">
        <f>VLOOKUP(A58,'Data shares'!$C$2:$CY$539,101,0)</f>
        <v>-0.2261</v>
      </c>
      <c r="E58" s="86">
        <f>VLOOKUP($A58,'Data shares'!$C:$FA,74)</f>
        <v>3356000</v>
      </c>
      <c r="F58" s="86">
        <f>VLOOKUP($A58,'Data shares'!$C:$FA,76)</f>
        <v>-300600</v>
      </c>
      <c r="G58" s="87">
        <f>VLOOKUP(A58,'Data shares'!$C$2:$CA$216,77,0)</f>
        <v>-8.2199999999999995E-2</v>
      </c>
      <c r="H58" s="86">
        <f>VLOOKUP($A58,'Data shares'!$C:$FA,90)</f>
        <v>347600</v>
      </c>
      <c r="I58" s="86">
        <f>VLOOKUP($A58,'Data shares'!$C:$FA,92)</f>
        <v>-502800</v>
      </c>
      <c r="J58" s="87">
        <f>VLOOKUP($A58,'Data shares'!$C:$FA,93)</f>
        <v>-0.59130000000000005</v>
      </c>
      <c r="K58" s="86">
        <f>VLOOKUP($A58,'Data shares'!$C:$FA,94)</f>
        <v>294400</v>
      </c>
      <c r="L58" s="86">
        <f>VLOOKUP($A58,'Data shares'!$C:$FA,96)</f>
        <v>-364800</v>
      </c>
      <c r="M58" s="87">
        <f>VLOOKUP($A58,'Data shares'!$C:$FA,97)</f>
        <v>-0.5534</v>
      </c>
      <c r="N58" s="86">
        <f>VLOOKUP($A58,'Data shares'!$C:$FA,78)</f>
        <v>300000</v>
      </c>
      <c r="O58" s="87">
        <f>VLOOKUP($A58,'Data shares'!$C:$FA,81)</f>
        <v>-0.53359999999999996</v>
      </c>
    </row>
    <row r="59" spans="1:15" x14ac:dyDescent="0.25">
      <c r="A59" s="100" t="str">
        <f>'Data Vlaue (Cr)'!C54</f>
        <v>DABUR</v>
      </c>
      <c r="B59" s="82">
        <f>VLOOKUP(A59,'Data shares'!$C$2:$CV$216,98,0)</f>
        <v>28433750</v>
      </c>
      <c r="C59" s="82">
        <f>VLOOKUP(A59,'Data shares'!$C$2:$CX$216,100,0)</f>
        <v>-15225000</v>
      </c>
      <c r="D59" s="141">
        <f>VLOOKUP(A59,'Data shares'!$C$2:$CY$539,101,0)</f>
        <v>-0.34870000000000001</v>
      </c>
      <c r="E59" s="86">
        <f>VLOOKUP($A59,'Data shares'!$C:$FA,74)</f>
        <v>22542500</v>
      </c>
      <c r="F59" s="86">
        <f>VLOOKUP($A59,'Data shares'!$C:$FA,76)</f>
        <v>-633750</v>
      </c>
      <c r="G59" s="87">
        <f>VLOOKUP(A59,'Data shares'!$C$2:$CA$216,77,0)</f>
        <v>-2.7300000000000001E-2</v>
      </c>
      <c r="H59" s="86">
        <f>VLOOKUP($A59,'Data shares'!$C:$FA,90)</f>
        <v>3381250</v>
      </c>
      <c r="I59" s="86">
        <f>VLOOKUP($A59,'Data shares'!$C:$FA,92)</f>
        <v>-8836250</v>
      </c>
      <c r="J59" s="87">
        <f>VLOOKUP($A59,'Data shares'!$C:$FA,93)</f>
        <v>-0.72319999999999995</v>
      </c>
      <c r="K59" s="86">
        <f>VLOOKUP($A59,'Data shares'!$C:$FA,94)</f>
        <v>2510000</v>
      </c>
      <c r="L59" s="86">
        <f>VLOOKUP($A59,'Data shares'!$C:$FA,96)</f>
        <v>-5755000</v>
      </c>
      <c r="M59" s="87">
        <f>VLOOKUP($A59,'Data shares'!$C:$FA,97)</f>
        <v>-0.69630000000000003</v>
      </c>
      <c r="N59" s="86">
        <f>VLOOKUP($A59,'Data shares'!$C:$FA,78)</f>
        <v>797500</v>
      </c>
      <c r="O59" s="87">
        <f>VLOOKUP($A59,'Data shares'!$C:$FA,81)</f>
        <v>-0.68820000000000003</v>
      </c>
    </row>
    <row r="60" spans="1:15" x14ac:dyDescent="0.25">
      <c r="A60" s="100" t="str">
        <f>'Data Vlaue (Cr)'!C55</f>
        <v>DALBHARAT</v>
      </c>
      <c r="B60" s="82">
        <f>VLOOKUP(A60,'Data shares'!$C$2:$CV$216,98,0)</f>
        <v>4264325</v>
      </c>
      <c r="C60" s="82">
        <f>VLOOKUP(A60,'Data shares'!$C$2:$CX$216,100,0)</f>
        <v>-2668250</v>
      </c>
      <c r="D60" s="141">
        <f>VLOOKUP(A60,'Data shares'!$C$2:$CY$539,101,0)</f>
        <v>-0.38490000000000002</v>
      </c>
      <c r="E60" s="86">
        <f>VLOOKUP($A60,'Data shares'!$C:$FA,74)</f>
        <v>3524625</v>
      </c>
      <c r="F60" s="86">
        <f>VLOOKUP($A60,'Data shares'!$C:$FA,76)</f>
        <v>-675025</v>
      </c>
      <c r="G60" s="87">
        <f>VLOOKUP(A60,'Data shares'!$C$2:$CA$216,77,0)</f>
        <v>-0.16070000000000001</v>
      </c>
      <c r="H60" s="86">
        <f>VLOOKUP($A60,'Data shares'!$C:$FA,90)</f>
        <v>337675</v>
      </c>
      <c r="I60" s="86">
        <f>VLOOKUP($A60,'Data shares'!$C:$FA,92)</f>
        <v>-1169675</v>
      </c>
      <c r="J60" s="87">
        <f>VLOOKUP($A60,'Data shares'!$C:$FA,93)</f>
        <v>-0.77600000000000002</v>
      </c>
      <c r="K60" s="86">
        <f>VLOOKUP($A60,'Data shares'!$C:$FA,94)</f>
        <v>402025</v>
      </c>
      <c r="L60" s="86">
        <f>VLOOKUP($A60,'Data shares'!$C:$FA,96)</f>
        <v>-823550</v>
      </c>
      <c r="M60" s="87">
        <f>VLOOKUP($A60,'Data shares'!$C:$FA,97)</f>
        <v>-0.67200000000000004</v>
      </c>
      <c r="N60" s="86">
        <f>VLOOKUP($A60,'Data shares'!$C:$FA,78)</f>
        <v>702325</v>
      </c>
      <c r="O60" s="87">
        <f>VLOOKUP($A60,'Data shares'!$C:$FA,81)</f>
        <v>-0.27039999999999997</v>
      </c>
    </row>
    <row r="61" spans="1:15" x14ac:dyDescent="0.25">
      <c r="A61" s="100" t="str">
        <f>'Data Vlaue (Cr)'!C56</f>
        <v>DELHIVERY</v>
      </c>
      <c r="B61" s="82">
        <f>VLOOKUP(A61,'Data shares'!$C$2:$CV$216,98,0)</f>
        <v>34943000</v>
      </c>
      <c r="C61" s="82">
        <f>VLOOKUP(A61,'Data shares'!$C$2:$CX$216,100,0)</f>
        <v>-11983125</v>
      </c>
      <c r="D61" s="141">
        <f>VLOOKUP(A61,'Data shares'!$C$2:$CY$539,101,0)</f>
        <v>-0.25540000000000002</v>
      </c>
      <c r="E61" s="86">
        <f>VLOOKUP($A61,'Data shares'!$C:$FA,74)</f>
        <v>29149600</v>
      </c>
      <c r="F61" s="86">
        <f>VLOOKUP($A61,'Data shares'!$C:$FA,76)</f>
        <v>-1357050</v>
      </c>
      <c r="G61" s="87">
        <f>VLOOKUP(A61,'Data shares'!$C$2:$CA$216,77,0)</f>
        <v>-4.4499999999999998E-2</v>
      </c>
      <c r="H61" s="86">
        <f>VLOOKUP($A61,'Data shares'!$C:$FA,90)</f>
        <v>3894775</v>
      </c>
      <c r="I61" s="86">
        <f>VLOOKUP($A61,'Data shares'!$C:$FA,92)</f>
        <v>-7716925</v>
      </c>
      <c r="J61" s="87">
        <f>VLOOKUP($A61,'Data shares'!$C:$FA,93)</f>
        <v>-0.66459999999999997</v>
      </c>
      <c r="K61" s="86">
        <f>VLOOKUP($A61,'Data shares'!$C:$FA,94)</f>
        <v>1898625</v>
      </c>
      <c r="L61" s="86">
        <f>VLOOKUP($A61,'Data shares'!$C:$FA,96)</f>
        <v>-2909150</v>
      </c>
      <c r="M61" s="87">
        <f>VLOOKUP($A61,'Data shares'!$C:$FA,97)</f>
        <v>-0.60509999999999997</v>
      </c>
      <c r="N61" s="86">
        <f>VLOOKUP($A61,'Data shares'!$C:$FA,78)</f>
        <v>1162000</v>
      </c>
      <c r="O61" s="87">
        <f>VLOOKUP($A61,'Data shares'!$C:$FA,81)</f>
        <v>-0.68220000000000003</v>
      </c>
    </row>
    <row r="62" spans="1:15" x14ac:dyDescent="0.25">
      <c r="A62" s="100" t="str">
        <f>'Data Vlaue (Cr)'!C57</f>
        <v>DIVISLAB</v>
      </c>
      <c r="B62" s="82">
        <f>VLOOKUP(A62,'Data shares'!$C$2:$CV$216,98,0)</f>
        <v>3033300</v>
      </c>
      <c r="C62" s="82">
        <f>VLOOKUP(A62,'Data shares'!$C$2:$CX$216,100,0)</f>
        <v>-1447400</v>
      </c>
      <c r="D62" s="141">
        <f>VLOOKUP(A62,'Data shares'!$C$2:$CY$539,101,0)</f>
        <v>-0.32300000000000001</v>
      </c>
      <c r="E62" s="86">
        <f>VLOOKUP($A62,'Data shares'!$C:$FA,74)</f>
        <v>2207400</v>
      </c>
      <c r="F62" s="86">
        <f>VLOOKUP($A62,'Data shares'!$C:$FA,76)</f>
        <v>-191500</v>
      </c>
      <c r="G62" s="87">
        <f>VLOOKUP(A62,'Data shares'!$C$2:$CA$216,77,0)</f>
        <v>-7.9799999999999996E-2</v>
      </c>
      <c r="H62" s="86">
        <f>VLOOKUP($A62,'Data shares'!$C:$FA,90)</f>
        <v>538900</v>
      </c>
      <c r="I62" s="86">
        <f>VLOOKUP($A62,'Data shares'!$C:$FA,92)</f>
        <v>-680600</v>
      </c>
      <c r="J62" s="87">
        <f>VLOOKUP($A62,'Data shares'!$C:$FA,93)</f>
        <v>-0.55810000000000004</v>
      </c>
      <c r="K62" s="86">
        <f>VLOOKUP($A62,'Data shares'!$C:$FA,94)</f>
        <v>287000</v>
      </c>
      <c r="L62" s="86">
        <f>VLOOKUP($A62,'Data shares'!$C:$FA,96)</f>
        <v>-575300</v>
      </c>
      <c r="M62" s="87">
        <f>VLOOKUP($A62,'Data shares'!$C:$FA,97)</f>
        <v>-0.66720000000000002</v>
      </c>
      <c r="N62" s="86">
        <f>VLOOKUP($A62,'Data shares'!$C:$FA,78)</f>
        <v>253700</v>
      </c>
      <c r="O62" s="87">
        <f>VLOOKUP($A62,'Data shares'!$C:$FA,81)</f>
        <v>-0.28620000000000001</v>
      </c>
    </row>
    <row r="63" spans="1:15" x14ac:dyDescent="0.25">
      <c r="A63" s="100" t="str">
        <f>'Data Vlaue (Cr)'!C58</f>
        <v>DIXON</v>
      </c>
      <c r="B63" s="82">
        <f>VLOOKUP(A63,'Data shares'!$C$2:$CV$216,98,0)</f>
        <v>4097950</v>
      </c>
      <c r="C63" s="82">
        <f>VLOOKUP(A63,'Data shares'!$C$2:$CX$216,100,0)</f>
        <v>-2223700</v>
      </c>
      <c r="D63" s="141">
        <f>VLOOKUP(A63,'Data shares'!$C$2:$CY$539,101,0)</f>
        <v>-0.3518</v>
      </c>
      <c r="E63" s="86">
        <f>VLOOKUP($A63,'Data shares'!$C:$FA,74)</f>
        <v>2618050</v>
      </c>
      <c r="F63" s="86">
        <f>VLOOKUP($A63,'Data shares'!$C:$FA,76)</f>
        <v>-180700</v>
      </c>
      <c r="G63" s="87">
        <f>VLOOKUP(A63,'Data shares'!$C$2:$CA$216,77,0)</f>
        <v>-6.4600000000000005E-2</v>
      </c>
      <c r="H63" s="86">
        <f>VLOOKUP($A63,'Data shares'!$C:$FA,90)</f>
        <v>815000</v>
      </c>
      <c r="I63" s="86">
        <f>VLOOKUP($A63,'Data shares'!$C:$FA,92)</f>
        <v>-1117900</v>
      </c>
      <c r="J63" s="87">
        <f>VLOOKUP($A63,'Data shares'!$C:$FA,93)</f>
        <v>-0.57840000000000003</v>
      </c>
      <c r="K63" s="86">
        <f>VLOOKUP($A63,'Data shares'!$C:$FA,94)</f>
        <v>664900</v>
      </c>
      <c r="L63" s="86">
        <f>VLOOKUP($A63,'Data shares'!$C:$FA,96)</f>
        <v>-925100</v>
      </c>
      <c r="M63" s="87">
        <f>VLOOKUP($A63,'Data shares'!$C:$FA,97)</f>
        <v>-0.58179999999999998</v>
      </c>
      <c r="N63" s="86">
        <f>VLOOKUP($A63,'Data shares'!$C:$FA,78)</f>
        <v>183100</v>
      </c>
      <c r="O63" s="87">
        <f>VLOOKUP($A63,'Data shares'!$C:$FA,81)</f>
        <v>-0.45419999999999999</v>
      </c>
    </row>
    <row r="64" spans="1:15" x14ac:dyDescent="0.25">
      <c r="A64" s="100" t="str">
        <f>'Data Vlaue (Cr)'!C59</f>
        <v>DLF</v>
      </c>
      <c r="B64" s="82">
        <f>VLOOKUP(A64,'Data shares'!$C$2:$CV$216,98,0)</f>
        <v>50459725</v>
      </c>
      <c r="C64" s="82">
        <f>VLOOKUP(A64,'Data shares'!$C$2:$CX$216,100,0)</f>
        <v>-9626425</v>
      </c>
      <c r="D64" s="141">
        <f>VLOOKUP(A64,'Data shares'!$C$2:$CY$539,101,0)</f>
        <v>-0.16020000000000001</v>
      </c>
      <c r="E64" s="86">
        <f>VLOOKUP($A64,'Data shares'!$C:$FA,74)</f>
        <v>41181650</v>
      </c>
      <c r="F64" s="86">
        <f>VLOOKUP($A64,'Data shares'!$C:$FA,76)</f>
        <v>-767700</v>
      </c>
      <c r="G64" s="87">
        <f>VLOOKUP(A64,'Data shares'!$C$2:$CA$216,77,0)</f>
        <v>-1.83E-2</v>
      </c>
      <c r="H64" s="86">
        <f>VLOOKUP($A64,'Data shares'!$C:$FA,90)</f>
        <v>5295675</v>
      </c>
      <c r="I64" s="86">
        <f>VLOOKUP($A64,'Data shares'!$C:$FA,92)</f>
        <v>-5065500</v>
      </c>
      <c r="J64" s="87">
        <f>VLOOKUP($A64,'Data shares'!$C:$FA,93)</f>
        <v>-0.4889</v>
      </c>
      <c r="K64" s="86">
        <f>VLOOKUP($A64,'Data shares'!$C:$FA,94)</f>
        <v>3982400</v>
      </c>
      <c r="L64" s="86">
        <f>VLOOKUP($A64,'Data shares'!$C:$FA,96)</f>
        <v>-3793225</v>
      </c>
      <c r="M64" s="87">
        <f>VLOOKUP($A64,'Data shares'!$C:$FA,97)</f>
        <v>-0.48780000000000001</v>
      </c>
      <c r="N64" s="86">
        <f>VLOOKUP($A64,'Data shares'!$C:$FA,78)</f>
        <v>1426425</v>
      </c>
      <c r="O64" s="87">
        <f>VLOOKUP($A64,'Data shares'!$C:$FA,81)</f>
        <v>-0.75170000000000003</v>
      </c>
    </row>
    <row r="65" spans="1:15" x14ac:dyDescent="0.25">
      <c r="A65" s="100" t="str">
        <f>'Data Vlaue (Cr)'!C60</f>
        <v>DMART</v>
      </c>
      <c r="B65" s="82">
        <f>VLOOKUP(A65,'Data shares'!$C$2:$CV$216,98,0)</f>
        <v>4727400</v>
      </c>
      <c r="C65" s="82">
        <f>VLOOKUP(A65,'Data shares'!$C$2:$CX$216,100,0)</f>
        <v>-2229150</v>
      </c>
      <c r="D65" s="141">
        <f>VLOOKUP(A65,'Data shares'!$C$2:$CY$539,101,0)</f>
        <v>-0.32040000000000002</v>
      </c>
      <c r="E65" s="86">
        <f>VLOOKUP($A65,'Data shares'!$C:$FA,74)</f>
        <v>3652800</v>
      </c>
      <c r="F65" s="86">
        <f>VLOOKUP($A65,'Data shares'!$C:$FA,76)</f>
        <v>-388350</v>
      </c>
      <c r="G65" s="87">
        <f>VLOOKUP(A65,'Data shares'!$C$2:$CA$216,77,0)</f>
        <v>-9.6100000000000005E-2</v>
      </c>
      <c r="H65" s="86">
        <f>VLOOKUP($A65,'Data shares'!$C:$FA,90)</f>
        <v>601500</v>
      </c>
      <c r="I65" s="86">
        <f>VLOOKUP($A65,'Data shares'!$C:$FA,92)</f>
        <v>-1410000</v>
      </c>
      <c r="J65" s="87">
        <f>VLOOKUP($A65,'Data shares'!$C:$FA,93)</f>
        <v>-0.70099999999999996</v>
      </c>
      <c r="K65" s="86">
        <f>VLOOKUP($A65,'Data shares'!$C:$FA,94)</f>
        <v>473100</v>
      </c>
      <c r="L65" s="86">
        <f>VLOOKUP($A65,'Data shares'!$C:$FA,96)</f>
        <v>-430800</v>
      </c>
      <c r="M65" s="87">
        <f>VLOOKUP($A65,'Data shares'!$C:$FA,97)</f>
        <v>-0.47660000000000002</v>
      </c>
      <c r="N65" s="86">
        <f>VLOOKUP($A65,'Data shares'!$C:$FA,78)</f>
        <v>495600</v>
      </c>
      <c r="O65" s="87">
        <f>VLOOKUP($A65,'Data shares'!$C:$FA,81)</f>
        <v>-0.33729999999999999</v>
      </c>
    </row>
    <row r="66" spans="1:15" x14ac:dyDescent="0.25">
      <c r="A66" s="100" t="str">
        <f>'Data Vlaue (Cr)'!C61</f>
        <v>DRREDDY</v>
      </c>
      <c r="B66" s="82">
        <f>VLOOKUP(A66,'Data shares'!$C$2:$CV$216,98,0)</f>
        <v>21895000</v>
      </c>
      <c r="C66" s="82">
        <f>VLOOKUP(A66,'Data shares'!$C$2:$CX$216,100,0)</f>
        <v>-15335625</v>
      </c>
      <c r="D66" s="141">
        <f>VLOOKUP(A66,'Data shares'!$C$2:$CY$539,101,0)</f>
        <v>-0.41189999999999999</v>
      </c>
      <c r="E66" s="86">
        <f>VLOOKUP($A66,'Data shares'!$C:$FA,74)</f>
        <v>17575000</v>
      </c>
      <c r="F66" s="86">
        <f>VLOOKUP($A66,'Data shares'!$C:$FA,76)</f>
        <v>-4452500</v>
      </c>
      <c r="G66" s="87">
        <f>VLOOKUP(A66,'Data shares'!$C$2:$CA$216,77,0)</f>
        <v>-0.2021</v>
      </c>
      <c r="H66" s="86">
        <f>VLOOKUP($A66,'Data shares'!$C:$FA,90)</f>
        <v>2550000</v>
      </c>
      <c r="I66" s="86">
        <f>VLOOKUP($A66,'Data shares'!$C:$FA,92)</f>
        <v>-6967500</v>
      </c>
      <c r="J66" s="87">
        <f>VLOOKUP($A66,'Data shares'!$C:$FA,93)</f>
        <v>-0.73209999999999997</v>
      </c>
      <c r="K66" s="86">
        <f>VLOOKUP($A66,'Data shares'!$C:$FA,94)</f>
        <v>1770000</v>
      </c>
      <c r="L66" s="86">
        <f>VLOOKUP($A66,'Data shares'!$C:$FA,96)</f>
        <v>-3915625</v>
      </c>
      <c r="M66" s="87">
        <f>VLOOKUP($A66,'Data shares'!$C:$FA,97)</f>
        <v>-0.68869999999999998</v>
      </c>
      <c r="N66" s="86">
        <f>VLOOKUP($A66,'Data shares'!$C:$FA,78)</f>
        <v>5315000</v>
      </c>
      <c r="O66" s="87">
        <f>VLOOKUP($A66,'Data shares'!$C:$FA,81)</f>
        <v>-8.2000000000000003E-2</v>
      </c>
    </row>
    <row r="67" spans="1:15" x14ac:dyDescent="0.25">
      <c r="A67" s="100" t="str">
        <f>'Data Vlaue (Cr)'!C62</f>
        <v>EICHERMOT</v>
      </c>
      <c r="B67" s="82">
        <f>VLOOKUP(A67,'Data shares'!$C$2:$CV$216,98,0)</f>
        <v>4953800</v>
      </c>
      <c r="C67" s="82">
        <f>VLOOKUP(A67,'Data shares'!$C$2:$CX$216,100,0)</f>
        <v>-2349800</v>
      </c>
      <c r="D67" s="141">
        <f>VLOOKUP(A67,'Data shares'!$C$2:$CY$539,101,0)</f>
        <v>-0.32169999999999999</v>
      </c>
      <c r="E67" s="86">
        <f>VLOOKUP($A67,'Data shares'!$C:$FA,74)</f>
        <v>3158700</v>
      </c>
      <c r="F67" s="86">
        <f>VLOOKUP($A67,'Data shares'!$C:$FA,76)</f>
        <v>-266300</v>
      </c>
      <c r="G67" s="87">
        <f>VLOOKUP(A67,'Data shares'!$C$2:$CA$216,77,0)</f>
        <v>-7.7799999999999994E-2</v>
      </c>
      <c r="H67" s="86">
        <f>VLOOKUP($A67,'Data shares'!$C:$FA,90)</f>
        <v>1042900</v>
      </c>
      <c r="I67" s="86">
        <f>VLOOKUP($A67,'Data shares'!$C:$FA,92)</f>
        <v>-1139000</v>
      </c>
      <c r="J67" s="87">
        <f>VLOOKUP($A67,'Data shares'!$C:$FA,93)</f>
        <v>-0.52200000000000002</v>
      </c>
      <c r="K67" s="86">
        <f>VLOOKUP($A67,'Data shares'!$C:$FA,94)</f>
        <v>752200</v>
      </c>
      <c r="L67" s="86">
        <f>VLOOKUP($A67,'Data shares'!$C:$FA,96)</f>
        <v>-944500</v>
      </c>
      <c r="M67" s="87">
        <f>VLOOKUP($A67,'Data shares'!$C:$FA,97)</f>
        <v>-0.55669999999999997</v>
      </c>
      <c r="N67" s="86">
        <f>VLOOKUP($A67,'Data shares'!$C:$FA,78)</f>
        <v>193900</v>
      </c>
      <c r="O67" s="87">
        <f>VLOOKUP($A67,'Data shares'!$C:$FA,81)</f>
        <v>-0.34560000000000002</v>
      </c>
    </row>
    <row r="68" spans="1:15" x14ac:dyDescent="0.25">
      <c r="A68" s="100" t="str">
        <f>'Data Vlaue (Cr)'!C63</f>
        <v>ETERNAL</v>
      </c>
      <c r="B68" s="82">
        <f>VLOOKUP(A68,'Data shares'!$C$2:$CV$216,98,0)</f>
        <v>242856475</v>
      </c>
      <c r="C68" s="82">
        <f>VLOOKUP(A68,'Data shares'!$C$2:$CX$216,100,0)</f>
        <v>-72352300</v>
      </c>
      <c r="D68" s="141">
        <f>VLOOKUP(A68,'Data shares'!$C$2:$CY$539,101,0)</f>
        <v>-0.22950000000000001</v>
      </c>
      <c r="E68" s="86">
        <f>VLOOKUP($A68,'Data shares'!$C:$FA,74)</f>
        <v>195641725</v>
      </c>
      <c r="F68" s="86">
        <f>VLOOKUP($A68,'Data shares'!$C:$FA,76)</f>
        <v>-843900</v>
      </c>
      <c r="G68" s="87">
        <f>VLOOKUP(A68,'Data shares'!$C$2:$CA$216,77,0)</f>
        <v>-4.3E-3</v>
      </c>
      <c r="H68" s="86">
        <f>VLOOKUP($A68,'Data shares'!$C:$FA,90)</f>
        <v>22860475</v>
      </c>
      <c r="I68" s="86">
        <f>VLOOKUP($A68,'Data shares'!$C:$FA,92)</f>
        <v>-52751025</v>
      </c>
      <c r="J68" s="87">
        <f>VLOOKUP($A68,'Data shares'!$C:$FA,93)</f>
        <v>-0.69769999999999999</v>
      </c>
      <c r="K68" s="86">
        <f>VLOOKUP($A68,'Data shares'!$C:$FA,94)</f>
        <v>24354275</v>
      </c>
      <c r="L68" s="86">
        <f>VLOOKUP($A68,'Data shares'!$C:$FA,96)</f>
        <v>-18757375</v>
      </c>
      <c r="M68" s="87">
        <f>VLOOKUP($A68,'Data shares'!$C:$FA,97)</f>
        <v>-0.43509999999999999</v>
      </c>
      <c r="N68" s="86">
        <f>VLOOKUP($A68,'Data shares'!$C:$FA,78)</f>
        <v>7146475</v>
      </c>
      <c r="O68" s="87">
        <f>VLOOKUP($A68,'Data shares'!$C:$FA,81)</f>
        <v>-0.78990000000000005</v>
      </c>
    </row>
    <row r="69" spans="1:15" x14ac:dyDescent="0.25">
      <c r="A69" s="100" t="str">
        <f>'Data Vlaue (Cr)'!C64</f>
        <v>EXIDEIND</v>
      </c>
      <c r="B69" s="82">
        <f>VLOOKUP(A69,'Data shares'!$C$2:$CV$216,98,0)</f>
        <v>34927200</v>
      </c>
      <c r="C69" s="82">
        <f>VLOOKUP(A69,'Data shares'!$C$2:$CX$216,100,0)</f>
        <v>-14830200</v>
      </c>
      <c r="D69" s="141">
        <f>VLOOKUP(A69,'Data shares'!$C$2:$CY$539,101,0)</f>
        <v>-0.29809999999999998</v>
      </c>
      <c r="E69" s="86">
        <f>VLOOKUP($A69,'Data shares'!$C:$FA,74)</f>
        <v>21601800</v>
      </c>
      <c r="F69" s="86">
        <f>VLOOKUP($A69,'Data shares'!$C:$FA,76)</f>
        <v>-1571400</v>
      </c>
      <c r="G69" s="87">
        <f>VLOOKUP(A69,'Data shares'!$C$2:$CA$216,77,0)</f>
        <v>-6.7799999999999999E-2</v>
      </c>
      <c r="H69" s="86">
        <f>VLOOKUP($A69,'Data shares'!$C:$FA,90)</f>
        <v>7911000</v>
      </c>
      <c r="I69" s="86">
        <f>VLOOKUP($A69,'Data shares'!$C:$FA,92)</f>
        <v>-8694000</v>
      </c>
      <c r="J69" s="87">
        <f>VLOOKUP($A69,'Data shares'!$C:$FA,93)</f>
        <v>-0.52359999999999995</v>
      </c>
      <c r="K69" s="86">
        <f>VLOOKUP($A69,'Data shares'!$C:$FA,94)</f>
        <v>5414400</v>
      </c>
      <c r="L69" s="86">
        <f>VLOOKUP($A69,'Data shares'!$C:$FA,96)</f>
        <v>-4564800</v>
      </c>
      <c r="M69" s="87">
        <f>VLOOKUP($A69,'Data shares'!$C:$FA,97)</f>
        <v>-0.45739999999999997</v>
      </c>
      <c r="N69" s="86">
        <f>VLOOKUP($A69,'Data shares'!$C:$FA,78)</f>
        <v>1872000</v>
      </c>
      <c r="O69" s="87">
        <f>VLOOKUP($A69,'Data shares'!$C:$FA,81)</f>
        <v>-0.60619999999999996</v>
      </c>
    </row>
    <row r="70" spans="1:15" x14ac:dyDescent="0.25">
      <c r="A70" s="100" t="str">
        <f>'Data Vlaue (Cr)'!C65</f>
        <v>FEDERALBNK</v>
      </c>
      <c r="B70" s="82">
        <f>VLOOKUP(A70,'Data shares'!$C$2:$CV$216,98,0)</f>
        <v>98252500</v>
      </c>
      <c r="C70" s="82">
        <f>VLOOKUP(A70,'Data shares'!$C$2:$CX$216,100,0)</f>
        <v>-36867500</v>
      </c>
      <c r="D70" s="141">
        <f>VLOOKUP(A70,'Data shares'!$C$2:$CY$539,101,0)</f>
        <v>-0.27289999999999998</v>
      </c>
      <c r="E70" s="86">
        <f>VLOOKUP($A70,'Data shares'!$C:$FA,74)</f>
        <v>80370000</v>
      </c>
      <c r="F70" s="86">
        <f>VLOOKUP($A70,'Data shares'!$C:$FA,76)</f>
        <v>-4877500</v>
      </c>
      <c r="G70" s="87">
        <f>VLOOKUP(A70,'Data shares'!$C$2:$CA$216,77,0)</f>
        <v>-5.7200000000000001E-2</v>
      </c>
      <c r="H70" s="86">
        <f>VLOOKUP($A70,'Data shares'!$C:$FA,90)</f>
        <v>10142500</v>
      </c>
      <c r="I70" s="86">
        <f>VLOOKUP($A70,'Data shares'!$C:$FA,92)</f>
        <v>-20972500</v>
      </c>
      <c r="J70" s="87">
        <f>VLOOKUP($A70,'Data shares'!$C:$FA,93)</f>
        <v>-0.67400000000000004</v>
      </c>
      <c r="K70" s="86">
        <f>VLOOKUP($A70,'Data shares'!$C:$FA,94)</f>
        <v>7740000</v>
      </c>
      <c r="L70" s="86">
        <f>VLOOKUP($A70,'Data shares'!$C:$FA,96)</f>
        <v>-11017500</v>
      </c>
      <c r="M70" s="87">
        <f>VLOOKUP($A70,'Data shares'!$C:$FA,97)</f>
        <v>-0.58740000000000003</v>
      </c>
      <c r="N70" s="86">
        <f>VLOOKUP($A70,'Data shares'!$C:$FA,78)</f>
        <v>7522500</v>
      </c>
      <c r="O70" s="87">
        <f>VLOOKUP($A70,'Data shares'!$C:$FA,81)</f>
        <v>-0.41670000000000001</v>
      </c>
    </row>
    <row r="71" spans="1:15" x14ac:dyDescent="0.25">
      <c r="A71" s="100" t="str">
        <f>'Data Vlaue (Cr)'!C66</f>
        <v>FINNIFTY</v>
      </c>
      <c r="B71" s="82">
        <f>VLOOKUP(A71,'Data shares'!$C$2:$CV$216,98,0)</f>
        <v>31980</v>
      </c>
      <c r="C71" s="82">
        <f>VLOOKUP(A71,'Data shares'!$C$2:$CX$216,100,0)</f>
        <v>-2026740</v>
      </c>
      <c r="D71" s="141">
        <f>VLOOKUP(A71,'Data shares'!$C$2:$CY$539,101,0)</f>
        <v>-0.98450000000000004</v>
      </c>
      <c r="E71" s="86">
        <f>VLOOKUP($A71,'Data shares'!$C:$FA,74)</f>
        <v>13860</v>
      </c>
      <c r="F71" s="86">
        <f>VLOOKUP($A71,'Data shares'!$C:$FA,76)</f>
        <v>-19380</v>
      </c>
      <c r="G71" s="87">
        <f>VLOOKUP(A71,'Data shares'!$C$2:$CA$216,77,0)</f>
        <v>-0.58299999999999996</v>
      </c>
      <c r="H71" s="86">
        <f>VLOOKUP($A71,'Data shares'!$C:$FA,90)</f>
        <v>10200</v>
      </c>
      <c r="I71" s="86">
        <f>VLOOKUP($A71,'Data shares'!$C:$FA,92)</f>
        <v>-1029660</v>
      </c>
      <c r="J71" s="87">
        <f>VLOOKUP($A71,'Data shares'!$C:$FA,93)</f>
        <v>-0.99019999999999997</v>
      </c>
      <c r="K71" s="86">
        <f>VLOOKUP($A71,'Data shares'!$C:$FA,94)</f>
        <v>7920</v>
      </c>
      <c r="L71" s="86">
        <f>VLOOKUP($A71,'Data shares'!$C:$FA,96)</f>
        <v>-977700</v>
      </c>
      <c r="M71" s="87">
        <f>VLOOKUP($A71,'Data shares'!$C:$FA,97)</f>
        <v>-0.99199999999999999</v>
      </c>
      <c r="N71" s="86">
        <f>VLOOKUP($A71,'Data shares'!$C:$FA,78)</f>
        <v>20760</v>
      </c>
      <c r="O71" s="87">
        <f>VLOOKUP($A71,'Data shares'!$C:$FA,81)</f>
        <v>-0.2064</v>
      </c>
    </row>
    <row r="72" spans="1:15" x14ac:dyDescent="0.25">
      <c r="A72" s="100" t="str">
        <f>'Data Vlaue (Cr)'!C67</f>
        <v>FORCEMOT</v>
      </c>
      <c r="B72" s="82">
        <f>VLOOKUP(A72,'Data shares'!$C$2:$CV$216,98,0)</f>
        <v>264550</v>
      </c>
      <c r="C72" s="82">
        <f>VLOOKUP(A72,'Data shares'!$C$2:$CX$216,100,0)</f>
        <v>-251075</v>
      </c>
      <c r="D72" s="141">
        <f>VLOOKUP(A72,'Data shares'!$C$2:$CY$539,101,0)</f>
        <v>-0.4869</v>
      </c>
      <c r="E72" s="86">
        <f>VLOOKUP($A72,'Data shares'!$C:$FA,74)</f>
        <v>212225</v>
      </c>
      <c r="F72" s="86">
        <f>VLOOKUP($A72,'Data shares'!$C:$FA,76)</f>
        <v>-24325</v>
      </c>
      <c r="G72" s="87">
        <f>VLOOKUP(A72,'Data shares'!$C$2:$CA$216,77,0)</f>
        <v>-0.1028</v>
      </c>
      <c r="H72" s="86">
        <f>VLOOKUP($A72,'Data shares'!$C:$FA,90)</f>
        <v>41150</v>
      </c>
      <c r="I72" s="86">
        <f>VLOOKUP($A72,'Data shares'!$C:$FA,92)</f>
        <v>-170150</v>
      </c>
      <c r="J72" s="87">
        <f>VLOOKUP($A72,'Data shares'!$C:$FA,93)</f>
        <v>-0.80530000000000002</v>
      </c>
      <c r="K72" s="86">
        <f>VLOOKUP($A72,'Data shares'!$C:$FA,94)</f>
        <v>11175</v>
      </c>
      <c r="L72" s="86">
        <f>VLOOKUP($A72,'Data shares'!$C:$FA,96)</f>
        <v>-56600</v>
      </c>
      <c r="M72" s="87">
        <f>VLOOKUP($A72,'Data shares'!$C:$FA,97)</f>
        <v>-0.83509999999999995</v>
      </c>
      <c r="N72" s="86">
        <f>VLOOKUP($A72,'Data shares'!$C:$FA,78)</f>
        <v>8625</v>
      </c>
      <c r="O72" s="87">
        <f>VLOOKUP($A72,'Data shares'!$C:$FA,81)</f>
        <v>-0.73170000000000002</v>
      </c>
    </row>
    <row r="73" spans="1:15" x14ac:dyDescent="0.25">
      <c r="A73" s="100" t="str">
        <f>'Data Vlaue (Cr)'!C68</f>
        <v>FORTIS</v>
      </c>
      <c r="B73" s="82">
        <f>VLOOKUP(A73,'Data shares'!$C$2:$CV$216,98,0)</f>
        <v>11261525</v>
      </c>
      <c r="C73" s="82">
        <f>VLOOKUP(A73,'Data shares'!$C$2:$CX$216,100,0)</f>
        <v>-2669100</v>
      </c>
      <c r="D73" s="141">
        <f>VLOOKUP(A73,'Data shares'!$C$2:$CY$539,101,0)</f>
        <v>-0.19159999999999999</v>
      </c>
      <c r="E73" s="86">
        <f>VLOOKUP($A73,'Data shares'!$C:$FA,74)</f>
        <v>9223275</v>
      </c>
      <c r="F73" s="86">
        <f>VLOOKUP($A73,'Data shares'!$C:$FA,76)</f>
        <v>-50375</v>
      </c>
      <c r="G73" s="87">
        <f>VLOOKUP(A73,'Data shares'!$C$2:$CA$216,77,0)</f>
        <v>-5.4000000000000003E-3</v>
      </c>
      <c r="H73" s="86">
        <f>VLOOKUP($A73,'Data shares'!$C:$FA,90)</f>
        <v>1344625</v>
      </c>
      <c r="I73" s="86">
        <f>VLOOKUP($A73,'Data shares'!$C:$FA,92)</f>
        <v>-1495750</v>
      </c>
      <c r="J73" s="87">
        <f>VLOOKUP($A73,'Data shares'!$C:$FA,93)</f>
        <v>-0.52659999999999996</v>
      </c>
      <c r="K73" s="86">
        <f>VLOOKUP($A73,'Data shares'!$C:$FA,94)</f>
        <v>693625</v>
      </c>
      <c r="L73" s="86">
        <f>VLOOKUP($A73,'Data shares'!$C:$FA,96)</f>
        <v>-1122975</v>
      </c>
      <c r="M73" s="87">
        <f>VLOOKUP($A73,'Data shares'!$C:$FA,97)</f>
        <v>-0.61819999999999997</v>
      </c>
      <c r="N73" s="86">
        <f>VLOOKUP($A73,'Data shares'!$C:$FA,78)</f>
        <v>189100</v>
      </c>
      <c r="O73" s="87">
        <f>VLOOKUP($A73,'Data shares'!$C:$FA,81)</f>
        <v>-0.70599999999999996</v>
      </c>
    </row>
    <row r="74" spans="1:15" x14ac:dyDescent="0.25">
      <c r="A74" s="100" t="str">
        <f>'Data Vlaue (Cr)'!C69</f>
        <v>GAIL</v>
      </c>
      <c r="B74" s="82">
        <f>VLOOKUP(A74,'Data shares'!$C$2:$CV$216,98,0)</f>
        <v>110052900</v>
      </c>
      <c r="C74" s="82">
        <f>VLOOKUP(A74,'Data shares'!$C$2:$CX$216,100,0)</f>
        <v>-42252300</v>
      </c>
      <c r="D74" s="141">
        <f>VLOOKUP(A74,'Data shares'!$C$2:$CY$539,101,0)</f>
        <v>-0.27739999999999998</v>
      </c>
      <c r="E74" s="86">
        <f>VLOOKUP($A74,'Data shares'!$C:$FA,74)</f>
        <v>77355450</v>
      </c>
      <c r="F74" s="86">
        <f>VLOOKUP($A74,'Data shares'!$C:$FA,76)</f>
        <v>-6875850</v>
      </c>
      <c r="G74" s="87">
        <f>VLOOKUP(A74,'Data shares'!$C$2:$CA$216,77,0)</f>
        <v>-8.1600000000000006E-2</v>
      </c>
      <c r="H74" s="86">
        <f>VLOOKUP($A74,'Data shares'!$C:$FA,90)</f>
        <v>17488450</v>
      </c>
      <c r="I74" s="86">
        <f>VLOOKUP($A74,'Data shares'!$C:$FA,92)</f>
        <v>-17115900</v>
      </c>
      <c r="J74" s="87">
        <f>VLOOKUP($A74,'Data shares'!$C:$FA,93)</f>
        <v>-0.49459999999999998</v>
      </c>
      <c r="K74" s="86">
        <f>VLOOKUP($A74,'Data shares'!$C:$FA,94)</f>
        <v>15209000</v>
      </c>
      <c r="L74" s="86">
        <f>VLOOKUP($A74,'Data shares'!$C:$FA,96)</f>
        <v>-18260550</v>
      </c>
      <c r="M74" s="87">
        <f>VLOOKUP($A74,'Data shares'!$C:$FA,97)</f>
        <v>-0.54559999999999997</v>
      </c>
      <c r="N74" s="86">
        <f>VLOOKUP($A74,'Data shares'!$C:$FA,78)</f>
        <v>7575750</v>
      </c>
      <c r="O74" s="87">
        <f>VLOOKUP($A74,'Data shares'!$C:$FA,81)</f>
        <v>-0.32629999999999998</v>
      </c>
    </row>
    <row r="75" spans="1:15" x14ac:dyDescent="0.25">
      <c r="A75" s="100" t="str">
        <f>'Data Vlaue (Cr)'!C70</f>
        <v>GLENMARK</v>
      </c>
      <c r="B75" s="82">
        <f>VLOOKUP(A75,'Data shares'!$C$2:$CV$216,98,0)</f>
        <v>13962375</v>
      </c>
      <c r="C75" s="82">
        <f>VLOOKUP(A75,'Data shares'!$C$2:$CX$216,100,0)</f>
        <v>-2445000</v>
      </c>
      <c r="D75" s="141">
        <f>VLOOKUP(A75,'Data shares'!$C$2:$CY$539,101,0)</f>
        <v>-0.14899999999999999</v>
      </c>
      <c r="E75" s="86">
        <f>VLOOKUP($A75,'Data shares'!$C:$FA,74)</f>
        <v>11295750</v>
      </c>
      <c r="F75" s="86">
        <f>VLOOKUP($A75,'Data shares'!$C:$FA,76)</f>
        <v>-103500</v>
      </c>
      <c r="G75" s="87">
        <f>VLOOKUP(A75,'Data shares'!$C$2:$CA$216,77,0)</f>
        <v>-9.1000000000000004E-3</v>
      </c>
      <c r="H75" s="86">
        <f>VLOOKUP($A75,'Data shares'!$C:$FA,90)</f>
        <v>1557375</v>
      </c>
      <c r="I75" s="86">
        <f>VLOOKUP($A75,'Data shares'!$C:$FA,92)</f>
        <v>-1585500</v>
      </c>
      <c r="J75" s="87">
        <f>VLOOKUP($A75,'Data shares'!$C:$FA,93)</f>
        <v>-0.50449999999999995</v>
      </c>
      <c r="K75" s="86">
        <f>VLOOKUP($A75,'Data shares'!$C:$FA,94)</f>
        <v>1109250</v>
      </c>
      <c r="L75" s="86">
        <f>VLOOKUP($A75,'Data shares'!$C:$FA,96)</f>
        <v>-756000</v>
      </c>
      <c r="M75" s="87">
        <f>VLOOKUP($A75,'Data shares'!$C:$FA,97)</f>
        <v>-0.40529999999999999</v>
      </c>
      <c r="N75" s="86">
        <f>VLOOKUP($A75,'Data shares'!$C:$FA,78)</f>
        <v>198375</v>
      </c>
      <c r="O75" s="87">
        <f>VLOOKUP($A75,'Data shares'!$C:$FA,81)</f>
        <v>-0.78969999999999996</v>
      </c>
    </row>
    <row r="76" spans="1:15" x14ac:dyDescent="0.25">
      <c r="A76" s="100" t="str">
        <f>'Data Vlaue (Cr)'!C71</f>
        <v>GMRAIRPORT</v>
      </c>
      <c r="B76" s="82">
        <f>VLOOKUP(A76,'Data shares'!$C$2:$CV$216,98,0)</f>
        <v>157586175</v>
      </c>
      <c r="C76" s="82">
        <f>VLOOKUP(A76,'Data shares'!$C$2:$CX$216,100,0)</f>
        <v>-57522825</v>
      </c>
      <c r="D76" s="141">
        <f>VLOOKUP(A76,'Data shares'!$C$2:$CY$539,101,0)</f>
        <v>-0.26740000000000003</v>
      </c>
      <c r="E76" s="86">
        <f>VLOOKUP($A76,'Data shares'!$C:$FA,74)</f>
        <v>120207150</v>
      </c>
      <c r="F76" s="86">
        <f>VLOOKUP($A76,'Data shares'!$C:$FA,76)</f>
        <v>-12945600</v>
      </c>
      <c r="G76" s="87">
        <f>VLOOKUP(A76,'Data shares'!$C$2:$CA$216,77,0)</f>
        <v>-9.7199999999999995E-2</v>
      </c>
      <c r="H76" s="86">
        <f>VLOOKUP($A76,'Data shares'!$C:$FA,90)</f>
        <v>22264200</v>
      </c>
      <c r="I76" s="86">
        <f>VLOOKUP($A76,'Data shares'!$C:$FA,92)</f>
        <v>-26986275</v>
      </c>
      <c r="J76" s="87">
        <f>VLOOKUP($A76,'Data shares'!$C:$FA,93)</f>
        <v>-0.54790000000000005</v>
      </c>
      <c r="K76" s="86">
        <f>VLOOKUP($A76,'Data shares'!$C:$FA,94)</f>
        <v>15114825</v>
      </c>
      <c r="L76" s="86">
        <f>VLOOKUP($A76,'Data shares'!$C:$FA,96)</f>
        <v>-17590950</v>
      </c>
      <c r="M76" s="87">
        <f>VLOOKUP($A76,'Data shares'!$C:$FA,97)</f>
        <v>-0.53790000000000004</v>
      </c>
      <c r="N76" s="86">
        <f>VLOOKUP($A76,'Data shares'!$C:$FA,78)</f>
        <v>14605650</v>
      </c>
      <c r="O76" s="87">
        <f>VLOOKUP($A76,'Data shares'!$C:$FA,81)</f>
        <v>-0.52500000000000002</v>
      </c>
    </row>
    <row r="77" spans="1:15" x14ac:dyDescent="0.25">
      <c r="A77" s="100" t="str">
        <f>'Data Vlaue (Cr)'!C72</f>
        <v>GODFRYPHLP</v>
      </c>
      <c r="B77" s="82">
        <f>VLOOKUP(A77,'Data shares'!$C$2:$CV$216,98,0)</f>
        <v>3301925</v>
      </c>
      <c r="C77" s="82">
        <f>VLOOKUP(A77,'Data shares'!$C$2:$CX$216,100,0)</f>
        <v>-1584550</v>
      </c>
      <c r="D77" s="141">
        <f>VLOOKUP(A77,'Data shares'!$C$2:$CY$539,101,0)</f>
        <v>-0.32429999999999998</v>
      </c>
      <c r="E77" s="86">
        <f>VLOOKUP($A77,'Data shares'!$C:$FA,74)</f>
        <v>2556675</v>
      </c>
      <c r="F77" s="86">
        <f>VLOOKUP($A77,'Data shares'!$C:$FA,76)</f>
        <v>-276375</v>
      </c>
      <c r="G77" s="87">
        <f>VLOOKUP(A77,'Data shares'!$C$2:$CA$216,77,0)</f>
        <v>-9.7600000000000006E-2</v>
      </c>
      <c r="H77" s="86">
        <f>VLOOKUP($A77,'Data shares'!$C:$FA,90)</f>
        <v>555500</v>
      </c>
      <c r="I77" s="86">
        <f>VLOOKUP($A77,'Data shares'!$C:$FA,92)</f>
        <v>-815100</v>
      </c>
      <c r="J77" s="87">
        <f>VLOOKUP($A77,'Data shares'!$C:$FA,93)</f>
        <v>-0.59470000000000001</v>
      </c>
      <c r="K77" s="86">
        <f>VLOOKUP($A77,'Data shares'!$C:$FA,94)</f>
        <v>189750</v>
      </c>
      <c r="L77" s="86">
        <f>VLOOKUP($A77,'Data shares'!$C:$FA,96)</f>
        <v>-493075</v>
      </c>
      <c r="M77" s="87">
        <f>VLOOKUP($A77,'Data shares'!$C:$FA,97)</f>
        <v>-0.72209999999999996</v>
      </c>
      <c r="N77" s="86">
        <f>VLOOKUP($A77,'Data shares'!$C:$FA,78)</f>
        <v>81400</v>
      </c>
      <c r="O77" s="87">
        <f>VLOOKUP($A77,'Data shares'!$C:$FA,81)</f>
        <v>-0.78690000000000004</v>
      </c>
    </row>
    <row r="78" spans="1:15" x14ac:dyDescent="0.25">
      <c r="A78" s="100" t="str">
        <f>'Data Vlaue (Cr)'!C73</f>
        <v>GODREJCP</v>
      </c>
      <c r="B78" s="82">
        <f>VLOOKUP(A78,'Data shares'!$C$2:$CV$216,98,0)</f>
        <v>13128500</v>
      </c>
      <c r="C78" s="82">
        <f>VLOOKUP(A78,'Data shares'!$C$2:$CX$216,100,0)</f>
        <v>-5840500</v>
      </c>
      <c r="D78" s="141">
        <f>VLOOKUP(A78,'Data shares'!$C$2:$CY$539,101,0)</f>
        <v>-0.30790000000000001</v>
      </c>
      <c r="E78" s="86">
        <f>VLOOKUP($A78,'Data shares'!$C:$FA,74)</f>
        <v>12049000</v>
      </c>
      <c r="F78" s="86">
        <f>VLOOKUP($A78,'Data shares'!$C:$FA,76)</f>
        <v>-1589000</v>
      </c>
      <c r="G78" s="87">
        <f>VLOOKUP(A78,'Data shares'!$C$2:$CA$216,77,0)</f>
        <v>-0.11650000000000001</v>
      </c>
      <c r="H78" s="86">
        <f>VLOOKUP($A78,'Data shares'!$C:$FA,90)</f>
        <v>624000</v>
      </c>
      <c r="I78" s="86">
        <f>VLOOKUP($A78,'Data shares'!$C:$FA,92)</f>
        <v>-2645000</v>
      </c>
      <c r="J78" s="87">
        <f>VLOOKUP($A78,'Data shares'!$C:$FA,93)</f>
        <v>-0.80910000000000004</v>
      </c>
      <c r="K78" s="86">
        <f>VLOOKUP($A78,'Data shares'!$C:$FA,94)</f>
        <v>455500</v>
      </c>
      <c r="L78" s="86">
        <f>VLOOKUP($A78,'Data shares'!$C:$FA,96)</f>
        <v>-1606500</v>
      </c>
      <c r="M78" s="87">
        <f>VLOOKUP($A78,'Data shares'!$C:$FA,97)</f>
        <v>-0.77910000000000001</v>
      </c>
      <c r="N78" s="86">
        <f>VLOOKUP($A78,'Data shares'!$C:$FA,78)</f>
        <v>1083500</v>
      </c>
      <c r="O78" s="87">
        <f>VLOOKUP($A78,'Data shares'!$C:$FA,81)</f>
        <v>-0.45100000000000001</v>
      </c>
    </row>
    <row r="79" spans="1:15" x14ac:dyDescent="0.25">
      <c r="A79" s="100" t="str">
        <f>'Data Vlaue (Cr)'!C74</f>
        <v>GODREJPROP</v>
      </c>
      <c r="B79" s="82">
        <f>VLOOKUP(A79,'Data shares'!$C$2:$CV$216,98,0)</f>
        <v>10055250</v>
      </c>
      <c r="C79" s="82">
        <f>VLOOKUP(A79,'Data shares'!$C$2:$CX$216,100,0)</f>
        <v>-3265450</v>
      </c>
      <c r="D79" s="141">
        <f>VLOOKUP(A79,'Data shares'!$C$2:$CY$539,101,0)</f>
        <v>-0.24510000000000001</v>
      </c>
      <c r="E79" s="86">
        <f>VLOOKUP($A79,'Data shares'!$C:$FA,74)</f>
        <v>7964100</v>
      </c>
      <c r="F79" s="86">
        <f>VLOOKUP($A79,'Data shares'!$C:$FA,76)</f>
        <v>-111250</v>
      </c>
      <c r="G79" s="87">
        <f>VLOOKUP(A79,'Data shares'!$C$2:$CA$216,77,0)</f>
        <v>-1.38E-2</v>
      </c>
      <c r="H79" s="86">
        <f>VLOOKUP($A79,'Data shares'!$C:$FA,90)</f>
        <v>1255100</v>
      </c>
      <c r="I79" s="86">
        <f>VLOOKUP($A79,'Data shares'!$C:$FA,92)</f>
        <v>-1855425</v>
      </c>
      <c r="J79" s="87">
        <f>VLOOKUP($A79,'Data shares'!$C:$FA,93)</f>
        <v>-0.59650000000000003</v>
      </c>
      <c r="K79" s="86">
        <f>VLOOKUP($A79,'Data shares'!$C:$FA,94)</f>
        <v>836050</v>
      </c>
      <c r="L79" s="86">
        <f>VLOOKUP($A79,'Data shares'!$C:$FA,96)</f>
        <v>-1298775</v>
      </c>
      <c r="M79" s="87">
        <f>VLOOKUP($A79,'Data shares'!$C:$FA,97)</f>
        <v>-0.60840000000000005</v>
      </c>
      <c r="N79" s="86">
        <f>VLOOKUP($A79,'Data shares'!$C:$FA,78)</f>
        <v>278575</v>
      </c>
      <c r="O79" s="87">
        <f>VLOOKUP($A79,'Data shares'!$C:$FA,81)</f>
        <v>-0.64649999999999996</v>
      </c>
    </row>
    <row r="80" spans="1:15" x14ac:dyDescent="0.25">
      <c r="A80" s="100" t="str">
        <f>'Data Vlaue (Cr)'!C75</f>
        <v>GRASIM</v>
      </c>
      <c r="B80" s="82">
        <f>VLOOKUP(A80,'Data shares'!$C$2:$CV$216,98,0)</f>
        <v>16942500</v>
      </c>
      <c r="C80" s="82">
        <f>VLOOKUP(A80,'Data shares'!$C$2:$CX$216,100,0)</f>
        <v>-4273500</v>
      </c>
      <c r="D80" s="141">
        <f>VLOOKUP(A80,'Data shares'!$C$2:$CY$539,101,0)</f>
        <v>-0.2014</v>
      </c>
      <c r="E80" s="86">
        <f>VLOOKUP($A80,'Data shares'!$C:$FA,74)</f>
        <v>15312250</v>
      </c>
      <c r="F80" s="86">
        <f>VLOOKUP($A80,'Data shares'!$C:$FA,76)</f>
        <v>-790250</v>
      </c>
      <c r="G80" s="87">
        <f>VLOOKUP(A80,'Data shares'!$C$2:$CA$216,77,0)</f>
        <v>-4.9099999999999998E-2</v>
      </c>
      <c r="H80" s="86">
        <f>VLOOKUP($A80,'Data shares'!$C:$FA,90)</f>
        <v>785000</v>
      </c>
      <c r="I80" s="86">
        <f>VLOOKUP($A80,'Data shares'!$C:$FA,92)</f>
        <v>-1622000</v>
      </c>
      <c r="J80" s="87">
        <f>VLOOKUP($A80,'Data shares'!$C:$FA,93)</f>
        <v>-0.67390000000000005</v>
      </c>
      <c r="K80" s="86">
        <f>VLOOKUP($A80,'Data shares'!$C:$FA,94)</f>
        <v>845250</v>
      </c>
      <c r="L80" s="86">
        <f>VLOOKUP($A80,'Data shares'!$C:$FA,96)</f>
        <v>-1861250</v>
      </c>
      <c r="M80" s="87">
        <f>VLOOKUP($A80,'Data shares'!$C:$FA,97)</f>
        <v>-0.68769999999999998</v>
      </c>
      <c r="N80" s="86">
        <f>VLOOKUP($A80,'Data shares'!$C:$FA,78)</f>
        <v>479250</v>
      </c>
      <c r="O80" s="87">
        <f>VLOOKUP($A80,'Data shares'!$C:$FA,81)</f>
        <v>-0.62350000000000005</v>
      </c>
    </row>
    <row r="81" spans="1:15" x14ac:dyDescent="0.25">
      <c r="A81" s="100" t="str">
        <f>'Data Vlaue (Cr)'!C76</f>
        <v>HAL</v>
      </c>
      <c r="B81" s="82">
        <f>VLOOKUP(A81,'Data shares'!$C$2:$CV$216,98,0)</f>
        <v>9368250</v>
      </c>
      <c r="C81" s="82">
        <f>VLOOKUP(A81,'Data shares'!$C$2:$CX$216,100,0)</f>
        <v>-4549650</v>
      </c>
      <c r="D81" s="141">
        <f>VLOOKUP(A81,'Data shares'!$C$2:$CY$539,101,0)</f>
        <v>-0.32690000000000002</v>
      </c>
      <c r="E81" s="86">
        <f>VLOOKUP($A81,'Data shares'!$C:$FA,74)</f>
        <v>6656550</v>
      </c>
      <c r="F81" s="86">
        <f>VLOOKUP($A81,'Data shares'!$C:$FA,76)</f>
        <v>-535050</v>
      </c>
      <c r="G81" s="87">
        <f>VLOOKUP(A81,'Data shares'!$C$2:$CA$216,77,0)</f>
        <v>-7.4399999999999994E-2</v>
      </c>
      <c r="H81" s="86">
        <f>VLOOKUP($A81,'Data shares'!$C:$FA,90)</f>
        <v>1500000</v>
      </c>
      <c r="I81" s="86">
        <f>VLOOKUP($A81,'Data shares'!$C:$FA,92)</f>
        <v>-2600250</v>
      </c>
      <c r="J81" s="87">
        <f>VLOOKUP($A81,'Data shares'!$C:$FA,93)</f>
        <v>-0.63419999999999999</v>
      </c>
      <c r="K81" s="86">
        <f>VLOOKUP($A81,'Data shares'!$C:$FA,94)</f>
        <v>1211700</v>
      </c>
      <c r="L81" s="86">
        <f>VLOOKUP($A81,'Data shares'!$C:$FA,96)</f>
        <v>-1414350</v>
      </c>
      <c r="M81" s="87">
        <f>VLOOKUP($A81,'Data shares'!$C:$FA,97)</f>
        <v>-0.53859999999999997</v>
      </c>
      <c r="N81" s="86">
        <f>VLOOKUP($A81,'Data shares'!$C:$FA,78)</f>
        <v>678150</v>
      </c>
      <c r="O81" s="87">
        <f>VLOOKUP($A81,'Data shares'!$C:$FA,81)</f>
        <v>-0.59179999999999999</v>
      </c>
    </row>
    <row r="82" spans="1:15" x14ac:dyDescent="0.25">
      <c r="A82" s="100" t="str">
        <f>'Data Vlaue (Cr)'!C77</f>
        <v>HAVELLS</v>
      </c>
      <c r="B82" s="82">
        <f>VLOOKUP(A82,'Data shares'!$C$2:$CV$216,98,0)</f>
        <v>11775500</v>
      </c>
      <c r="C82" s="82">
        <f>VLOOKUP(A82,'Data shares'!$C$2:$CX$216,100,0)</f>
        <v>-5642000</v>
      </c>
      <c r="D82" s="141">
        <f>VLOOKUP(A82,'Data shares'!$C$2:$CY$539,101,0)</f>
        <v>-0.32390000000000002</v>
      </c>
      <c r="E82" s="86">
        <f>VLOOKUP($A82,'Data shares'!$C:$FA,74)</f>
        <v>9651000</v>
      </c>
      <c r="F82" s="86">
        <f>VLOOKUP($A82,'Data shares'!$C:$FA,76)</f>
        <v>-1640500</v>
      </c>
      <c r="G82" s="87">
        <f>VLOOKUP(A82,'Data shares'!$C$2:$CA$216,77,0)</f>
        <v>-0.14530000000000001</v>
      </c>
      <c r="H82" s="86">
        <f>VLOOKUP($A82,'Data shares'!$C:$FA,90)</f>
        <v>1219500</v>
      </c>
      <c r="I82" s="86">
        <f>VLOOKUP($A82,'Data shares'!$C:$FA,92)</f>
        <v>-2956500</v>
      </c>
      <c r="J82" s="87">
        <f>VLOOKUP($A82,'Data shares'!$C:$FA,93)</f>
        <v>-0.70799999999999996</v>
      </c>
      <c r="K82" s="86">
        <f>VLOOKUP($A82,'Data shares'!$C:$FA,94)</f>
        <v>905000</v>
      </c>
      <c r="L82" s="86">
        <f>VLOOKUP($A82,'Data shares'!$C:$FA,96)</f>
        <v>-1045000</v>
      </c>
      <c r="M82" s="87">
        <f>VLOOKUP($A82,'Data shares'!$C:$FA,97)</f>
        <v>-0.53590000000000004</v>
      </c>
      <c r="N82" s="86">
        <f>VLOOKUP($A82,'Data shares'!$C:$FA,78)</f>
        <v>1812500</v>
      </c>
      <c r="O82" s="87">
        <f>VLOOKUP($A82,'Data shares'!$C:$FA,81)</f>
        <v>-0.52480000000000004</v>
      </c>
    </row>
    <row r="83" spans="1:15" x14ac:dyDescent="0.25">
      <c r="A83" s="100" t="str">
        <f>'Data Vlaue (Cr)'!C78</f>
        <v>HCLTECH</v>
      </c>
      <c r="B83" s="82">
        <f>VLOOKUP(A83,'Data shares'!$C$2:$CV$216,98,0)</f>
        <v>47429400</v>
      </c>
      <c r="C83" s="82">
        <f>VLOOKUP(A83,'Data shares'!$C$2:$CX$216,100,0)</f>
        <v>-30609650</v>
      </c>
      <c r="D83" s="141">
        <f>VLOOKUP(A83,'Data shares'!$C$2:$CY$539,101,0)</f>
        <v>-0.39219999999999999</v>
      </c>
      <c r="E83" s="86">
        <f>VLOOKUP($A83,'Data shares'!$C:$FA,74)</f>
        <v>39810600</v>
      </c>
      <c r="F83" s="86">
        <f>VLOOKUP($A83,'Data shares'!$C:$FA,76)</f>
        <v>-3503750</v>
      </c>
      <c r="G83" s="87">
        <f>VLOOKUP(A83,'Data shares'!$C$2:$CA$216,77,0)</f>
        <v>-8.09E-2</v>
      </c>
      <c r="H83" s="86">
        <f>VLOOKUP($A83,'Data shares'!$C:$FA,90)</f>
        <v>4354750</v>
      </c>
      <c r="I83" s="86">
        <f>VLOOKUP($A83,'Data shares'!$C:$FA,92)</f>
        <v>-19998050</v>
      </c>
      <c r="J83" s="87">
        <f>VLOOKUP($A83,'Data shares'!$C:$FA,93)</f>
        <v>-0.82120000000000004</v>
      </c>
      <c r="K83" s="86">
        <f>VLOOKUP($A83,'Data shares'!$C:$FA,94)</f>
        <v>3264050</v>
      </c>
      <c r="L83" s="86">
        <f>VLOOKUP($A83,'Data shares'!$C:$FA,96)</f>
        <v>-7107850</v>
      </c>
      <c r="M83" s="87">
        <f>VLOOKUP($A83,'Data shares'!$C:$FA,97)</f>
        <v>-0.68530000000000002</v>
      </c>
      <c r="N83" s="86">
        <f>VLOOKUP($A83,'Data shares'!$C:$FA,78)</f>
        <v>2802450</v>
      </c>
      <c r="O83" s="87">
        <f>VLOOKUP($A83,'Data shares'!$C:$FA,81)</f>
        <v>-0.42670000000000002</v>
      </c>
    </row>
    <row r="84" spans="1:15" x14ac:dyDescent="0.25">
      <c r="A84" s="100" t="str">
        <f>'Data Vlaue (Cr)'!C79</f>
        <v>HDFCAMC</v>
      </c>
      <c r="B84" s="82">
        <f>VLOOKUP(A84,'Data shares'!$C$2:$CV$216,98,0)</f>
        <v>7494600</v>
      </c>
      <c r="C84" s="82">
        <f>VLOOKUP(A84,'Data shares'!$C$2:$CX$216,100,0)</f>
        <v>-2444100</v>
      </c>
      <c r="D84" s="141">
        <f>VLOOKUP(A84,'Data shares'!$C$2:$CY$539,101,0)</f>
        <v>-0.24590000000000001</v>
      </c>
      <c r="E84" s="86">
        <f>VLOOKUP($A84,'Data shares'!$C:$FA,74)</f>
        <v>6684600</v>
      </c>
      <c r="F84" s="86">
        <f>VLOOKUP($A84,'Data shares'!$C:$FA,76)</f>
        <v>-774000</v>
      </c>
      <c r="G84" s="87">
        <f>VLOOKUP(A84,'Data shares'!$C$2:$CA$216,77,0)</f>
        <v>-0.1038</v>
      </c>
      <c r="H84" s="86">
        <f>VLOOKUP($A84,'Data shares'!$C:$FA,90)</f>
        <v>491100</v>
      </c>
      <c r="I84" s="86">
        <f>VLOOKUP($A84,'Data shares'!$C:$FA,92)</f>
        <v>-993000</v>
      </c>
      <c r="J84" s="87">
        <f>VLOOKUP($A84,'Data shares'!$C:$FA,93)</f>
        <v>-0.66910000000000003</v>
      </c>
      <c r="K84" s="86">
        <f>VLOOKUP($A84,'Data shares'!$C:$FA,94)</f>
        <v>318900</v>
      </c>
      <c r="L84" s="86">
        <f>VLOOKUP($A84,'Data shares'!$C:$FA,96)</f>
        <v>-677100</v>
      </c>
      <c r="M84" s="87">
        <f>VLOOKUP($A84,'Data shares'!$C:$FA,97)</f>
        <v>-0.67979999999999996</v>
      </c>
      <c r="N84" s="86">
        <f>VLOOKUP($A84,'Data shares'!$C:$FA,78)</f>
        <v>678900</v>
      </c>
      <c r="O84" s="87">
        <f>VLOOKUP($A84,'Data shares'!$C:$FA,81)</f>
        <v>-0.2329</v>
      </c>
    </row>
    <row r="85" spans="1:15" x14ac:dyDescent="0.25">
      <c r="A85" s="100" t="str">
        <f>'Data Vlaue (Cr)'!C80</f>
        <v>HDFCBANK</v>
      </c>
      <c r="B85" s="82">
        <f>VLOOKUP(A85,'Data shares'!$C$2:$CV$216,98,0)</f>
        <v>427880700</v>
      </c>
      <c r="C85" s="82">
        <f>VLOOKUP(A85,'Data shares'!$C$2:$CX$216,100,0)</f>
        <v>-62239300</v>
      </c>
      <c r="D85" s="141">
        <f>VLOOKUP(A85,'Data shares'!$C$2:$CY$539,101,0)</f>
        <v>-0.127</v>
      </c>
      <c r="E85" s="86">
        <f>VLOOKUP($A85,'Data shares'!$C:$FA,74)</f>
        <v>353434050</v>
      </c>
      <c r="F85" s="86">
        <f>VLOOKUP($A85,'Data shares'!$C:$FA,76)</f>
        <v>-11526300</v>
      </c>
      <c r="G85" s="87">
        <f>VLOOKUP(A85,'Data shares'!$C$2:$CA$216,77,0)</f>
        <v>-3.1600000000000003E-2</v>
      </c>
      <c r="H85" s="86">
        <f>VLOOKUP($A85,'Data shares'!$C:$FA,90)</f>
        <v>45862000</v>
      </c>
      <c r="I85" s="86">
        <f>VLOOKUP($A85,'Data shares'!$C:$FA,92)</f>
        <v>-29239800</v>
      </c>
      <c r="J85" s="87">
        <f>VLOOKUP($A85,'Data shares'!$C:$FA,93)</f>
        <v>-0.38929999999999998</v>
      </c>
      <c r="K85" s="86">
        <f>VLOOKUP($A85,'Data shares'!$C:$FA,94)</f>
        <v>28584650</v>
      </c>
      <c r="L85" s="86">
        <f>VLOOKUP($A85,'Data shares'!$C:$FA,96)</f>
        <v>-21473200</v>
      </c>
      <c r="M85" s="87">
        <f>VLOOKUP($A85,'Data shares'!$C:$FA,97)</f>
        <v>-0.42899999999999999</v>
      </c>
      <c r="N85" s="86">
        <f>VLOOKUP($A85,'Data shares'!$C:$FA,78)</f>
        <v>6763350</v>
      </c>
      <c r="O85" s="87">
        <f>VLOOKUP($A85,'Data shares'!$C:$FA,81)</f>
        <v>-0.70030000000000003</v>
      </c>
    </row>
    <row r="86" spans="1:15" x14ac:dyDescent="0.25">
      <c r="A86" s="100" t="str">
        <f>'Data Vlaue (Cr)'!C81</f>
        <v>HDFCLIFE</v>
      </c>
      <c r="B86" s="82">
        <f>VLOOKUP(A86,'Data shares'!$C$2:$CV$216,98,0)</f>
        <v>63605300</v>
      </c>
      <c r="C86" s="82">
        <f>VLOOKUP(A86,'Data shares'!$C$2:$CX$216,100,0)</f>
        <v>-29637300</v>
      </c>
      <c r="D86" s="141">
        <f>VLOOKUP(A86,'Data shares'!$C$2:$CY$539,101,0)</f>
        <v>-0.31790000000000002</v>
      </c>
      <c r="E86" s="86">
        <f>VLOOKUP($A86,'Data shares'!$C:$FA,74)</f>
        <v>52350100</v>
      </c>
      <c r="F86" s="86">
        <f>VLOOKUP($A86,'Data shares'!$C:$FA,76)</f>
        <v>-5122700</v>
      </c>
      <c r="G86" s="87">
        <f>VLOOKUP(A86,'Data shares'!$C$2:$CA$216,77,0)</f>
        <v>-8.9099999999999999E-2</v>
      </c>
      <c r="H86" s="86">
        <f>VLOOKUP($A86,'Data shares'!$C:$FA,90)</f>
        <v>6441600</v>
      </c>
      <c r="I86" s="86">
        <f>VLOOKUP($A86,'Data shares'!$C:$FA,92)</f>
        <v>-14539800</v>
      </c>
      <c r="J86" s="87">
        <f>VLOOKUP($A86,'Data shares'!$C:$FA,93)</f>
        <v>-0.69299999999999995</v>
      </c>
      <c r="K86" s="86">
        <f>VLOOKUP($A86,'Data shares'!$C:$FA,94)</f>
        <v>4813600</v>
      </c>
      <c r="L86" s="86">
        <f>VLOOKUP($A86,'Data shares'!$C:$FA,96)</f>
        <v>-9974800</v>
      </c>
      <c r="M86" s="87">
        <f>VLOOKUP($A86,'Data shares'!$C:$FA,97)</f>
        <v>-0.67449999999999999</v>
      </c>
      <c r="N86" s="86">
        <f>VLOOKUP($A86,'Data shares'!$C:$FA,78)</f>
        <v>4588100</v>
      </c>
      <c r="O86" s="87">
        <f>VLOOKUP($A86,'Data shares'!$C:$FA,81)</f>
        <v>-0.41570000000000001</v>
      </c>
    </row>
    <row r="87" spans="1:15" x14ac:dyDescent="0.25">
      <c r="A87" s="100" t="str">
        <f>'Data Vlaue (Cr)'!C82</f>
        <v>HEROMOTOCO</v>
      </c>
      <c r="B87" s="82">
        <f>VLOOKUP(A87,'Data shares'!$C$2:$CV$216,98,0)</f>
        <v>5807850</v>
      </c>
      <c r="C87" s="82">
        <f>VLOOKUP(A87,'Data shares'!$C$2:$CX$216,100,0)</f>
        <v>-3328800</v>
      </c>
      <c r="D87" s="141">
        <f>VLOOKUP(A87,'Data shares'!$C$2:$CY$539,101,0)</f>
        <v>-0.36430000000000001</v>
      </c>
      <c r="E87" s="86">
        <f>VLOOKUP($A87,'Data shares'!$C:$FA,74)</f>
        <v>4016250</v>
      </c>
      <c r="F87" s="86">
        <f>VLOOKUP($A87,'Data shares'!$C:$FA,76)</f>
        <v>-397950</v>
      </c>
      <c r="G87" s="87">
        <f>VLOOKUP(A87,'Data shares'!$C$2:$CA$216,77,0)</f>
        <v>-9.0200000000000002E-2</v>
      </c>
      <c r="H87" s="86">
        <f>VLOOKUP($A87,'Data shares'!$C:$FA,90)</f>
        <v>1161450</v>
      </c>
      <c r="I87" s="86">
        <f>VLOOKUP($A87,'Data shares'!$C:$FA,92)</f>
        <v>-1807650</v>
      </c>
      <c r="J87" s="87">
        <f>VLOOKUP($A87,'Data shares'!$C:$FA,93)</f>
        <v>-0.60880000000000001</v>
      </c>
      <c r="K87" s="86">
        <f>VLOOKUP($A87,'Data shares'!$C:$FA,94)</f>
        <v>630150</v>
      </c>
      <c r="L87" s="86">
        <f>VLOOKUP($A87,'Data shares'!$C:$FA,96)</f>
        <v>-1123200</v>
      </c>
      <c r="M87" s="87">
        <f>VLOOKUP($A87,'Data shares'!$C:$FA,97)</f>
        <v>-0.64059999999999995</v>
      </c>
      <c r="N87" s="86">
        <f>VLOOKUP($A87,'Data shares'!$C:$FA,78)</f>
        <v>450750</v>
      </c>
      <c r="O87" s="87">
        <f>VLOOKUP($A87,'Data shares'!$C:$FA,81)</f>
        <v>-0.50480000000000003</v>
      </c>
    </row>
    <row r="88" spans="1:15" x14ac:dyDescent="0.25">
      <c r="A88" s="100" t="str">
        <f>'Data Vlaue (Cr)'!C83</f>
        <v>HINDALCO</v>
      </c>
      <c r="B88" s="82">
        <f>VLOOKUP(A88,'Data shares'!$C$2:$CV$216,98,0)</f>
        <v>42738500</v>
      </c>
      <c r="C88" s="82">
        <f>VLOOKUP(A88,'Data shares'!$C$2:$CX$216,100,0)</f>
        <v>-13997200</v>
      </c>
      <c r="D88" s="141">
        <f>VLOOKUP(A88,'Data shares'!$C$2:$CY$539,101,0)</f>
        <v>-0.2467</v>
      </c>
      <c r="E88" s="86">
        <f>VLOOKUP($A88,'Data shares'!$C:$FA,74)</f>
        <v>33159000</v>
      </c>
      <c r="F88" s="86">
        <f>VLOOKUP($A88,'Data shares'!$C:$FA,76)</f>
        <v>-1584100</v>
      </c>
      <c r="G88" s="87">
        <f>VLOOKUP(A88,'Data shares'!$C$2:$CA$216,77,0)</f>
        <v>-4.5600000000000002E-2</v>
      </c>
      <c r="H88" s="86">
        <f>VLOOKUP($A88,'Data shares'!$C:$FA,90)</f>
        <v>5843600</v>
      </c>
      <c r="I88" s="86">
        <f>VLOOKUP($A88,'Data shares'!$C:$FA,92)</f>
        <v>-6008100</v>
      </c>
      <c r="J88" s="87">
        <f>VLOOKUP($A88,'Data shares'!$C:$FA,93)</f>
        <v>-0.50690000000000002</v>
      </c>
      <c r="K88" s="86">
        <f>VLOOKUP($A88,'Data shares'!$C:$FA,94)</f>
        <v>3735900</v>
      </c>
      <c r="L88" s="86">
        <f>VLOOKUP($A88,'Data shares'!$C:$FA,96)</f>
        <v>-6405000</v>
      </c>
      <c r="M88" s="87">
        <f>VLOOKUP($A88,'Data shares'!$C:$FA,97)</f>
        <v>-0.63160000000000005</v>
      </c>
      <c r="N88" s="86">
        <f>VLOOKUP($A88,'Data shares'!$C:$FA,78)</f>
        <v>2204300</v>
      </c>
      <c r="O88" s="87">
        <f>VLOOKUP($A88,'Data shares'!$C:$FA,81)</f>
        <v>-0.39510000000000001</v>
      </c>
    </row>
    <row r="89" spans="1:15" x14ac:dyDescent="0.25">
      <c r="A89" s="100" t="str">
        <f>'Data Vlaue (Cr)'!C84</f>
        <v>HINDPETRO</v>
      </c>
      <c r="B89" s="82">
        <f>VLOOKUP(A89,'Data shares'!$C$2:$CV$216,98,0)</f>
        <v>46921275</v>
      </c>
      <c r="C89" s="82">
        <f>VLOOKUP(A89,'Data shares'!$C$2:$CX$216,100,0)</f>
        <v>-22449150</v>
      </c>
      <c r="D89" s="141">
        <f>VLOOKUP(A89,'Data shares'!$C$2:$CY$539,101,0)</f>
        <v>-0.3236</v>
      </c>
      <c r="E89" s="86">
        <f>VLOOKUP($A89,'Data shares'!$C:$FA,74)</f>
        <v>31810725</v>
      </c>
      <c r="F89" s="86">
        <f>VLOOKUP($A89,'Data shares'!$C:$FA,76)</f>
        <v>-4434750</v>
      </c>
      <c r="G89" s="87">
        <f>VLOOKUP(A89,'Data shares'!$C$2:$CA$216,77,0)</f>
        <v>-0.12239999999999999</v>
      </c>
      <c r="H89" s="86">
        <f>VLOOKUP($A89,'Data shares'!$C:$FA,90)</f>
        <v>8646750</v>
      </c>
      <c r="I89" s="86">
        <f>VLOOKUP($A89,'Data shares'!$C:$FA,92)</f>
        <v>-9142875</v>
      </c>
      <c r="J89" s="87">
        <f>VLOOKUP($A89,'Data shares'!$C:$FA,93)</f>
        <v>-0.51390000000000002</v>
      </c>
      <c r="K89" s="86">
        <f>VLOOKUP($A89,'Data shares'!$C:$FA,94)</f>
        <v>6463800</v>
      </c>
      <c r="L89" s="86">
        <f>VLOOKUP($A89,'Data shares'!$C:$FA,96)</f>
        <v>-8871525</v>
      </c>
      <c r="M89" s="87">
        <f>VLOOKUP($A89,'Data shares'!$C:$FA,97)</f>
        <v>-0.57850000000000001</v>
      </c>
      <c r="N89" s="86">
        <f>VLOOKUP($A89,'Data shares'!$C:$FA,78)</f>
        <v>4128975</v>
      </c>
      <c r="O89" s="87">
        <f>VLOOKUP($A89,'Data shares'!$C:$FA,81)</f>
        <v>-0.3206</v>
      </c>
    </row>
    <row r="90" spans="1:15" x14ac:dyDescent="0.25">
      <c r="A90" s="100" t="str">
        <f>'Data Vlaue (Cr)'!C85</f>
        <v>HINDUNILVR</v>
      </c>
      <c r="B90" s="82">
        <f>VLOOKUP(A90,'Data shares'!$C$2:$CV$216,98,0)</f>
        <v>21510300</v>
      </c>
      <c r="C90" s="82">
        <f>VLOOKUP(A90,'Data shares'!$C$2:$CX$216,100,0)</f>
        <v>-12013500</v>
      </c>
      <c r="D90" s="141">
        <f>VLOOKUP(A90,'Data shares'!$C$2:$CY$539,101,0)</f>
        <v>-0.3584</v>
      </c>
      <c r="E90" s="86">
        <f>VLOOKUP($A90,'Data shares'!$C:$FA,74)</f>
        <v>15632400</v>
      </c>
      <c r="F90" s="86">
        <f>VLOOKUP($A90,'Data shares'!$C:$FA,76)</f>
        <v>-1439400</v>
      </c>
      <c r="G90" s="87">
        <f>VLOOKUP(A90,'Data shares'!$C$2:$CA$216,77,0)</f>
        <v>-8.43E-2</v>
      </c>
      <c r="H90" s="86">
        <f>VLOOKUP($A90,'Data shares'!$C:$FA,90)</f>
        <v>3802200</v>
      </c>
      <c r="I90" s="86">
        <f>VLOOKUP($A90,'Data shares'!$C:$FA,92)</f>
        <v>-7280400</v>
      </c>
      <c r="J90" s="87">
        <f>VLOOKUP($A90,'Data shares'!$C:$FA,93)</f>
        <v>-0.65690000000000004</v>
      </c>
      <c r="K90" s="86">
        <f>VLOOKUP($A90,'Data shares'!$C:$FA,94)</f>
        <v>2075700</v>
      </c>
      <c r="L90" s="86">
        <f>VLOOKUP($A90,'Data shares'!$C:$FA,96)</f>
        <v>-3293700</v>
      </c>
      <c r="M90" s="87">
        <f>VLOOKUP($A90,'Data shares'!$C:$FA,97)</f>
        <v>-0.61339999999999995</v>
      </c>
      <c r="N90" s="86">
        <f>VLOOKUP($A90,'Data shares'!$C:$FA,78)</f>
        <v>1516200</v>
      </c>
      <c r="O90" s="87">
        <f>VLOOKUP($A90,'Data shares'!$C:$FA,81)</f>
        <v>-0.36649999999999999</v>
      </c>
    </row>
    <row r="91" spans="1:15" x14ac:dyDescent="0.25">
      <c r="A91" s="100" t="str">
        <f>'Data Vlaue (Cr)'!C86</f>
        <v>HINDZINC</v>
      </c>
      <c r="B91" s="82">
        <f>VLOOKUP(A91,'Data shares'!$C$2:$CV$216,98,0)</f>
        <v>50928150</v>
      </c>
      <c r="C91" s="82">
        <f>VLOOKUP(A91,'Data shares'!$C$2:$CX$216,100,0)</f>
        <v>-24114125</v>
      </c>
      <c r="D91" s="141">
        <f>VLOOKUP(A91,'Data shares'!$C$2:$CY$539,101,0)</f>
        <v>-0.32129999999999997</v>
      </c>
      <c r="E91" s="86">
        <f>VLOOKUP($A91,'Data shares'!$C:$FA,74)</f>
        <v>32970875</v>
      </c>
      <c r="F91" s="86">
        <f>VLOOKUP($A91,'Data shares'!$C:$FA,76)</f>
        <v>-4189500</v>
      </c>
      <c r="G91" s="87">
        <f>VLOOKUP(A91,'Data shares'!$C$2:$CA$216,77,0)</f>
        <v>-0.11269999999999999</v>
      </c>
      <c r="H91" s="86">
        <f>VLOOKUP($A91,'Data shares'!$C:$FA,90)</f>
        <v>10576650</v>
      </c>
      <c r="I91" s="86">
        <f>VLOOKUP($A91,'Data shares'!$C:$FA,92)</f>
        <v>-11339825</v>
      </c>
      <c r="J91" s="87">
        <f>VLOOKUP($A91,'Data shares'!$C:$FA,93)</f>
        <v>-0.51739999999999997</v>
      </c>
      <c r="K91" s="86">
        <f>VLOOKUP($A91,'Data shares'!$C:$FA,94)</f>
        <v>7380625</v>
      </c>
      <c r="L91" s="86">
        <f>VLOOKUP($A91,'Data shares'!$C:$FA,96)</f>
        <v>-8584800</v>
      </c>
      <c r="M91" s="87">
        <f>VLOOKUP($A91,'Data shares'!$C:$FA,97)</f>
        <v>-0.53769999999999996</v>
      </c>
      <c r="N91" s="86">
        <f>VLOOKUP($A91,'Data shares'!$C:$FA,78)</f>
        <v>3020850</v>
      </c>
      <c r="O91" s="87">
        <f>VLOOKUP($A91,'Data shares'!$C:$FA,81)</f>
        <v>-0.74109999999999998</v>
      </c>
    </row>
    <row r="92" spans="1:15" x14ac:dyDescent="0.25">
      <c r="A92" s="100" t="str">
        <f>'Data Vlaue (Cr)'!C87</f>
        <v>HYUNDAI</v>
      </c>
      <c r="B92" s="82">
        <f>VLOOKUP(A92,'Data shares'!$C$2:$CV$216,98,0)</f>
        <v>11388025</v>
      </c>
      <c r="C92" s="82">
        <f>VLOOKUP(A92,'Data shares'!$C$2:$CX$216,100,0)</f>
        <v>-2795100</v>
      </c>
      <c r="D92" s="141">
        <f>VLOOKUP(A92,'Data shares'!$C$2:$CY$539,101,0)</f>
        <v>-0.1971</v>
      </c>
      <c r="E92" s="86">
        <f>VLOOKUP($A92,'Data shares'!$C:$FA,74)</f>
        <v>10848475</v>
      </c>
      <c r="F92" s="86">
        <f>VLOOKUP($A92,'Data shares'!$C:$FA,76)</f>
        <v>-1174250</v>
      </c>
      <c r="G92" s="87">
        <f>VLOOKUP(A92,'Data shares'!$C$2:$CA$216,77,0)</f>
        <v>-9.7699999999999995E-2</v>
      </c>
      <c r="H92" s="86">
        <f>VLOOKUP($A92,'Data shares'!$C:$FA,90)</f>
        <v>311575</v>
      </c>
      <c r="I92" s="86">
        <f>VLOOKUP($A92,'Data shares'!$C:$FA,92)</f>
        <v>-915200</v>
      </c>
      <c r="J92" s="87">
        <f>VLOOKUP($A92,'Data shares'!$C:$FA,93)</f>
        <v>-0.746</v>
      </c>
      <c r="K92" s="86">
        <f>VLOOKUP($A92,'Data shares'!$C:$FA,94)</f>
        <v>227975</v>
      </c>
      <c r="L92" s="86">
        <f>VLOOKUP($A92,'Data shares'!$C:$FA,96)</f>
        <v>-705650</v>
      </c>
      <c r="M92" s="87">
        <f>VLOOKUP($A92,'Data shares'!$C:$FA,97)</f>
        <v>-0.75580000000000003</v>
      </c>
      <c r="N92" s="86">
        <f>VLOOKUP($A92,'Data shares'!$C:$FA,78)</f>
        <v>463925</v>
      </c>
      <c r="O92" s="87">
        <f>VLOOKUP($A92,'Data shares'!$C:$FA,81)</f>
        <v>-0.69769999999999999</v>
      </c>
    </row>
    <row r="93" spans="1:15" x14ac:dyDescent="0.25">
      <c r="A93" s="100" t="str">
        <f>'Data Vlaue (Cr)'!C88</f>
        <v>ICICIBANK</v>
      </c>
      <c r="B93" s="82">
        <f>VLOOKUP(A93,'Data shares'!$C$2:$CV$216,98,0)</f>
        <v>184001300</v>
      </c>
      <c r="C93" s="82">
        <f>VLOOKUP(A93,'Data shares'!$C$2:$CX$216,100,0)</f>
        <v>-41449800</v>
      </c>
      <c r="D93" s="141">
        <f>VLOOKUP(A93,'Data shares'!$C$2:$CY$539,101,0)</f>
        <v>-0.18390000000000001</v>
      </c>
      <c r="E93" s="86">
        <f>VLOOKUP($A93,'Data shares'!$C:$FA,74)</f>
        <v>157894800</v>
      </c>
      <c r="F93" s="86">
        <f>VLOOKUP($A93,'Data shares'!$C:$FA,76)</f>
        <v>-7863100</v>
      </c>
      <c r="G93" s="87">
        <f>VLOOKUP(A93,'Data shares'!$C$2:$CA$216,77,0)</f>
        <v>-4.7399999999999998E-2</v>
      </c>
      <c r="H93" s="86">
        <f>VLOOKUP($A93,'Data shares'!$C:$FA,90)</f>
        <v>12620300</v>
      </c>
      <c r="I93" s="86">
        <f>VLOOKUP($A93,'Data shares'!$C:$FA,92)</f>
        <v>-21261800</v>
      </c>
      <c r="J93" s="87">
        <f>VLOOKUP($A93,'Data shares'!$C:$FA,93)</f>
        <v>-0.62749999999999995</v>
      </c>
      <c r="K93" s="86">
        <f>VLOOKUP($A93,'Data shares'!$C:$FA,94)</f>
        <v>13486200</v>
      </c>
      <c r="L93" s="86">
        <f>VLOOKUP($A93,'Data shares'!$C:$FA,96)</f>
        <v>-12324900</v>
      </c>
      <c r="M93" s="87">
        <f>VLOOKUP($A93,'Data shares'!$C:$FA,97)</f>
        <v>-0.47749999999999998</v>
      </c>
      <c r="N93" s="86">
        <f>VLOOKUP($A93,'Data shares'!$C:$FA,78)</f>
        <v>15957200</v>
      </c>
      <c r="O93" s="87">
        <f>VLOOKUP($A93,'Data shares'!$C:$FA,81)</f>
        <v>-0.29409999999999997</v>
      </c>
    </row>
    <row r="94" spans="1:15" x14ac:dyDescent="0.25">
      <c r="A94" s="100" t="str">
        <f>'Data Vlaue (Cr)'!C89</f>
        <v>ICICIGI</v>
      </c>
      <c r="B94" s="82">
        <f>VLOOKUP(A94,'Data shares'!$C$2:$CV$216,98,0)</f>
        <v>5092100</v>
      </c>
      <c r="C94" s="82">
        <f>VLOOKUP(A94,'Data shares'!$C$2:$CX$216,100,0)</f>
        <v>-1413750</v>
      </c>
      <c r="D94" s="141">
        <f>VLOOKUP(A94,'Data shares'!$C$2:$CY$539,101,0)</f>
        <v>-0.21729999999999999</v>
      </c>
      <c r="E94" s="86">
        <f>VLOOKUP($A94,'Data shares'!$C:$FA,74)</f>
        <v>4654000</v>
      </c>
      <c r="F94" s="86">
        <f>VLOOKUP($A94,'Data shares'!$C:$FA,76)</f>
        <v>-126425</v>
      </c>
      <c r="G94" s="87">
        <f>VLOOKUP(A94,'Data shares'!$C$2:$CA$216,77,0)</f>
        <v>-2.64E-2</v>
      </c>
      <c r="H94" s="86">
        <f>VLOOKUP($A94,'Data shares'!$C:$FA,90)</f>
        <v>266500</v>
      </c>
      <c r="I94" s="86">
        <f>VLOOKUP($A94,'Data shares'!$C:$FA,92)</f>
        <v>-939900</v>
      </c>
      <c r="J94" s="87">
        <f>VLOOKUP($A94,'Data shares'!$C:$FA,93)</f>
        <v>-0.77910000000000001</v>
      </c>
      <c r="K94" s="86">
        <f>VLOOKUP($A94,'Data shares'!$C:$FA,94)</f>
        <v>171600</v>
      </c>
      <c r="L94" s="86">
        <f>VLOOKUP($A94,'Data shares'!$C:$FA,96)</f>
        <v>-347425</v>
      </c>
      <c r="M94" s="87">
        <f>VLOOKUP($A94,'Data shares'!$C:$FA,97)</f>
        <v>-0.6694</v>
      </c>
      <c r="N94" s="86">
        <f>VLOOKUP($A94,'Data shares'!$C:$FA,78)</f>
        <v>136175</v>
      </c>
      <c r="O94" s="87">
        <f>VLOOKUP($A94,'Data shares'!$C:$FA,81)</f>
        <v>-0.60429999999999995</v>
      </c>
    </row>
    <row r="95" spans="1:15" x14ac:dyDescent="0.25">
      <c r="A95" s="100" t="str">
        <f>'Data Vlaue (Cr)'!C90</f>
        <v>ICICIPRULI</v>
      </c>
      <c r="B95" s="82">
        <f>VLOOKUP(A95,'Data shares'!$C$2:$CV$216,98,0)</f>
        <v>18364025</v>
      </c>
      <c r="C95" s="82">
        <f>VLOOKUP(A95,'Data shares'!$C$2:$CX$216,100,0)</f>
        <v>-12875075</v>
      </c>
      <c r="D95" s="141">
        <f>VLOOKUP(A95,'Data shares'!$C$2:$CY$539,101,0)</f>
        <v>-0.41210000000000002</v>
      </c>
      <c r="E95" s="86">
        <f>VLOOKUP($A95,'Data shares'!$C:$FA,74)</f>
        <v>16062625</v>
      </c>
      <c r="F95" s="86">
        <f>VLOOKUP($A95,'Data shares'!$C:$FA,76)</f>
        <v>-1911975</v>
      </c>
      <c r="G95" s="87">
        <f>VLOOKUP(A95,'Data shares'!$C$2:$CA$216,77,0)</f>
        <v>-0.10639999999999999</v>
      </c>
      <c r="H95" s="86">
        <f>VLOOKUP($A95,'Data shares'!$C:$FA,90)</f>
        <v>1138675</v>
      </c>
      <c r="I95" s="86">
        <f>VLOOKUP($A95,'Data shares'!$C:$FA,92)</f>
        <v>-5864500</v>
      </c>
      <c r="J95" s="87">
        <f>VLOOKUP($A95,'Data shares'!$C:$FA,93)</f>
        <v>-0.83740000000000003</v>
      </c>
      <c r="K95" s="86">
        <f>VLOOKUP($A95,'Data shares'!$C:$FA,94)</f>
        <v>1162725</v>
      </c>
      <c r="L95" s="86">
        <f>VLOOKUP($A95,'Data shares'!$C:$FA,96)</f>
        <v>-5098600</v>
      </c>
      <c r="M95" s="87">
        <f>VLOOKUP($A95,'Data shares'!$C:$FA,97)</f>
        <v>-0.81430000000000002</v>
      </c>
      <c r="N95" s="86">
        <f>VLOOKUP($A95,'Data shares'!$C:$FA,78)</f>
        <v>2408700</v>
      </c>
      <c r="O95" s="87">
        <f>VLOOKUP($A95,'Data shares'!$C:$FA,81)</f>
        <v>-0.27139999999999997</v>
      </c>
    </row>
    <row r="96" spans="1:15" x14ac:dyDescent="0.25">
      <c r="A96" s="100" t="str">
        <f>'Data Vlaue (Cr)'!C91</f>
        <v>IDEA</v>
      </c>
      <c r="B96" s="82">
        <f>VLOOKUP(A96,'Data shares'!$C$2:$CV$216,98,0)</f>
        <v>7328117325</v>
      </c>
      <c r="C96" s="82">
        <f>VLOOKUP(A96,'Data shares'!$C$2:$CX$216,100,0)</f>
        <v>-1536926925</v>
      </c>
      <c r="D96" s="141">
        <f>VLOOKUP(A96,'Data shares'!$C$2:$CY$539,101,0)</f>
        <v>-0.1734</v>
      </c>
      <c r="E96" s="86">
        <f>VLOOKUP($A96,'Data shares'!$C:$FA,74)</f>
        <v>5560040250</v>
      </c>
      <c r="F96" s="86">
        <f>VLOOKUP($A96,'Data shares'!$C:$FA,76)</f>
        <v>-202774575</v>
      </c>
      <c r="G96" s="87">
        <f>VLOOKUP(A96,'Data shares'!$C$2:$CA$216,77,0)</f>
        <v>-3.5200000000000002E-2</v>
      </c>
      <c r="H96" s="86">
        <f>VLOOKUP($A96,'Data shares'!$C:$FA,90)</f>
        <v>1226010675</v>
      </c>
      <c r="I96" s="86">
        <f>VLOOKUP($A96,'Data shares'!$C:$FA,92)</f>
        <v>-684944925</v>
      </c>
      <c r="J96" s="87">
        <f>VLOOKUP($A96,'Data shares'!$C:$FA,93)</f>
        <v>-0.3584</v>
      </c>
      <c r="K96" s="86">
        <f>VLOOKUP($A96,'Data shares'!$C:$FA,94)</f>
        <v>542066400</v>
      </c>
      <c r="L96" s="86">
        <f>VLOOKUP($A96,'Data shares'!$C:$FA,96)</f>
        <v>-649207425</v>
      </c>
      <c r="M96" s="87">
        <f>VLOOKUP($A96,'Data shares'!$C:$FA,97)</f>
        <v>-0.54500000000000004</v>
      </c>
      <c r="N96" s="86">
        <f>VLOOKUP($A96,'Data shares'!$C:$FA,78)</f>
        <v>239584200</v>
      </c>
      <c r="O96" s="87">
        <f>VLOOKUP($A96,'Data shares'!$C:$FA,81)</f>
        <v>-0.79369999999999996</v>
      </c>
    </row>
    <row r="97" spans="1:15" x14ac:dyDescent="0.25">
      <c r="A97" s="100" t="str">
        <f>'Data Vlaue (Cr)'!C92</f>
        <v>IDFCFIRSTB</v>
      </c>
      <c r="B97" s="82">
        <f>VLOOKUP(A97,'Data shares'!$C$2:$CV$216,98,0)</f>
        <v>519409275</v>
      </c>
      <c r="C97" s="82">
        <f>VLOOKUP(A97,'Data shares'!$C$2:$CX$216,100,0)</f>
        <v>-120630650</v>
      </c>
      <c r="D97" s="141">
        <f>VLOOKUP(A97,'Data shares'!$C$2:$CY$539,101,0)</f>
        <v>-0.1885</v>
      </c>
      <c r="E97" s="86">
        <f>VLOOKUP($A97,'Data shares'!$C:$FA,74)</f>
        <v>413321825</v>
      </c>
      <c r="F97" s="86">
        <f>VLOOKUP($A97,'Data shares'!$C:$FA,76)</f>
        <v>-17001075</v>
      </c>
      <c r="G97" s="87">
        <f>VLOOKUP(A97,'Data shares'!$C$2:$CA$216,77,0)</f>
        <v>-3.95E-2</v>
      </c>
      <c r="H97" s="86">
        <f>VLOOKUP($A97,'Data shares'!$C:$FA,90)</f>
        <v>52793300</v>
      </c>
      <c r="I97" s="86">
        <f>VLOOKUP($A97,'Data shares'!$C:$FA,92)</f>
        <v>-58219175</v>
      </c>
      <c r="J97" s="87">
        <f>VLOOKUP($A97,'Data shares'!$C:$FA,93)</f>
        <v>-0.52439999999999998</v>
      </c>
      <c r="K97" s="86">
        <f>VLOOKUP($A97,'Data shares'!$C:$FA,94)</f>
        <v>53294150</v>
      </c>
      <c r="L97" s="86">
        <f>VLOOKUP($A97,'Data shares'!$C:$FA,96)</f>
        <v>-45410400</v>
      </c>
      <c r="M97" s="87">
        <f>VLOOKUP($A97,'Data shares'!$C:$FA,97)</f>
        <v>-0.46010000000000001</v>
      </c>
      <c r="N97" s="86">
        <f>VLOOKUP($A97,'Data shares'!$C:$FA,78)</f>
        <v>17492650</v>
      </c>
      <c r="O97" s="87">
        <f>VLOOKUP($A97,'Data shares'!$C:$FA,81)</f>
        <v>-0.71689999999999998</v>
      </c>
    </row>
    <row r="98" spans="1:15" x14ac:dyDescent="0.25">
      <c r="A98" s="100" t="str">
        <f>'Data Vlaue (Cr)'!C93</f>
        <v>IEX</v>
      </c>
      <c r="B98" s="82">
        <f>VLOOKUP(A98,'Data shares'!$C$2:$CV$216,98,0)</f>
        <v>97936800</v>
      </c>
      <c r="C98" s="82">
        <f>VLOOKUP(A98,'Data shares'!$C$2:$CX$216,100,0)</f>
        <v>-29996850</v>
      </c>
      <c r="D98" s="141">
        <f>VLOOKUP(A98,'Data shares'!$C$2:$CY$539,101,0)</f>
        <v>-0.23449999999999999</v>
      </c>
      <c r="E98" s="86">
        <f>VLOOKUP($A98,'Data shares'!$C:$FA,74)</f>
        <v>68389350</v>
      </c>
      <c r="F98" s="86">
        <f>VLOOKUP($A98,'Data shares'!$C:$FA,76)</f>
        <v>-2183550</v>
      </c>
      <c r="G98" s="87">
        <f>VLOOKUP(A98,'Data shares'!$C$2:$CA$216,77,0)</f>
        <v>-3.09E-2</v>
      </c>
      <c r="H98" s="86">
        <f>VLOOKUP($A98,'Data shares'!$C:$FA,90)</f>
        <v>16814550</v>
      </c>
      <c r="I98" s="86">
        <f>VLOOKUP($A98,'Data shares'!$C:$FA,92)</f>
        <v>-18937050</v>
      </c>
      <c r="J98" s="87">
        <f>VLOOKUP($A98,'Data shares'!$C:$FA,93)</f>
        <v>-0.52969999999999995</v>
      </c>
      <c r="K98" s="86">
        <f>VLOOKUP($A98,'Data shares'!$C:$FA,94)</f>
        <v>12732900</v>
      </c>
      <c r="L98" s="86">
        <f>VLOOKUP($A98,'Data shares'!$C:$FA,96)</f>
        <v>-8876250</v>
      </c>
      <c r="M98" s="87">
        <f>VLOOKUP($A98,'Data shares'!$C:$FA,97)</f>
        <v>-0.4108</v>
      </c>
      <c r="N98" s="86">
        <f>VLOOKUP($A98,'Data shares'!$C:$FA,78)</f>
        <v>4181250</v>
      </c>
      <c r="O98" s="87">
        <f>VLOOKUP($A98,'Data shares'!$C:$FA,81)</f>
        <v>-0.71709999999999996</v>
      </c>
    </row>
    <row r="99" spans="1:15" x14ac:dyDescent="0.25">
      <c r="A99" s="100" t="str">
        <f>'Data Vlaue (Cr)'!C94</f>
        <v>INDHOTEL</v>
      </c>
      <c r="B99" s="82">
        <f>VLOOKUP(A99,'Data shares'!$C$2:$CV$216,98,0)</f>
        <v>29621000</v>
      </c>
      <c r="C99" s="82">
        <f>VLOOKUP(A99,'Data shares'!$C$2:$CX$216,100,0)</f>
        <v>-6573000</v>
      </c>
      <c r="D99" s="141">
        <f>VLOOKUP(A99,'Data shares'!$C$2:$CY$539,101,0)</f>
        <v>-0.18160000000000001</v>
      </c>
      <c r="E99" s="86">
        <f>VLOOKUP($A99,'Data shares'!$C:$FA,74)</f>
        <v>24827000</v>
      </c>
      <c r="F99" s="86">
        <f>VLOOKUP($A99,'Data shares'!$C:$FA,76)</f>
        <v>-255000</v>
      </c>
      <c r="G99" s="87">
        <f>VLOOKUP(A99,'Data shares'!$C$2:$CA$216,77,0)</f>
        <v>-1.0200000000000001E-2</v>
      </c>
      <c r="H99" s="86">
        <f>VLOOKUP($A99,'Data shares'!$C:$FA,90)</f>
        <v>2303000</v>
      </c>
      <c r="I99" s="86">
        <f>VLOOKUP($A99,'Data shares'!$C:$FA,92)</f>
        <v>-3706000</v>
      </c>
      <c r="J99" s="87">
        <f>VLOOKUP($A99,'Data shares'!$C:$FA,93)</f>
        <v>-0.61670000000000003</v>
      </c>
      <c r="K99" s="86">
        <f>VLOOKUP($A99,'Data shares'!$C:$FA,94)</f>
        <v>2491000</v>
      </c>
      <c r="L99" s="86">
        <f>VLOOKUP($A99,'Data shares'!$C:$FA,96)</f>
        <v>-2612000</v>
      </c>
      <c r="M99" s="87">
        <f>VLOOKUP($A99,'Data shares'!$C:$FA,97)</f>
        <v>-0.51190000000000002</v>
      </c>
      <c r="N99" s="86">
        <f>VLOOKUP($A99,'Data shares'!$C:$FA,78)</f>
        <v>760000</v>
      </c>
      <c r="O99" s="87">
        <f>VLOOKUP($A99,'Data shares'!$C:$FA,81)</f>
        <v>-0.72860000000000003</v>
      </c>
    </row>
    <row r="100" spans="1:15" x14ac:dyDescent="0.25">
      <c r="A100" s="100" t="str">
        <f>'Data Vlaue (Cr)'!C95</f>
        <v>INDIANB</v>
      </c>
      <c r="B100" s="82">
        <f>VLOOKUP(A100,'Data shares'!$C$2:$CV$216,98,0)</f>
        <v>15137000</v>
      </c>
      <c r="C100" s="82">
        <f>VLOOKUP(A100,'Data shares'!$C$2:$CX$216,100,0)</f>
        <v>-7909000</v>
      </c>
      <c r="D100" s="141">
        <f>VLOOKUP(A100,'Data shares'!$C$2:$CY$539,101,0)</f>
        <v>-0.34320000000000001</v>
      </c>
      <c r="E100" s="86">
        <f>VLOOKUP($A100,'Data shares'!$C:$FA,74)</f>
        <v>11200000</v>
      </c>
      <c r="F100" s="86">
        <f>VLOOKUP($A100,'Data shares'!$C:$FA,76)</f>
        <v>-1239000</v>
      </c>
      <c r="G100" s="87">
        <f>VLOOKUP(A100,'Data shares'!$C$2:$CA$216,77,0)</f>
        <v>-9.9599999999999994E-2</v>
      </c>
      <c r="H100" s="86">
        <f>VLOOKUP($A100,'Data shares'!$C:$FA,90)</f>
        <v>2129000</v>
      </c>
      <c r="I100" s="86">
        <f>VLOOKUP($A100,'Data shares'!$C:$FA,92)</f>
        <v>-4197000</v>
      </c>
      <c r="J100" s="87">
        <f>VLOOKUP($A100,'Data shares'!$C:$FA,93)</f>
        <v>-0.66349999999999998</v>
      </c>
      <c r="K100" s="86">
        <f>VLOOKUP($A100,'Data shares'!$C:$FA,94)</f>
        <v>1808000</v>
      </c>
      <c r="L100" s="86">
        <f>VLOOKUP($A100,'Data shares'!$C:$FA,96)</f>
        <v>-2473000</v>
      </c>
      <c r="M100" s="87">
        <f>VLOOKUP($A100,'Data shares'!$C:$FA,97)</f>
        <v>-0.57769999999999999</v>
      </c>
      <c r="N100" s="86">
        <f>VLOOKUP($A100,'Data shares'!$C:$FA,78)</f>
        <v>1357000</v>
      </c>
      <c r="O100" s="87">
        <f>VLOOKUP($A100,'Data shares'!$C:$FA,81)</f>
        <v>-0.51480000000000004</v>
      </c>
    </row>
    <row r="101" spans="1:15" x14ac:dyDescent="0.25">
      <c r="A101" s="100" t="str">
        <f>'Data Vlaue (Cr)'!C96</f>
        <v>INDIAVIX</v>
      </c>
      <c r="B101" s="82">
        <f>VLOOKUP(A101,'Data shares'!$C$2:$CV$216,98,0)</f>
        <v>0</v>
      </c>
      <c r="C101" s="82">
        <f>VLOOKUP(A101,'Data shares'!$C$2:$CX$216,100,0)</f>
        <v>0</v>
      </c>
      <c r="D101" s="141">
        <f>VLOOKUP(A101,'Data shares'!$C$2:$CY$539,101,0)</f>
        <v>0</v>
      </c>
      <c r="E101" s="86">
        <f>VLOOKUP($A101,'Data shares'!$C:$FA,74)</f>
        <v>0</v>
      </c>
      <c r="F101" s="86">
        <f>VLOOKUP($A101,'Data shares'!$C:$FA,76)</f>
        <v>0</v>
      </c>
      <c r="G101" s="87">
        <f>VLOOKUP(A101,'Data shares'!$C$2:$CA$216,77,0)</f>
        <v>0</v>
      </c>
      <c r="H101" s="86">
        <f>VLOOKUP($A101,'Data shares'!$C:$FA,90)</f>
        <v>0</v>
      </c>
      <c r="I101" s="86">
        <f>VLOOKUP($A101,'Data shares'!$C:$FA,92)</f>
        <v>0</v>
      </c>
      <c r="J101" s="87">
        <f>VLOOKUP($A101,'Data shares'!$C:$FA,93)</f>
        <v>0</v>
      </c>
      <c r="K101" s="86">
        <f>VLOOKUP($A101,'Data shares'!$C:$FA,94)</f>
        <v>0</v>
      </c>
      <c r="L101" s="86">
        <f>VLOOKUP($A101,'Data shares'!$C:$FA,96)</f>
        <v>0</v>
      </c>
      <c r="M101" s="87">
        <f>VLOOKUP($A101,'Data shares'!$C:$FA,97)</f>
        <v>0</v>
      </c>
      <c r="N101" s="86">
        <f>VLOOKUP($A101,'Data shares'!$C:$FA,78)</f>
        <v>0</v>
      </c>
      <c r="O101" s="87">
        <f>VLOOKUP($A101,'Data shares'!$C:$FA,81)</f>
        <v>0</v>
      </c>
    </row>
    <row r="102" spans="1:15" x14ac:dyDescent="0.25">
      <c r="A102" s="100" t="str">
        <f>'Data Vlaue (Cr)'!C97</f>
        <v>INDIGO</v>
      </c>
      <c r="B102" s="82">
        <f>VLOOKUP(A102,'Data shares'!$C$2:$CV$216,98,0)</f>
        <v>10363500</v>
      </c>
      <c r="C102" s="82">
        <f>VLOOKUP(A102,'Data shares'!$C$2:$CX$216,100,0)</f>
        <v>-7117950</v>
      </c>
      <c r="D102" s="141">
        <f>VLOOKUP(A102,'Data shares'!$C$2:$CY$539,101,0)</f>
        <v>-0.40720000000000001</v>
      </c>
      <c r="E102" s="86">
        <f>VLOOKUP($A102,'Data shares'!$C:$FA,74)</f>
        <v>7481850</v>
      </c>
      <c r="F102" s="86">
        <f>VLOOKUP($A102,'Data shares'!$C:$FA,76)</f>
        <v>-832500</v>
      </c>
      <c r="G102" s="87">
        <f>VLOOKUP(A102,'Data shares'!$C$2:$CA$216,77,0)</f>
        <v>-0.10009999999999999</v>
      </c>
      <c r="H102" s="86">
        <f>VLOOKUP($A102,'Data shares'!$C:$FA,90)</f>
        <v>1461750</v>
      </c>
      <c r="I102" s="86">
        <f>VLOOKUP($A102,'Data shares'!$C:$FA,92)</f>
        <v>-4152750</v>
      </c>
      <c r="J102" s="87">
        <f>VLOOKUP($A102,'Data shares'!$C:$FA,93)</f>
        <v>-0.73960000000000004</v>
      </c>
      <c r="K102" s="86">
        <f>VLOOKUP($A102,'Data shares'!$C:$FA,94)</f>
        <v>1419900</v>
      </c>
      <c r="L102" s="86">
        <f>VLOOKUP($A102,'Data shares'!$C:$FA,96)</f>
        <v>-2132700</v>
      </c>
      <c r="M102" s="87">
        <f>VLOOKUP($A102,'Data shares'!$C:$FA,97)</f>
        <v>-0.60029999999999994</v>
      </c>
      <c r="N102" s="86">
        <f>VLOOKUP($A102,'Data shares'!$C:$FA,78)</f>
        <v>1473450</v>
      </c>
      <c r="O102" s="87">
        <f>VLOOKUP($A102,'Data shares'!$C:$FA,81)</f>
        <v>-3.3599999999999998E-2</v>
      </c>
    </row>
    <row r="103" spans="1:15" x14ac:dyDescent="0.25">
      <c r="A103" s="100" t="str">
        <f>'Data Vlaue (Cr)'!C98</f>
        <v>INDUSINDBK</v>
      </c>
      <c r="B103" s="82">
        <f>VLOOKUP(A103,'Data shares'!$C$2:$CV$216,98,0)</f>
        <v>41481300</v>
      </c>
      <c r="C103" s="82">
        <f>VLOOKUP(A103,'Data shares'!$C$2:$CX$216,100,0)</f>
        <v>-8439900</v>
      </c>
      <c r="D103" s="141">
        <f>VLOOKUP(A103,'Data shares'!$C$2:$CY$539,101,0)</f>
        <v>-0.1691</v>
      </c>
      <c r="E103" s="86">
        <f>VLOOKUP($A103,'Data shares'!$C:$FA,74)</f>
        <v>37107700</v>
      </c>
      <c r="F103" s="86">
        <f>VLOOKUP($A103,'Data shares'!$C:$FA,76)</f>
        <v>-878500</v>
      </c>
      <c r="G103" s="87">
        <f>VLOOKUP(A103,'Data shares'!$C$2:$CA$216,77,0)</f>
        <v>-2.3099999999999999E-2</v>
      </c>
      <c r="H103" s="86">
        <f>VLOOKUP($A103,'Data shares'!$C:$FA,90)</f>
        <v>2153900</v>
      </c>
      <c r="I103" s="86">
        <f>VLOOKUP($A103,'Data shares'!$C:$FA,92)</f>
        <v>-4443600</v>
      </c>
      <c r="J103" s="87">
        <f>VLOOKUP($A103,'Data shares'!$C:$FA,93)</f>
        <v>-0.67349999999999999</v>
      </c>
      <c r="K103" s="86">
        <f>VLOOKUP($A103,'Data shares'!$C:$FA,94)</f>
        <v>2219700</v>
      </c>
      <c r="L103" s="86">
        <f>VLOOKUP($A103,'Data shares'!$C:$FA,96)</f>
        <v>-3117800</v>
      </c>
      <c r="M103" s="87">
        <f>VLOOKUP($A103,'Data shares'!$C:$FA,97)</f>
        <v>-0.58409999999999995</v>
      </c>
      <c r="N103" s="86">
        <f>VLOOKUP($A103,'Data shares'!$C:$FA,78)</f>
        <v>1821400</v>
      </c>
      <c r="O103" s="87">
        <f>VLOOKUP($A103,'Data shares'!$C:$FA,81)</f>
        <v>-0.53739999999999999</v>
      </c>
    </row>
    <row r="104" spans="1:15" x14ac:dyDescent="0.25">
      <c r="A104" s="100" t="str">
        <f>'Data Vlaue (Cr)'!C99</f>
        <v>INDUSTOWER</v>
      </c>
      <c r="B104" s="82">
        <f>VLOOKUP(A104,'Data shares'!$C$2:$CV$216,98,0)</f>
        <v>122554700</v>
      </c>
      <c r="C104" s="82">
        <f>VLOOKUP(A104,'Data shares'!$C$2:$CX$216,100,0)</f>
        <v>-30515000</v>
      </c>
      <c r="D104" s="141">
        <f>VLOOKUP(A104,'Data shares'!$C$2:$CY$539,101,0)</f>
        <v>-0.19939999999999999</v>
      </c>
      <c r="E104" s="86">
        <f>VLOOKUP($A104,'Data shares'!$C:$FA,74)</f>
        <v>91553500</v>
      </c>
      <c r="F104" s="86">
        <f>VLOOKUP($A104,'Data shares'!$C:$FA,76)</f>
        <v>-2633300</v>
      </c>
      <c r="G104" s="87">
        <f>VLOOKUP(A104,'Data shares'!$C$2:$CA$216,77,0)</f>
        <v>-2.8000000000000001E-2</v>
      </c>
      <c r="H104" s="86">
        <f>VLOOKUP($A104,'Data shares'!$C:$FA,90)</f>
        <v>15075600</v>
      </c>
      <c r="I104" s="86">
        <f>VLOOKUP($A104,'Data shares'!$C:$FA,92)</f>
        <v>-15711400</v>
      </c>
      <c r="J104" s="87">
        <f>VLOOKUP($A104,'Data shares'!$C:$FA,93)</f>
        <v>-0.51029999999999998</v>
      </c>
      <c r="K104" s="86">
        <f>VLOOKUP($A104,'Data shares'!$C:$FA,94)</f>
        <v>15925600</v>
      </c>
      <c r="L104" s="86">
        <f>VLOOKUP($A104,'Data shares'!$C:$FA,96)</f>
        <v>-12170300</v>
      </c>
      <c r="M104" s="87">
        <f>VLOOKUP($A104,'Data shares'!$C:$FA,97)</f>
        <v>-0.43319999999999997</v>
      </c>
      <c r="N104" s="86">
        <f>VLOOKUP($A104,'Data shares'!$C:$FA,78)</f>
        <v>5596400</v>
      </c>
      <c r="O104" s="87">
        <f>VLOOKUP($A104,'Data shares'!$C:$FA,81)</f>
        <v>-0.57889999999999997</v>
      </c>
    </row>
    <row r="105" spans="1:15" x14ac:dyDescent="0.25">
      <c r="A105" s="100" t="str">
        <f>'Data Vlaue (Cr)'!C100</f>
        <v>INFY</v>
      </c>
      <c r="B105" s="82">
        <f>VLOOKUP(A105,'Data shares'!$C$2:$CV$216,98,0)</f>
        <v>117598000</v>
      </c>
      <c r="C105" s="82">
        <f>VLOOKUP(A105,'Data shares'!$C$2:$CX$216,100,0)</f>
        <v>-46190000</v>
      </c>
      <c r="D105" s="141">
        <f>VLOOKUP(A105,'Data shares'!$C$2:$CY$539,101,0)</f>
        <v>-0.28199999999999997</v>
      </c>
      <c r="E105" s="86">
        <f>VLOOKUP($A105,'Data shares'!$C:$FA,74)</f>
        <v>93046800</v>
      </c>
      <c r="F105" s="86">
        <f>VLOOKUP($A105,'Data shares'!$C:$FA,76)</f>
        <v>-6377200</v>
      </c>
      <c r="G105" s="87">
        <f>VLOOKUP(A105,'Data shares'!$C$2:$CA$216,77,0)</f>
        <v>-6.4100000000000004E-2</v>
      </c>
      <c r="H105" s="86">
        <f>VLOOKUP($A105,'Data shares'!$C:$FA,90)</f>
        <v>12822000</v>
      </c>
      <c r="I105" s="86">
        <f>VLOOKUP($A105,'Data shares'!$C:$FA,92)</f>
        <v>-25766000</v>
      </c>
      <c r="J105" s="87">
        <f>VLOOKUP($A105,'Data shares'!$C:$FA,93)</f>
        <v>-0.66769999999999996</v>
      </c>
      <c r="K105" s="86">
        <f>VLOOKUP($A105,'Data shares'!$C:$FA,94)</f>
        <v>11729200</v>
      </c>
      <c r="L105" s="86">
        <f>VLOOKUP($A105,'Data shares'!$C:$FA,96)</f>
        <v>-14046800</v>
      </c>
      <c r="M105" s="87">
        <f>VLOOKUP($A105,'Data shares'!$C:$FA,97)</f>
        <v>-0.54500000000000004</v>
      </c>
      <c r="N105" s="86">
        <f>VLOOKUP($A105,'Data shares'!$C:$FA,78)</f>
        <v>5922800</v>
      </c>
      <c r="O105" s="87">
        <f>VLOOKUP($A105,'Data shares'!$C:$FA,81)</f>
        <v>-0.44579999999999997</v>
      </c>
    </row>
    <row r="106" spans="1:15" x14ac:dyDescent="0.25">
      <c r="A106" s="100" t="str">
        <f>'Data Vlaue (Cr)'!C101</f>
        <v>INOXWIND</v>
      </c>
      <c r="B106" s="82">
        <f>VLOOKUP(A106,'Data shares'!$C$2:$CV$216,98,0)</f>
        <v>99647250</v>
      </c>
      <c r="C106" s="82">
        <f>VLOOKUP(A106,'Data shares'!$C$2:$CX$216,100,0)</f>
        <v>-26926300</v>
      </c>
      <c r="D106" s="141">
        <f>VLOOKUP(A106,'Data shares'!$C$2:$CY$539,101,0)</f>
        <v>-0.2127</v>
      </c>
      <c r="E106" s="86">
        <f>VLOOKUP($A106,'Data shares'!$C:$FA,74)</f>
        <v>81652100</v>
      </c>
      <c r="F106" s="86">
        <f>VLOOKUP($A106,'Data shares'!$C:$FA,76)</f>
        <v>-2278000</v>
      </c>
      <c r="G106" s="87">
        <f>VLOOKUP(A106,'Data shares'!$C$2:$CA$216,77,0)</f>
        <v>-2.7099999999999999E-2</v>
      </c>
      <c r="H106" s="86">
        <f>VLOOKUP($A106,'Data shares'!$C:$FA,90)</f>
        <v>12139950</v>
      </c>
      <c r="I106" s="86">
        <f>VLOOKUP($A106,'Data shares'!$C:$FA,92)</f>
        <v>-17328025</v>
      </c>
      <c r="J106" s="87">
        <f>VLOOKUP($A106,'Data shares'!$C:$FA,93)</f>
        <v>-0.58799999999999997</v>
      </c>
      <c r="K106" s="86">
        <f>VLOOKUP($A106,'Data shares'!$C:$FA,94)</f>
        <v>5855200</v>
      </c>
      <c r="L106" s="86">
        <f>VLOOKUP($A106,'Data shares'!$C:$FA,96)</f>
        <v>-7320275</v>
      </c>
      <c r="M106" s="87">
        <f>VLOOKUP($A106,'Data shares'!$C:$FA,97)</f>
        <v>-0.55559999999999998</v>
      </c>
      <c r="N106" s="86">
        <f>VLOOKUP($A106,'Data shares'!$C:$FA,78)</f>
        <v>3936075</v>
      </c>
      <c r="O106" s="87">
        <f>VLOOKUP($A106,'Data shares'!$C:$FA,81)</f>
        <v>-0.85050000000000003</v>
      </c>
    </row>
    <row r="107" spans="1:15" x14ac:dyDescent="0.25">
      <c r="A107" s="100" t="str">
        <f>'Data Vlaue (Cr)'!C102</f>
        <v>IOC</v>
      </c>
      <c r="B107" s="82">
        <f>VLOOKUP(A107,'Data shares'!$C$2:$CV$216,98,0)</f>
        <v>161333250</v>
      </c>
      <c r="C107" s="82">
        <f>VLOOKUP(A107,'Data shares'!$C$2:$CX$216,100,0)</f>
        <v>-59065500</v>
      </c>
      <c r="D107" s="141">
        <f>VLOOKUP(A107,'Data shares'!$C$2:$CY$539,101,0)</f>
        <v>-0.26800000000000002</v>
      </c>
      <c r="E107" s="86">
        <f>VLOOKUP($A107,'Data shares'!$C:$FA,74)</f>
        <v>101994750</v>
      </c>
      <c r="F107" s="86">
        <f>VLOOKUP($A107,'Data shares'!$C:$FA,76)</f>
        <v>-4343625</v>
      </c>
      <c r="G107" s="87">
        <f>VLOOKUP(A107,'Data shares'!$C$2:$CA$216,77,0)</f>
        <v>-4.0800000000000003E-2</v>
      </c>
      <c r="H107" s="86">
        <f>VLOOKUP($A107,'Data shares'!$C:$FA,90)</f>
        <v>29956875</v>
      </c>
      <c r="I107" s="86">
        <f>VLOOKUP($A107,'Data shares'!$C:$FA,92)</f>
        <v>-34958625</v>
      </c>
      <c r="J107" s="87">
        <f>VLOOKUP($A107,'Data shares'!$C:$FA,93)</f>
        <v>-0.53849999999999998</v>
      </c>
      <c r="K107" s="86">
        <f>VLOOKUP($A107,'Data shares'!$C:$FA,94)</f>
        <v>29381625</v>
      </c>
      <c r="L107" s="86">
        <f>VLOOKUP($A107,'Data shares'!$C:$FA,96)</f>
        <v>-19763250</v>
      </c>
      <c r="M107" s="87">
        <f>VLOOKUP($A107,'Data shares'!$C:$FA,97)</f>
        <v>-0.40210000000000001</v>
      </c>
      <c r="N107" s="86">
        <f>VLOOKUP($A107,'Data shares'!$C:$FA,78)</f>
        <v>10091250</v>
      </c>
      <c r="O107" s="87">
        <f>VLOOKUP($A107,'Data shares'!$C:$FA,81)</f>
        <v>-0.36520000000000002</v>
      </c>
    </row>
    <row r="108" spans="1:15" x14ac:dyDescent="0.25">
      <c r="A108" s="100" t="str">
        <f>'Data Vlaue (Cr)'!C103</f>
        <v>IREDA</v>
      </c>
      <c r="B108" s="82">
        <f>VLOOKUP(A108,'Data shares'!$C$2:$CV$216,98,0)</f>
        <v>71951325</v>
      </c>
      <c r="C108" s="82">
        <f>VLOOKUP(A108,'Data shares'!$C$2:$CX$216,100,0)</f>
        <v>-24328350</v>
      </c>
      <c r="D108" s="141">
        <f>VLOOKUP(A108,'Data shares'!$C$2:$CY$539,101,0)</f>
        <v>-0.25269999999999998</v>
      </c>
      <c r="E108" s="86">
        <f>VLOOKUP($A108,'Data shares'!$C:$FA,74)</f>
        <v>46871225</v>
      </c>
      <c r="F108" s="86">
        <f>VLOOKUP($A108,'Data shares'!$C:$FA,76)</f>
        <v>-5400125</v>
      </c>
      <c r="G108" s="87">
        <f>VLOOKUP(A108,'Data shares'!$C$2:$CA$216,77,0)</f>
        <v>-0.1033</v>
      </c>
      <c r="H108" s="86">
        <f>VLOOKUP($A108,'Data shares'!$C:$FA,90)</f>
        <v>13205925</v>
      </c>
      <c r="I108" s="86">
        <f>VLOOKUP($A108,'Data shares'!$C:$FA,92)</f>
        <v>-12254400</v>
      </c>
      <c r="J108" s="87">
        <f>VLOOKUP($A108,'Data shares'!$C:$FA,93)</f>
        <v>-0.48130000000000001</v>
      </c>
      <c r="K108" s="86">
        <f>VLOOKUP($A108,'Data shares'!$C:$FA,94)</f>
        <v>11874175</v>
      </c>
      <c r="L108" s="86">
        <f>VLOOKUP($A108,'Data shares'!$C:$FA,96)</f>
        <v>-6673825</v>
      </c>
      <c r="M108" s="87">
        <f>VLOOKUP($A108,'Data shares'!$C:$FA,97)</f>
        <v>-0.35980000000000001</v>
      </c>
      <c r="N108" s="86">
        <f>VLOOKUP($A108,'Data shares'!$C:$FA,78)</f>
        <v>2528850</v>
      </c>
      <c r="O108" s="87">
        <f>VLOOKUP($A108,'Data shares'!$C:$FA,81)</f>
        <v>-0.62390000000000001</v>
      </c>
    </row>
    <row r="109" spans="1:15" x14ac:dyDescent="0.25">
      <c r="A109" s="100" t="str">
        <f>'Data Vlaue (Cr)'!C104</f>
        <v>IRFC</v>
      </c>
      <c r="B109" s="82">
        <f>VLOOKUP(A109,'Data shares'!$C$2:$CV$216,98,0)</f>
        <v>98467700</v>
      </c>
      <c r="C109" s="82">
        <f>VLOOKUP(A109,'Data shares'!$C$2:$CX$216,100,0)</f>
        <v>-39226575</v>
      </c>
      <c r="D109" s="141">
        <f>VLOOKUP(A109,'Data shares'!$C$2:$CY$539,101,0)</f>
        <v>-0.28489999999999999</v>
      </c>
      <c r="E109" s="86">
        <f>VLOOKUP($A109,'Data shares'!$C:$FA,74)</f>
        <v>56018975</v>
      </c>
      <c r="F109" s="86">
        <f>VLOOKUP($A109,'Data shares'!$C:$FA,76)</f>
        <v>-2571500</v>
      </c>
      <c r="G109" s="87">
        <f>VLOOKUP(A109,'Data shares'!$C$2:$CA$216,77,0)</f>
        <v>-4.3900000000000002E-2</v>
      </c>
      <c r="H109" s="86">
        <f>VLOOKUP($A109,'Data shares'!$C:$FA,90)</f>
        <v>22589200</v>
      </c>
      <c r="I109" s="86">
        <f>VLOOKUP($A109,'Data shares'!$C:$FA,92)</f>
        <v>-23671325</v>
      </c>
      <c r="J109" s="87">
        <f>VLOOKUP($A109,'Data shares'!$C:$FA,93)</f>
        <v>-0.51170000000000004</v>
      </c>
      <c r="K109" s="86">
        <f>VLOOKUP($A109,'Data shares'!$C:$FA,94)</f>
        <v>19859525</v>
      </c>
      <c r="L109" s="86">
        <f>VLOOKUP($A109,'Data shares'!$C:$FA,96)</f>
        <v>-12983750</v>
      </c>
      <c r="M109" s="87">
        <f>VLOOKUP($A109,'Data shares'!$C:$FA,97)</f>
        <v>-0.39529999999999998</v>
      </c>
      <c r="N109" s="86">
        <f>VLOOKUP($A109,'Data shares'!$C:$FA,78)</f>
        <v>4313750</v>
      </c>
      <c r="O109" s="87">
        <f>VLOOKUP($A109,'Data shares'!$C:$FA,81)</f>
        <v>-0.60260000000000002</v>
      </c>
    </row>
    <row r="110" spans="1:15" x14ac:dyDescent="0.25">
      <c r="A110" s="100" t="str">
        <f>'Data Vlaue (Cr)'!C105</f>
        <v>ITC</v>
      </c>
      <c r="B110" s="82">
        <f>VLOOKUP(A110,'Data shares'!$C$2:$CV$216,98,0)</f>
        <v>246056000</v>
      </c>
      <c r="C110" s="82">
        <f>VLOOKUP(A110,'Data shares'!$C$2:$CX$216,100,0)</f>
        <v>-124650150</v>
      </c>
      <c r="D110" s="141">
        <f>VLOOKUP(A110,'Data shares'!$C$2:$CY$539,101,0)</f>
        <v>-0.33629999999999999</v>
      </c>
      <c r="E110" s="86">
        <f>VLOOKUP($A110,'Data shares'!$C:$FA,74)</f>
        <v>167395950</v>
      </c>
      <c r="F110" s="86">
        <f>VLOOKUP($A110,'Data shares'!$C:$FA,76)</f>
        <v>-11857625</v>
      </c>
      <c r="G110" s="87">
        <f>VLOOKUP(A110,'Data shares'!$C$2:$CA$216,77,0)</f>
        <v>-6.6199999999999995E-2</v>
      </c>
      <c r="H110" s="86">
        <f>VLOOKUP($A110,'Data shares'!$C:$FA,90)</f>
        <v>46915475</v>
      </c>
      <c r="I110" s="86">
        <f>VLOOKUP($A110,'Data shares'!$C:$FA,92)</f>
        <v>-94725725</v>
      </c>
      <c r="J110" s="87">
        <f>VLOOKUP($A110,'Data shares'!$C:$FA,93)</f>
        <v>-0.66879999999999995</v>
      </c>
      <c r="K110" s="86">
        <f>VLOOKUP($A110,'Data shares'!$C:$FA,94)</f>
        <v>31744575</v>
      </c>
      <c r="L110" s="86">
        <f>VLOOKUP($A110,'Data shares'!$C:$FA,96)</f>
        <v>-18066800</v>
      </c>
      <c r="M110" s="87">
        <f>VLOOKUP($A110,'Data shares'!$C:$FA,97)</f>
        <v>-0.36270000000000002</v>
      </c>
      <c r="N110" s="86">
        <f>VLOOKUP($A110,'Data shares'!$C:$FA,78)</f>
        <v>10553600</v>
      </c>
      <c r="O110" s="87">
        <f>VLOOKUP($A110,'Data shares'!$C:$FA,81)</f>
        <v>-0.6865</v>
      </c>
    </row>
    <row r="111" spans="1:15" x14ac:dyDescent="0.25">
      <c r="A111" s="100" t="str">
        <f>'Data Vlaue (Cr)'!C106</f>
        <v>JINDALSTEL</v>
      </c>
      <c r="B111" s="82">
        <f>VLOOKUP(A111,'Data shares'!$C$2:$CV$216,98,0)</f>
        <v>14073125</v>
      </c>
      <c r="C111" s="82">
        <f>VLOOKUP(A111,'Data shares'!$C$2:$CX$216,100,0)</f>
        <v>-4878125</v>
      </c>
      <c r="D111" s="141">
        <f>VLOOKUP(A111,'Data shares'!$C$2:$CY$539,101,0)</f>
        <v>-0.25740000000000002</v>
      </c>
      <c r="E111" s="86">
        <f>VLOOKUP($A111,'Data shares'!$C:$FA,74)</f>
        <v>12166875</v>
      </c>
      <c r="F111" s="86">
        <f>VLOOKUP($A111,'Data shares'!$C:$FA,76)</f>
        <v>-411875</v>
      </c>
      <c r="G111" s="87">
        <f>VLOOKUP(A111,'Data shares'!$C$2:$CA$216,77,0)</f>
        <v>-3.27E-2</v>
      </c>
      <c r="H111" s="86">
        <f>VLOOKUP($A111,'Data shares'!$C:$FA,90)</f>
        <v>746250</v>
      </c>
      <c r="I111" s="86">
        <f>VLOOKUP($A111,'Data shares'!$C:$FA,92)</f>
        <v>-2891875</v>
      </c>
      <c r="J111" s="87">
        <f>VLOOKUP($A111,'Data shares'!$C:$FA,93)</f>
        <v>-0.79490000000000005</v>
      </c>
      <c r="K111" s="86">
        <f>VLOOKUP($A111,'Data shares'!$C:$FA,94)</f>
        <v>1160000</v>
      </c>
      <c r="L111" s="86">
        <f>VLOOKUP($A111,'Data shares'!$C:$FA,96)</f>
        <v>-1574375</v>
      </c>
      <c r="M111" s="87">
        <f>VLOOKUP($A111,'Data shares'!$C:$FA,97)</f>
        <v>-0.57579999999999998</v>
      </c>
      <c r="N111" s="86">
        <f>VLOOKUP($A111,'Data shares'!$C:$FA,78)</f>
        <v>343750</v>
      </c>
      <c r="O111" s="87">
        <f>VLOOKUP($A111,'Data shares'!$C:$FA,81)</f>
        <v>-0.90800000000000003</v>
      </c>
    </row>
    <row r="112" spans="1:15" x14ac:dyDescent="0.25">
      <c r="A112" s="100" t="str">
        <f>'Data Vlaue (Cr)'!C107</f>
        <v>JIOFIN</v>
      </c>
      <c r="B112" s="82">
        <f>VLOOKUP(A112,'Data shares'!$C$2:$CV$216,98,0)</f>
        <v>224582450</v>
      </c>
      <c r="C112" s="82">
        <f>VLOOKUP(A112,'Data shares'!$C$2:$CX$216,100,0)</f>
        <v>-63652100</v>
      </c>
      <c r="D112" s="141">
        <f>VLOOKUP(A112,'Data shares'!$C$2:$CY$539,101,0)</f>
        <v>-0.2208</v>
      </c>
      <c r="E112" s="86">
        <f>VLOOKUP($A112,'Data shares'!$C:$FA,74)</f>
        <v>172856600</v>
      </c>
      <c r="F112" s="86">
        <f>VLOOKUP($A112,'Data shares'!$C:$FA,76)</f>
        <v>-11207150</v>
      </c>
      <c r="G112" s="87">
        <f>VLOOKUP(A112,'Data shares'!$C$2:$CA$216,77,0)</f>
        <v>-6.0900000000000003E-2</v>
      </c>
      <c r="H112" s="86">
        <f>VLOOKUP($A112,'Data shares'!$C:$FA,90)</f>
        <v>26578500</v>
      </c>
      <c r="I112" s="86">
        <f>VLOOKUP($A112,'Data shares'!$C:$FA,92)</f>
        <v>-33550950</v>
      </c>
      <c r="J112" s="87">
        <f>VLOOKUP($A112,'Data shares'!$C:$FA,93)</f>
        <v>-0.55800000000000005</v>
      </c>
      <c r="K112" s="86">
        <f>VLOOKUP($A112,'Data shares'!$C:$FA,94)</f>
        <v>25147350</v>
      </c>
      <c r="L112" s="86">
        <f>VLOOKUP($A112,'Data shares'!$C:$FA,96)</f>
        <v>-18894000</v>
      </c>
      <c r="M112" s="87">
        <f>VLOOKUP($A112,'Data shares'!$C:$FA,97)</f>
        <v>-0.42899999999999999</v>
      </c>
      <c r="N112" s="86">
        <f>VLOOKUP($A112,'Data shares'!$C:$FA,78)</f>
        <v>10610250</v>
      </c>
      <c r="O112" s="87">
        <f>VLOOKUP($A112,'Data shares'!$C:$FA,81)</f>
        <v>-0.70420000000000005</v>
      </c>
    </row>
    <row r="113" spans="1:15" x14ac:dyDescent="0.25">
      <c r="A113" s="100" t="str">
        <f>'Data Vlaue (Cr)'!C108</f>
        <v>JSWENERGY</v>
      </c>
      <c r="B113" s="82">
        <f>VLOOKUP(A113,'Data shares'!$C$2:$CV$216,98,0)</f>
        <v>27737975</v>
      </c>
      <c r="C113" s="82">
        <f>VLOOKUP(A113,'Data shares'!$C$2:$CX$216,100,0)</f>
        <v>-13170150</v>
      </c>
      <c r="D113" s="141">
        <f>VLOOKUP(A113,'Data shares'!$C$2:$CY$539,101,0)</f>
        <v>-0.32190000000000002</v>
      </c>
      <c r="E113" s="86">
        <f>VLOOKUP($A113,'Data shares'!$C:$FA,74)</f>
        <v>22030825</v>
      </c>
      <c r="F113" s="86">
        <f>VLOOKUP($A113,'Data shares'!$C:$FA,76)</f>
        <v>-1466025</v>
      </c>
      <c r="G113" s="87">
        <f>VLOOKUP(A113,'Data shares'!$C$2:$CA$216,77,0)</f>
        <v>-6.2399999999999997E-2</v>
      </c>
      <c r="H113" s="86">
        <f>VLOOKUP($A113,'Data shares'!$C:$FA,90)</f>
        <v>3364075</v>
      </c>
      <c r="I113" s="86">
        <f>VLOOKUP($A113,'Data shares'!$C:$FA,92)</f>
        <v>-6378000</v>
      </c>
      <c r="J113" s="87">
        <f>VLOOKUP($A113,'Data shares'!$C:$FA,93)</f>
        <v>-0.65469999999999995</v>
      </c>
      <c r="K113" s="86">
        <f>VLOOKUP($A113,'Data shares'!$C:$FA,94)</f>
        <v>2343075</v>
      </c>
      <c r="L113" s="86">
        <f>VLOOKUP($A113,'Data shares'!$C:$FA,96)</f>
        <v>-5326125</v>
      </c>
      <c r="M113" s="87">
        <f>VLOOKUP($A113,'Data shares'!$C:$FA,97)</f>
        <v>-0.69450000000000001</v>
      </c>
      <c r="N113" s="86">
        <f>VLOOKUP($A113,'Data shares'!$C:$FA,78)</f>
        <v>2708000</v>
      </c>
      <c r="O113" s="87">
        <f>VLOOKUP($A113,'Data shares'!$C:$FA,81)</f>
        <v>0.24970000000000001</v>
      </c>
    </row>
    <row r="114" spans="1:15" x14ac:dyDescent="0.25">
      <c r="A114" s="100" t="str">
        <f>'Data Vlaue (Cr)'!C109</f>
        <v>JSWSTEEL</v>
      </c>
      <c r="B114" s="82">
        <f>VLOOKUP(A114,'Data shares'!$C$2:$CV$216,98,0)</f>
        <v>47417400</v>
      </c>
      <c r="C114" s="82">
        <f>VLOOKUP(A114,'Data shares'!$C$2:$CX$216,100,0)</f>
        <v>-11080800</v>
      </c>
      <c r="D114" s="141">
        <f>VLOOKUP(A114,'Data shares'!$C$2:$CY$539,101,0)</f>
        <v>-0.18940000000000001</v>
      </c>
      <c r="E114" s="86">
        <f>VLOOKUP($A114,'Data shares'!$C:$FA,74)</f>
        <v>44155800</v>
      </c>
      <c r="F114" s="86">
        <f>VLOOKUP($A114,'Data shares'!$C:$FA,76)</f>
        <v>-4477275</v>
      </c>
      <c r="G114" s="87">
        <f>VLOOKUP(A114,'Data shares'!$C$2:$CA$216,77,0)</f>
        <v>-9.2100000000000001E-2</v>
      </c>
      <c r="H114" s="86">
        <f>VLOOKUP($A114,'Data shares'!$C:$FA,90)</f>
        <v>1933875</v>
      </c>
      <c r="I114" s="86">
        <f>VLOOKUP($A114,'Data shares'!$C:$FA,92)</f>
        <v>-4119525</v>
      </c>
      <c r="J114" s="87">
        <f>VLOOKUP($A114,'Data shares'!$C:$FA,93)</f>
        <v>-0.68049999999999999</v>
      </c>
      <c r="K114" s="86">
        <f>VLOOKUP($A114,'Data shares'!$C:$FA,94)</f>
        <v>1327725</v>
      </c>
      <c r="L114" s="86">
        <f>VLOOKUP($A114,'Data shares'!$C:$FA,96)</f>
        <v>-2484000</v>
      </c>
      <c r="M114" s="87">
        <f>VLOOKUP($A114,'Data shares'!$C:$FA,97)</f>
        <v>-0.65169999999999995</v>
      </c>
      <c r="N114" s="86">
        <f>VLOOKUP($A114,'Data shares'!$C:$FA,78)</f>
        <v>4427325</v>
      </c>
      <c r="O114" s="87">
        <f>VLOOKUP($A114,'Data shares'!$C:$FA,81)</f>
        <v>-0.28360000000000002</v>
      </c>
    </row>
    <row r="115" spans="1:15" x14ac:dyDescent="0.25">
      <c r="A115" s="100" t="str">
        <f>'Data Vlaue (Cr)'!C110</f>
        <v>JUBLFOOD</v>
      </c>
      <c r="B115" s="82">
        <f>VLOOKUP(A115,'Data shares'!$C$2:$CV$216,98,0)</f>
        <v>44307500</v>
      </c>
      <c r="C115" s="82">
        <f>VLOOKUP(A115,'Data shares'!$C$2:$CX$216,100,0)</f>
        <v>-14755000</v>
      </c>
      <c r="D115" s="141">
        <f>VLOOKUP(A115,'Data shares'!$C$2:$CY$539,101,0)</f>
        <v>-0.24979999999999999</v>
      </c>
      <c r="E115" s="86">
        <f>VLOOKUP($A115,'Data shares'!$C:$FA,74)</f>
        <v>33130000</v>
      </c>
      <c r="F115" s="86">
        <f>VLOOKUP($A115,'Data shares'!$C:$FA,76)</f>
        <v>-5911250</v>
      </c>
      <c r="G115" s="87">
        <f>VLOOKUP(A115,'Data shares'!$C$2:$CA$216,77,0)</f>
        <v>-0.15140000000000001</v>
      </c>
      <c r="H115" s="86">
        <f>VLOOKUP($A115,'Data shares'!$C:$FA,90)</f>
        <v>6251250</v>
      </c>
      <c r="I115" s="86">
        <f>VLOOKUP($A115,'Data shares'!$C:$FA,92)</f>
        <v>-5901250</v>
      </c>
      <c r="J115" s="87">
        <f>VLOOKUP($A115,'Data shares'!$C:$FA,93)</f>
        <v>-0.48559999999999998</v>
      </c>
      <c r="K115" s="86">
        <f>VLOOKUP($A115,'Data shares'!$C:$FA,94)</f>
        <v>4926250</v>
      </c>
      <c r="L115" s="86">
        <f>VLOOKUP($A115,'Data shares'!$C:$FA,96)</f>
        <v>-2942500</v>
      </c>
      <c r="M115" s="87">
        <f>VLOOKUP($A115,'Data shares'!$C:$FA,97)</f>
        <v>-0.37390000000000001</v>
      </c>
      <c r="N115" s="86">
        <f>VLOOKUP($A115,'Data shares'!$C:$FA,78)</f>
        <v>3147500</v>
      </c>
      <c r="O115" s="87">
        <f>VLOOKUP($A115,'Data shares'!$C:$FA,81)</f>
        <v>-0.54039999999999999</v>
      </c>
    </row>
    <row r="116" spans="1:15" x14ac:dyDescent="0.25">
      <c r="A116" s="100" t="str">
        <f>'Data Vlaue (Cr)'!C111</f>
        <v>KALYANKJIL</v>
      </c>
      <c r="B116" s="82">
        <f>VLOOKUP(A116,'Data shares'!$C$2:$CV$216,98,0)</f>
        <v>43524375</v>
      </c>
      <c r="C116" s="82">
        <f>VLOOKUP(A116,'Data shares'!$C$2:$CX$216,100,0)</f>
        <v>-27404375</v>
      </c>
      <c r="D116" s="141">
        <f>VLOOKUP(A116,'Data shares'!$C$2:$CY$539,101,0)</f>
        <v>-0.38640000000000002</v>
      </c>
      <c r="E116" s="86">
        <f>VLOOKUP($A116,'Data shares'!$C:$FA,74)</f>
        <v>34734625</v>
      </c>
      <c r="F116" s="86">
        <f>VLOOKUP($A116,'Data shares'!$C:$FA,76)</f>
        <v>-888800</v>
      </c>
      <c r="G116" s="87">
        <f>VLOOKUP(A116,'Data shares'!$C$2:$CA$216,77,0)</f>
        <v>-2.4899999999999999E-2</v>
      </c>
      <c r="H116" s="86">
        <f>VLOOKUP($A116,'Data shares'!$C:$FA,90)</f>
        <v>5351000</v>
      </c>
      <c r="I116" s="86">
        <f>VLOOKUP($A116,'Data shares'!$C:$FA,92)</f>
        <v>-17370025</v>
      </c>
      <c r="J116" s="87">
        <f>VLOOKUP($A116,'Data shares'!$C:$FA,93)</f>
        <v>-0.76449999999999996</v>
      </c>
      <c r="K116" s="86">
        <f>VLOOKUP($A116,'Data shares'!$C:$FA,94)</f>
        <v>3438750</v>
      </c>
      <c r="L116" s="86">
        <f>VLOOKUP($A116,'Data shares'!$C:$FA,96)</f>
        <v>-9145550</v>
      </c>
      <c r="M116" s="87">
        <f>VLOOKUP($A116,'Data shares'!$C:$FA,97)</f>
        <v>-0.72670000000000001</v>
      </c>
      <c r="N116" s="86">
        <f>VLOOKUP($A116,'Data shares'!$C:$FA,78)</f>
        <v>1526325</v>
      </c>
      <c r="O116" s="87">
        <f>VLOOKUP($A116,'Data shares'!$C:$FA,81)</f>
        <v>-0.74919999999999998</v>
      </c>
    </row>
    <row r="117" spans="1:15" x14ac:dyDescent="0.25">
      <c r="A117" s="100" t="str">
        <f>'Data Vlaue (Cr)'!C112</f>
        <v>KAYNES</v>
      </c>
      <c r="B117" s="82">
        <f>VLOOKUP(A117,'Data shares'!$C$2:$CV$216,98,0)</f>
        <v>5650050</v>
      </c>
      <c r="C117" s="82">
        <f>VLOOKUP(A117,'Data shares'!$C$2:$CX$216,100,0)</f>
        <v>-3599600</v>
      </c>
      <c r="D117" s="141">
        <f>VLOOKUP(A117,'Data shares'!$C$2:$CY$539,101,0)</f>
        <v>-0.38919999999999999</v>
      </c>
      <c r="E117" s="86">
        <f>VLOOKUP($A117,'Data shares'!$C:$FA,74)</f>
        <v>4070650</v>
      </c>
      <c r="F117" s="86">
        <f>VLOOKUP($A117,'Data shares'!$C:$FA,76)</f>
        <v>-41650</v>
      </c>
      <c r="G117" s="87">
        <f>VLOOKUP(A117,'Data shares'!$C$2:$CA$216,77,0)</f>
        <v>-1.01E-2</v>
      </c>
      <c r="H117" s="86">
        <f>VLOOKUP($A117,'Data shares'!$C:$FA,90)</f>
        <v>953800</v>
      </c>
      <c r="I117" s="86">
        <f>VLOOKUP($A117,'Data shares'!$C:$FA,92)</f>
        <v>-2462350</v>
      </c>
      <c r="J117" s="87">
        <f>VLOOKUP($A117,'Data shares'!$C:$FA,93)</f>
        <v>-0.7208</v>
      </c>
      <c r="K117" s="86">
        <f>VLOOKUP($A117,'Data shares'!$C:$FA,94)</f>
        <v>625600</v>
      </c>
      <c r="L117" s="86">
        <f>VLOOKUP($A117,'Data shares'!$C:$FA,96)</f>
        <v>-1095600</v>
      </c>
      <c r="M117" s="87">
        <f>VLOOKUP($A117,'Data shares'!$C:$FA,97)</f>
        <v>-0.63649999999999995</v>
      </c>
      <c r="N117" s="86">
        <f>VLOOKUP($A117,'Data shares'!$C:$FA,78)</f>
        <v>349800</v>
      </c>
      <c r="O117" s="87">
        <f>VLOOKUP($A117,'Data shares'!$C:$FA,81)</f>
        <v>-0.73029999999999995</v>
      </c>
    </row>
    <row r="118" spans="1:15" x14ac:dyDescent="0.25">
      <c r="A118" s="100" t="str">
        <f>'Data Vlaue (Cr)'!C113</f>
        <v>KEI</v>
      </c>
      <c r="B118" s="82">
        <f>VLOOKUP(A118,'Data shares'!$C$2:$CV$216,98,0)</f>
        <v>1800050</v>
      </c>
      <c r="C118" s="82">
        <f>VLOOKUP(A118,'Data shares'!$C$2:$CX$216,100,0)</f>
        <v>-1234275</v>
      </c>
      <c r="D118" s="141">
        <f>VLOOKUP(A118,'Data shares'!$C$2:$CY$539,101,0)</f>
        <v>-0.40679999999999999</v>
      </c>
      <c r="E118" s="86">
        <f>VLOOKUP($A118,'Data shares'!$C:$FA,74)</f>
        <v>1393175</v>
      </c>
      <c r="F118" s="86">
        <f>VLOOKUP($A118,'Data shares'!$C:$FA,76)</f>
        <v>-316050</v>
      </c>
      <c r="G118" s="87">
        <f>VLOOKUP(A118,'Data shares'!$C$2:$CA$216,77,0)</f>
        <v>-0.18490000000000001</v>
      </c>
      <c r="H118" s="86">
        <f>VLOOKUP($A118,'Data shares'!$C:$FA,90)</f>
        <v>257075</v>
      </c>
      <c r="I118" s="86">
        <f>VLOOKUP($A118,'Data shares'!$C:$FA,92)</f>
        <v>-484050</v>
      </c>
      <c r="J118" s="87">
        <f>VLOOKUP($A118,'Data shares'!$C:$FA,93)</f>
        <v>-0.65310000000000001</v>
      </c>
      <c r="K118" s="86">
        <f>VLOOKUP($A118,'Data shares'!$C:$FA,94)</f>
        <v>149800</v>
      </c>
      <c r="L118" s="86">
        <f>VLOOKUP($A118,'Data shares'!$C:$FA,96)</f>
        <v>-434175</v>
      </c>
      <c r="M118" s="87">
        <f>VLOOKUP($A118,'Data shares'!$C:$FA,97)</f>
        <v>-0.74350000000000005</v>
      </c>
      <c r="N118" s="86">
        <f>VLOOKUP($A118,'Data shares'!$C:$FA,78)</f>
        <v>267400</v>
      </c>
      <c r="O118" s="87">
        <f>VLOOKUP($A118,'Data shares'!$C:$FA,81)</f>
        <v>-0.28660000000000002</v>
      </c>
    </row>
    <row r="119" spans="1:15" x14ac:dyDescent="0.25">
      <c r="A119" s="100" t="str">
        <f>'Data Vlaue (Cr)'!C114</f>
        <v>KFINTECH</v>
      </c>
      <c r="B119" s="82">
        <f>VLOOKUP(A119,'Data shares'!$C$2:$CV$216,98,0)</f>
        <v>6042850</v>
      </c>
      <c r="C119" s="82">
        <f>VLOOKUP(A119,'Data shares'!$C$2:$CX$216,100,0)</f>
        <v>-6163825</v>
      </c>
      <c r="D119" s="141">
        <f>VLOOKUP(A119,'Data shares'!$C$2:$CY$539,101,0)</f>
        <v>-0.505</v>
      </c>
      <c r="E119" s="86">
        <f>VLOOKUP($A119,'Data shares'!$C:$FA,74)</f>
        <v>4817125</v>
      </c>
      <c r="F119" s="86">
        <f>VLOOKUP($A119,'Data shares'!$C:$FA,76)</f>
        <v>-639325</v>
      </c>
      <c r="G119" s="87">
        <f>VLOOKUP(A119,'Data shares'!$C$2:$CA$216,77,0)</f>
        <v>-0.1172</v>
      </c>
      <c r="H119" s="86">
        <f>VLOOKUP($A119,'Data shares'!$C:$FA,90)</f>
        <v>600500</v>
      </c>
      <c r="I119" s="86">
        <f>VLOOKUP($A119,'Data shares'!$C:$FA,92)</f>
        <v>-3439000</v>
      </c>
      <c r="J119" s="87">
        <f>VLOOKUP($A119,'Data shares'!$C:$FA,93)</f>
        <v>-0.85129999999999995</v>
      </c>
      <c r="K119" s="86">
        <f>VLOOKUP($A119,'Data shares'!$C:$FA,94)</f>
        <v>625225</v>
      </c>
      <c r="L119" s="86">
        <f>VLOOKUP($A119,'Data shares'!$C:$FA,96)</f>
        <v>-2085500</v>
      </c>
      <c r="M119" s="87">
        <f>VLOOKUP($A119,'Data shares'!$C:$FA,97)</f>
        <v>-0.76939999999999997</v>
      </c>
      <c r="N119" s="86">
        <f>VLOOKUP($A119,'Data shares'!$C:$FA,78)</f>
        <v>471000</v>
      </c>
      <c r="O119" s="87">
        <f>VLOOKUP($A119,'Data shares'!$C:$FA,81)</f>
        <v>-0.54669999999999996</v>
      </c>
    </row>
    <row r="120" spans="1:15" x14ac:dyDescent="0.25">
      <c r="A120" s="100" t="str">
        <f>'Data Vlaue (Cr)'!C115</f>
        <v>KOTAKBANK</v>
      </c>
      <c r="B120" s="82">
        <f>VLOOKUP(A120,'Data shares'!$C$2:$CV$216,98,0)</f>
        <v>216590000</v>
      </c>
      <c r="C120" s="82">
        <f>VLOOKUP(A120,'Data shares'!$C$2:$CX$216,100,0)</f>
        <v>-54150000</v>
      </c>
      <c r="D120" s="141">
        <f>VLOOKUP(A120,'Data shares'!$C$2:$CY$539,101,0)</f>
        <v>-0.2</v>
      </c>
      <c r="E120" s="86">
        <f>VLOOKUP($A120,'Data shares'!$C:$FA,74)</f>
        <v>185406000</v>
      </c>
      <c r="F120" s="86">
        <f>VLOOKUP($A120,'Data shares'!$C:$FA,76)</f>
        <v>-8546000</v>
      </c>
      <c r="G120" s="87">
        <f>VLOOKUP(A120,'Data shares'!$C$2:$CA$216,77,0)</f>
        <v>-4.41E-2</v>
      </c>
      <c r="H120" s="86">
        <f>VLOOKUP($A120,'Data shares'!$C:$FA,90)</f>
        <v>16866000</v>
      </c>
      <c r="I120" s="86">
        <f>VLOOKUP($A120,'Data shares'!$C:$FA,92)</f>
        <v>-25326000</v>
      </c>
      <c r="J120" s="87">
        <f>VLOOKUP($A120,'Data shares'!$C:$FA,93)</f>
        <v>-0.60029999999999994</v>
      </c>
      <c r="K120" s="86">
        <f>VLOOKUP($A120,'Data shares'!$C:$FA,94)</f>
        <v>14318000</v>
      </c>
      <c r="L120" s="86">
        <f>VLOOKUP($A120,'Data shares'!$C:$FA,96)</f>
        <v>-20278000</v>
      </c>
      <c r="M120" s="87">
        <f>VLOOKUP($A120,'Data shares'!$C:$FA,97)</f>
        <v>-0.58609999999999995</v>
      </c>
      <c r="N120" s="86">
        <f>VLOOKUP($A120,'Data shares'!$C:$FA,78)</f>
        <v>11930000</v>
      </c>
      <c r="O120" s="87">
        <f>VLOOKUP($A120,'Data shares'!$C:$FA,81)</f>
        <v>-0.46050000000000002</v>
      </c>
    </row>
    <row r="121" spans="1:15" x14ac:dyDescent="0.25">
      <c r="A121" s="100" t="str">
        <f>'Data Vlaue (Cr)'!C116</f>
        <v>KPITTECH</v>
      </c>
      <c r="B121" s="82">
        <f>VLOOKUP(A121,'Data shares'!$C$2:$CV$216,98,0)</f>
        <v>11733575</v>
      </c>
      <c r="C121" s="82">
        <f>VLOOKUP(A121,'Data shares'!$C$2:$CX$216,100,0)</f>
        <v>-6488125</v>
      </c>
      <c r="D121" s="141">
        <f>VLOOKUP(A121,'Data shares'!$C$2:$CY$539,101,0)</f>
        <v>-0.35610000000000003</v>
      </c>
      <c r="E121" s="86">
        <f>VLOOKUP($A121,'Data shares'!$C:$FA,74)</f>
        <v>8131775</v>
      </c>
      <c r="F121" s="86">
        <f>VLOOKUP($A121,'Data shares'!$C:$FA,76)</f>
        <v>-1114425</v>
      </c>
      <c r="G121" s="87">
        <f>VLOOKUP(A121,'Data shares'!$C$2:$CA$216,77,0)</f>
        <v>-0.1205</v>
      </c>
      <c r="H121" s="86">
        <f>VLOOKUP($A121,'Data shares'!$C:$FA,90)</f>
        <v>2195975</v>
      </c>
      <c r="I121" s="86">
        <f>VLOOKUP($A121,'Data shares'!$C:$FA,92)</f>
        <v>-3584025</v>
      </c>
      <c r="J121" s="87">
        <f>VLOOKUP($A121,'Data shares'!$C:$FA,93)</f>
        <v>-0.62009999999999998</v>
      </c>
      <c r="K121" s="86">
        <f>VLOOKUP($A121,'Data shares'!$C:$FA,94)</f>
        <v>1405825</v>
      </c>
      <c r="L121" s="86">
        <f>VLOOKUP($A121,'Data shares'!$C:$FA,96)</f>
        <v>-1789675</v>
      </c>
      <c r="M121" s="87">
        <f>VLOOKUP($A121,'Data shares'!$C:$FA,97)</f>
        <v>-0.56010000000000004</v>
      </c>
      <c r="N121" s="86">
        <f>VLOOKUP($A121,'Data shares'!$C:$FA,78)</f>
        <v>1160675</v>
      </c>
      <c r="O121" s="87">
        <f>VLOOKUP($A121,'Data shares'!$C:$FA,81)</f>
        <v>-7.2999999999999995E-2</v>
      </c>
    </row>
    <row r="122" spans="1:15" x14ac:dyDescent="0.25">
      <c r="A122" s="100" t="str">
        <f>'Data Vlaue (Cr)'!C117</f>
        <v>LAURUSLABS</v>
      </c>
      <c r="B122" s="82">
        <f>VLOOKUP(A122,'Data shares'!$C$2:$CV$216,98,0)</f>
        <v>24434100</v>
      </c>
      <c r="C122" s="82">
        <f>VLOOKUP(A122,'Data shares'!$C$2:$CX$216,100,0)</f>
        <v>-9851500</v>
      </c>
      <c r="D122" s="141">
        <f>VLOOKUP(A122,'Data shares'!$C$2:$CY$539,101,0)</f>
        <v>-0.2873</v>
      </c>
      <c r="E122" s="86">
        <f>VLOOKUP($A122,'Data shares'!$C:$FA,74)</f>
        <v>18133900</v>
      </c>
      <c r="F122" s="86">
        <f>VLOOKUP($A122,'Data shares'!$C:$FA,76)</f>
        <v>-1076950</v>
      </c>
      <c r="G122" s="87">
        <f>VLOOKUP(A122,'Data shares'!$C$2:$CA$216,77,0)</f>
        <v>-5.6099999999999997E-2</v>
      </c>
      <c r="H122" s="86">
        <f>VLOOKUP($A122,'Data shares'!$C:$FA,90)</f>
        <v>3112700</v>
      </c>
      <c r="I122" s="86">
        <f>VLOOKUP($A122,'Data shares'!$C:$FA,92)</f>
        <v>-4235550</v>
      </c>
      <c r="J122" s="87">
        <f>VLOOKUP($A122,'Data shares'!$C:$FA,93)</f>
        <v>-0.57640000000000002</v>
      </c>
      <c r="K122" s="86">
        <f>VLOOKUP($A122,'Data shares'!$C:$FA,94)</f>
        <v>3187500</v>
      </c>
      <c r="L122" s="86">
        <f>VLOOKUP($A122,'Data shares'!$C:$FA,96)</f>
        <v>-4539000</v>
      </c>
      <c r="M122" s="87">
        <f>VLOOKUP($A122,'Data shares'!$C:$FA,97)</f>
        <v>-0.58750000000000002</v>
      </c>
      <c r="N122" s="86">
        <f>VLOOKUP($A122,'Data shares'!$C:$FA,78)</f>
        <v>1123700</v>
      </c>
      <c r="O122" s="87">
        <f>VLOOKUP($A122,'Data shares'!$C:$FA,81)</f>
        <v>-0.50239999999999996</v>
      </c>
    </row>
    <row r="123" spans="1:15" x14ac:dyDescent="0.25">
      <c r="A123" s="100" t="str">
        <f>'Data Vlaue (Cr)'!C118</f>
        <v>LICHSGFIN</v>
      </c>
      <c r="B123" s="82">
        <f>VLOOKUP(A123,'Data shares'!$C$2:$CV$216,98,0)</f>
        <v>35593000</v>
      </c>
      <c r="C123" s="82">
        <f>VLOOKUP(A123,'Data shares'!$C$2:$CX$216,100,0)</f>
        <v>-9434000</v>
      </c>
      <c r="D123" s="141">
        <f>VLOOKUP(A123,'Data shares'!$C$2:$CY$539,101,0)</f>
        <v>-0.20949999999999999</v>
      </c>
      <c r="E123" s="86">
        <f>VLOOKUP($A123,'Data shares'!$C:$FA,74)</f>
        <v>29159000</v>
      </c>
      <c r="F123" s="86">
        <f>VLOOKUP($A123,'Data shares'!$C:$FA,76)</f>
        <v>-812000</v>
      </c>
      <c r="G123" s="87">
        <f>VLOOKUP(A123,'Data shares'!$C$2:$CA$216,77,0)</f>
        <v>-2.7099999999999999E-2</v>
      </c>
      <c r="H123" s="86">
        <f>VLOOKUP($A123,'Data shares'!$C:$FA,90)</f>
        <v>3239000</v>
      </c>
      <c r="I123" s="86">
        <f>VLOOKUP($A123,'Data shares'!$C:$FA,92)</f>
        <v>-5805000</v>
      </c>
      <c r="J123" s="87">
        <f>VLOOKUP($A123,'Data shares'!$C:$FA,93)</f>
        <v>-0.64190000000000003</v>
      </c>
      <c r="K123" s="86">
        <f>VLOOKUP($A123,'Data shares'!$C:$FA,94)</f>
        <v>3195000</v>
      </c>
      <c r="L123" s="86">
        <f>VLOOKUP($A123,'Data shares'!$C:$FA,96)</f>
        <v>-2817000</v>
      </c>
      <c r="M123" s="87">
        <f>VLOOKUP($A123,'Data shares'!$C:$FA,97)</f>
        <v>-0.46860000000000002</v>
      </c>
      <c r="N123" s="86">
        <f>VLOOKUP($A123,'Data shares'!$C:$FA,78)</f>
        <v>906000</v>
      </c>
      <c r="O123" s="87">
        <f>VLOOKUP($A123,'Data shares'!$C:$FA,81)</f>
        <v>-0.82630000000000003</v>
      </c>
    </row>
    <row r="124" spans="1:15" x14ac:dyDescent="0.25">
      <c r="A124" s="100" t="str">
        <f>'Data Vlaue (Cr)'!C119</f>
        <v>LICI</v>
      </c>
      <c r="B124" s="82">
        <f>VLOOKUP(A124,'Data shares'!$C$2:$CV$216,98,0)</f>
        <v>17853500</v>
      </c>
      <c r="C124" s="82">
        <f>VLOOKUP(A124,'Data shares'!$C$2:$CX$216,100,0)</f>
        <v>-8399300</v>
      </c>
      <c r="D124" s="141">
        <f>VLOOKUP(A124,'Data shares'!$C$2:$CY$539,101,0)</f>
        <v>-0.31990000000000002</v>
      </c>
      <c r="E124" s="86">
        <f>VLOOKUP($A124,'Data shares'!$C:$FA,74)</f>
        <v>10345300</v>
      </c>
      <c r="F124" s="86">
        <f>VLOOKUP($A124,'Data shares'!$C:$FA,76)</f>
        <v>-1007300</v>
      </c>
      <c r="G124" s="87">
        <f>VLOOKUP(A124,'Data shares'!$C$2:$CA$216,77,0)</f>
        <v>-8.8700000000000001E-2</v>
      </c>
      <c r="H124" s="86">
        <f>VLOOKUP($A124,'Data shares'!$C:$FA,90)</f>
        <v>4442200</v>
      </c>
      <c r="I124" s="86">
        <f>VLOOKUP($A124,'Data shares'!$C:$FA,92)</f>
        <v>-5105800</v>
      </c>
      <c r="J124" s="87">
        <f>VLOOKUP($A124,'Data shares'!$C:$FA,93)</f>
        <v>-0.53480000000000005</v>
      </c>
      <c r="K124" s="86">
        <f>VLOOKUP($A124,'Data shares'!$C:$FA,94)</f>
        <v>3066000</v>
      </c>
      <c r="L124" s="86">
        <f>VLOOKUP($A124,'Data shares'!$C:$FA,96)</f>
        <v>-2286200</v>
      </c>
      <c r="M124" s="87">
        <f>VLOOKUP($A124,'Data shares'!$C:$FA,97)</f>
        <v>-0.42720000000000002</v>
      </c>
      <c r="N124" s="86">
        <f>VLOOKUP($A124,'Data shares'!$C:$FA,78)</f>
        <v>1148000</v>
      </c>
      <c r="O124" s="87">
        <f>VLOOKUP($A124,'Data shares'!$C:$FA,81)</f>
        <v>-0.4143</v>
      </c>
    </row>
    <row r="125" spans="1:15" x14ac:dyDescent="0.25">
      <c r="A125" s="100" t="str">
        <f>'Data Vlaue (Cr)'!C120</f>
        <v>LODHA</v>
      </c>
      <c r="B125" s="82">
        <f>VLOOKUP(A125,'Data shares'!$C$2:$CV$216,98,0)</f>
        <v>13819000</v>
      </c>
      <c r="C125" s="82">
        <f>VLOOKUP(A125,'Data shares'!$C$2:$CX$216,100,0)</f>
        <v>-5416000</v>
      </c>
      <c r="D125" s="141">
        <f>VLOOKUP(A125,'Data shares'!$C$2:$CY$539,101,0)</f>
        <v>-0.28160000000000002</v>
      </c>
      <c r="E125" s="86">
        <f>VLOOKUP($A125,'Data shares'!$C:$FA,74)</f>
        <v>12373150</v>
      </c>
      <c r="F125" s="86">
        <f>VLOOKUP($A125,'Data shares'!$C:$FA,76)</f>
        <v>-992050</v>
      </c>
      <c r="G125" s="87">
        <f>VLOOKUP(A125,'Data shares'!$C$2:$CA$216,77,0)</f>
        <v>-7.4200000000000002E-2</v>
      </c>
      <c r="H125" s="86">
        <f>VLOOKUP($A125,'Data shares'!$C:$FA,90)</f>
        <v>751500</v>
      </c>
      <c r="I125" s="86">
        <f>VLOOKUP($A125,'Data shares'!$C:$FA,92)</f>
        <v>-2322900</v>
      </c>
      <c r="J125" s="87">
        <f>VLOOKUP($A125,'Data shares'!$C:$FA,93)</f>
        <v>-0.75560000000000005</v>
      </c>
      <c r="K125" s="86">
        <f>VLOOKUP($A125,'Data shares'!$C:$FA,94)</f>
        <v>694350</v>
      </c>
      <c r="L125" s="86">
        <f>VLOOKUP($A125,'Data shares'!$C:$FA,96)</f>
        <v>-2101050</v>
      </c>
      <c r="M125" s="87">
        <f>VLOOKUP($A125,'Data shares'!$C:$FA,97)</f>
        <v>-0.75160000000000005</v>
      </c>
      <c r="N125" s="86">
        <f>VLOOKUP($A125,'Data shares'!$C:$FA,78)</f>
        <v>250650</v>
      </c>
      <c r="O125" s="87">
        <f>VLOOKUP($A125,'Data shares'!$C:$FA,81)</f>
        <v>-0.80079999999999996</v>
      </c>
    </row>
    <row r="126" spans="1:15" x14ac:dyDescent="0.25">
      <c r="A126" s="100" t="str">
        <f>'Data Vlaue (Cr)'!C121</f>
        <v>LT</v>
      </c>
      <c r="B126" s="82">
        <f>VLOOKUP(A126,'Data shares'!$C$2:$CV$216,98,0)</f>
        <v>20515950</v>
      </c>
      <c r="C126" s="82">
        <f>VLOOKUP(A126,'Data shares'!$C$2:$CX$216,100,0)</f>
        <v>-9028075</v>
      </c>
      <c r="D126" s="141">
        <f>VLOOKUP(A126,'Data shares'!$C$2:$CY$539,101,0)</f>
        <v>-0.30559999999999998</v>
      </c>
      <c r="E126" s="86">
        <f>VLOOKUP($A126,'Data shares'!$C:$FA,74)</f>
        <v>14581000</v>
      </c>
      <c r="F126" s="86">
        <f>VLOOKUP($A126,'Data shares'!$C:$FA,76)</f>
        <v>-1549800</v>
      </c>
      <c r="G126" s="87">
        <f>VLOOKUP(A126,'Data shares'!$C$2:$CA$216,77,0)</f>
        <v>-9.6100000000000005E-2</v>
      </c>
      <c r="H126" s="86">
        <f>VLOOKUP($A126,'Data shares'!$C:$FA,90)</f>
        <v>2550625</v>
      </c>
      <c r="I126" s="86">
        <f>VLOOKUP($A126,'Data shares'!$C:$FA,92)</f>
        <v>-4968775</v>
      </c>
      <c r="J126" s="87">
        <f>VLOOKUP($A126,'Data shares'!$C:$FA,93)</f>
        <v>-0.66080000000000005</v>
      </c>
      <c r="K126" s="86">
        <f>VLOOKUP($A126,'Data shares'!$C:$FA,94)</f>
        <v>3384325</v>
      </c>
      <c r="L126" s="86">
        <f>VLOOKUP($A126,'Data shares'!$C:$FA,96)</f>
        <v>-2509500</v>
      </c>
      <c r="M126" s="87">
        <f>VLOOKUP($A126,'Data shares'!$C:$FA,97)</f>
        <v>-0.42580000000000001</v>
      </c>
      <c r="N126" s="86">
        <f>VLOOKUP($A126,'Data shares'!$C:$FA,78)</f>
        <v>882000</v>
      </c>
      <c r="O126" s="87">
        <f>VLOOKUP($A126,'Data shares'!$C:$FA,81)</f>
        <v>-0.62360000000000004</v>
      </c>
    </row>
    <row r="127" spans="1:15" x14ac:dyDescent="0.25">
      <c r="A127" s="100" t="str">
        <f>'Data Vlaue (Cr)'!C122</f>
        <v>LTF</v>
      </c>
      <c r="B127" s="82">
        <f>VLOOKUP(A127,'Data shares'!$C$2:$CV$216,98,0)</f>
        <v>57075750</v>
      </c>
      <c r="C127" s="82">
        <f>VLOOKUP(A127,'Data shares'!$C$2:$CX$216,100,0)</f>
        <v>-24887250</v>
      </c>
      <c r="D127" s="141">
        <f>VLOOKUP(A127,'Data shares'!$C$2:$CY$539,101,0)</f>
        <v>-0.30359999999999998</v>
      </c>
      <c r="E127" s="86">
        <f>VLOOKUP($A127,'Data shares'!$C:$FA,74)</f>
        <v>40785750</v>
      </c>
      <c r="F127" s="86">
        <f>VLOOKUP($A127,'Data shares'!$C:$FA,76)</f>
        <v>-4007250</v>
      </c>
      <c r="G127" s="87">
        <f>VLOOKUP(A127,'Data shares'!$C$2:$CA$216,77,0)</f>
        <v>-8.9499999999999996E-2</v>
      </c>
      <c r="H127" s="86">
        <f>VLOOKUP($A127,'Data shares'!$C:$FA,90)</f>
        <v>8498250</v>
      </c>
      <c r="I127" s="86">
        <f>VLOOKUP($A127,'Data shares'!$C:$FA,92)</f>
        <v>-13466250</v>
      </c>
      <c r="J127" s="87">
        <f>VLOOKUP($A127,'Data shares'!$C:$FA,93)</f>
        <v>-0.61309999999999998</v>
      </c>
      <c r="K127" s="86">
        <f>VLOOKUP($A127,'Data shares'!$C:$FA,94)</f>
        <v>7791750</v>
      </c>
      <c r="L127" s="86">
        <f>VLOOKUP($A127,'Data shares'!$C:$FA,96)</f>
        <v>-7413750</v>
      </c>
      <c r="M127" s="87">
        <f>VLOOKUP($A127,'Data shares'!$C:$FA,97)</f>
        <v>-0.48759999999999998</v>
      </c>
      <c r="N127" s="86">
        <f>VLOOKUP($A127,'Data shares'!$C:$FA,78)</f>
        <v>4092750</v>
      </c>
      <c r="O127" s="87">
        <f>VLOOKUP($A127,'Data shares'!$C:$FA,81)</f>
        <v>-0.42849999999999999</v>
      </c>
    </row>
    <row r="128" spans="1:15" x14ac:dyDescent="0.25">
      <c r="A128" s="100" t="str">
        <f>'Data Vlaue (Cr)'!C123</f>
        <v>LTM</v>
      </c>
      <c r="B128" s="82">
        <f>VLOOKUP(A128,'Data shares'!$C$2:$CV$216,98,0)</f>
        <v>4881300</v>
      </c>
      <c r="C128" s="82">
        <f>VLOOKUP(A128,'Data shares'!$C$2:$CX$216,100,0)</f>
        <v>-2341350</v>
      </c>
      <c r="D128" s="141">
        <f>VLOOKUP(A128,'Data shares'!$C$2:$CY$539,101,0)</f>
        <v>-0.32419999999999999</v>
      </c>
      <c r="E128" s="86">
        <f>VLOOKUP($A128,'Data shares'!$C:$FA,74)</f>
        <v>3776550</v>
      </c>
      <c r="F128" s="86">
        <f>VLOOKUP($A128,'Data shares'!$C:$FA,76)</f>
        <v>-695550</v>
      </c>
      <c r="G128" s="87">
        <f>VLOOKUP(A128,'Data shares'!$C$2:$CA$216,77,0)</f>
        <v>-0.1555</v>
      </c>
      <c r="H128" s="86">
        <f>VLOOKUP($A128,'Data shares'!$C:$FA,90)</f>
        <v>641100</v>
      </c>
      <c r="I128" s="86">
        <f>VLOOKUP($A128,'Data shares'!$C:$FA,92)</f>
        <v>-1149600</v>
      </c>
      <c r="J128" s="87">
        <f>VLOOKUP($A128,'Data shares'!$C:$FA,93)</f>
        <v>-0.64200000000000002</v>
      </c>
      <c r="K128" s="86">
        <f>VLOOKUP($A128,'Data shares'!$C:$FA,94)</f>
        <v>463650</v>
      </c>
      <c r="L128" s="86">
        <f>VLOOKUP($A128,'Data shares'!$C:$FA,96)</f>
        <v>-496200</v>
      </c>
      <c r="M128" s="87">
        <f>VLOOKUP($A128,'Data shares'!$C:$FA,97)</f>
        <v>-0.51700000000000002</v>
      </c>
      <c r="N128" s="86">
        <f>VLOOKUP($A128,'Data shares'!$C:$FA,78)</f>
        <v>368100</v>
      </c>
      <c r="O128" s="87">
        <f>VLOOKUP($A128,'Data shares'!$C:$FA,81)</f>
        <v>-0.48670000000000002</v>
      </c>
    </row>
    <row r="129" spans="1:15" x14ac:dyDescent="0.25">
      <c r="A129" s="100" t="str">
        <f>'Data Vlaue (Cr)'!C124</f>
        <v>LUPIN</v>
      </c>
      <c r="B129" s="82">
        <f>VLOOKUP(A129,'Data shares'!$C$2:$CV$216,98,0)</f>
        <v>9028700</v>
      </c>
      <c r="C129" s="82">
        <f>VLOOKUP(A129,'Data shares'!$C$2:$CX$216,100,0)</f>
        <v>-10021925</v>
      </c>
      <c r="D129" s="141">
        <f>VLOOKUP(A129,'Data shares'!$C$2:$CY$539,101,0)</f>
        <v>-0.52610000000000001</v>
      </c>
      <c r="E129" s="86">
        <f>VLOOKUP($A129,'Data shares'!$C:$FA,74)</f>
        <v>6936000</v>
      </c>
      <c r="F129" s="86">
        <f>VLOOKUP($A129,'Data shares'!$C:$FA,76)</f>
        <v>-1258000</v>
      </c>
      <c r="G129" s="87">
        <f>VLOOKUP(A129,'Data shares'!$C$2:$CA$216,77,0)</f>
        <v>-0.1535</v>
      </c>
      <c r="H129" s="86">
        <f>VLOOKUP($A129,'Data shares'!$C:$FA,90)</f>
        <v>1155150</v>
      </c>
      <c r="I129" s="86">
        <f>VLOOKUP($A129,'Data shares'!$C:$FA,92)</f>
        <v>-6088550</v>
      </c>
      <c r="J129" s="87">
        <f>VLOOKUP($A129,'Data shares'!$C:$FA,93)</f>
        <v>-0.84050000000000002</v>
      </c>
      <c r="K129" s="86">
        <f>VLOOKUP($A129,'Data shares'!$C:$FA,94)</f>
        <v>937550</v>
      </c>
      <c r="L129" s="86">
        <f>VLOOKUP($A129,'Data shares'!$C:$FA,96)</f>
        <v>-2675375</v>
      </c>
      <c r="M129" s="87">
        <f>VLOOKUP($A129,'Data shares'!$C:$FA,97)</f>
        <v>-0.74050000000000005</v>
      </c>
      <c r="N129" s="86">
        <f>VLOOKUP($A129,'Data shares'!$C:$FA,78)</f>
        <v>2181950</v>
      </c>
      <c r="O129" s="87">
        <f>VLOOKUP($A129,'Data shares'!$C:$FA,81)</f>
        <v>-1.5299999999999999E-2</v>
      </c>
    </row>
    <row r="130" spans="1:15" x14ac:dyDescent="0.25">
      <c r="A130" s="100" t="str">
        <f>'Data Vlaue (Cr)'!C125</f>
        <v>M&amp;M</v>
      </c>
      <c r="B130" s="82">
        <f>VLOOKUP(A130,'Data shares'!$C$2:$CV$216,98,0)</f>
        <v>23583600</v>
      </c>
      <c r="C130" s="82">
        <f>VLOOKUP(A130,'Data shares'!$C$2:$CX$216,100,0)</f>
        <v>-6263400</v>
      </c>
      <c r="D130" s="141">
        <f>VLOOKUP(A130,'Data shares'!$C$2:$CY$539,101,0)</f>
        <v>-0.2099</v>
      </c>
      <c r="E130" s="86">
        <f>VLOOKUP($A130,'Data shares'!$C:$FA,74)</f>
        <v>18404800</v>
      </c>
      <c r="F130" s="86">
        <f>VLOOKUP($A130,'Data shares'!$C:$FA,76)</f>
        <v>-462600</v>
      </c>
      <c r="G130" s="87">
        <f>VLOOKUP(A130,'Data shares'!$C$2:$CA$216,77,0)</f>
        <v>-2.4500000000000001E-2</v>
      </c>
      <c r="H130" s="86">
        <f>VLOOKUP($A130,'Data shares'!$C:$FA,90)</f>
        <v>2809200</v>
      </c>
      <c r="I130" s="86">
        <f>VLOOKUP($A130,'Data shares'!$C:$FA,92)</f>
        <v>-3023400</v>
      </c>
      <c r="J130" s="87">
        <f>VLOOKUP($A130,'Data shares'!$C:$FA,93)</f>
        <v>-0.51839999999999997</v>
      </c>
      <c r="K130" s="86">
        <f>VLOOKUP($A130,'Data shares'!$C:$FA,94)</f>
        <v>2369600</v>
      </c>
      <c r="L130" s="86">
        <f>VLOOKUP($A130,'Data shares'!$C:$FA,96)</f>
        <v>-2777400</v>
      </c>
      <c r="M130" s="87">
        <f>VLOOKUP($A130,'Data shares'!$C:$FA,97)</f>
        <v>-0.53959999999999997</v>
      </c>
      <c r="N130" s="86">
        <f>VLOOKUP($A130,'Data shares'!$C:$FA,78)</f>
        <v>615600</v>
      </c>
      <c r="O130" s="87">
        <f>VLOOKUP($A130,'Data shares'!$C:$FA,81)</f>
        <v>-0.59240000000000004</v>
      </c>
    </row>
    <row r="131" spans="1:15" x14ac:dyDescent="0.25">
      <c r="A131" s="100" t="str">
        <f>'Data Vlaue (Cr)'!C126</f>
        <v>MANAPPURAM</v>
      </c>
      <c r="B131" s="82">
        <f>VLOOKUP(A131,'Data shares'!$C$2:$CV$216,98,0)</f>
        <v>58515000</v>
      </c>
      <c r="C131" s="82">
        <f>VLOOKUP(A131,'Data shares'!$C$2:$CX$216,100,0)</f>
        <v>-16944000</v>
      </c>
      <c r="D131" s="141">
        <f>VLOOKUP(A131,'Data shares'!$C$2:$CY$539,101,0)</f>
        <v>-0.22450000000000001</v>
      </c>
      <c r="E131" s="86">
        <f>VLOOKUP($A131,'Data shares'!$C:$FA,74)</f>
        <v>47553000</v>
      </c>
      <c r="F131" s="86">
        <f>VLOOKUP($A131,'Data shares'!$C:$FA,76)</f>
        <v>-6261000</v>
      </c>
      <c r="G131" s="87">
        <f>VLOOKUP(A131,'Data shares'!$C$2:$CA$216,77,0)</f>
        <v>-0.1163</v>
      </c>
      <c r="H131" s="86">
        <f>VLOOKUP($A131,'Data shares'!$C:$FA,90)</f>
        <v>7455000</v>
      </c>
      <c r="I131" s="86">
        <f>VLOOKUP($A131,'Data shares'!$C:$FA,92)</f>
        <v>-4011000</v>
      </c>
      <c r="J131" s="87">
        <f>VLOOKUP($A131,'Data shares'!$C:$FA,93)</f>
        <v>-0.3498</v>
      </c>
      <c r="K131" s="86">
        <f>VLOOKUP($A131,'Data shares'!$C:$FA,94)</f>
        <v>3507000</v>
      </c>
      <c r="L131" s="86">
        <f>VLOOKUP($A131,'Data shares'!$C:$FA,96)</f>
        <v>-6672000</v>
      </c>
      <c r="M131" s="87">
        <f>VLOOKUP($A131,'Data shares'!$C:$FA,97)</f>
        <v>-0.65549999999999997</v>
      </c>
      <c r="N131" s="86">
        <f>VLOOKUP($A131,'Data shares'!$C:$FA,78)</f>
        <v>6606000</v>
      </c>
      <c r="O131" s="87">
        <f>VLOOKUP($A131,'Data shares'!$C:$FA,81)</f>
        <v>-0.35730000000000001</v>
      </c>
    </row>
    <row r="132" spans="1:15" x14ac:dyDescent="0.25">
      <c r="A132" s="100" t="str">
        <f>'Data Vlaue (Cr)'!C127</f>
        <v>MANKIND</v>
      </c>
      <c r="B132" s="82">
        <f>VLOOKUP(A132,'Data shares'!$C$2:$CV$216,98,0)</f>
        <v>4161125</v>
      </c>
      <c r="C132" s="82">
        <f>VLOOKUP(A132,'Data shares'!$C$2:$CX$216,100,0)</f>
        <v>-1861325</v>
      </c>
      <c r="D132" s="141">
        <f>VLOOKUP(A132,'Data shares'!$C$2:$CY$539,101,0)</f>
        <v>-0.30909999999999999</v>
      </c>
      <c r="E132" s="86">
        <f>VLOOKUP($A132,'Data shares'!$C:$FA,74)</f>
        <v>3632675</v>
      </c>
      <c r="F132" s="86">
        <f>VLOOKUP($A132,'Data shares'!$C:$FA,76)</f>
        <v>-342575</v>
      </c>
      <c r="G132" s="87">
        <f>VLOOKUP(A132,'Data shares'!$C$2:$CA$216,77,0)</f>
        <v>-8.6199999999999999E-2</v>
      </c>
      <c r="H132" s="86">
        <f>VLOOKUP($A132,'Data shares'!$C:$FA,90)</f>
        <v>320850</v>
      </c>
      <c r="I132" s="86">
        <f>VLOOKUP($A132,'Data shares'!$C:$FA,92)</f>
        <v>-977625</v>
      </c>
      <c r="J132" s="87">
        <f>VLOOKUP($A132,'Data shares'!$C:$FA,93)</f>
        <v>-0.75290000000000001</v>
      </c>
      <c r="K132" s="86">
        <f>VLOOKUP($A132,'Data shares'!$C:$FA,94)</f>
        <v>207600</v>
      </c>
      <c r="L132" s="86">
        <f>VLOOKUP($A132,'Data shares'!$C:$FA,96)</f>
        <v>-541125</v>
      </c>
      <c r="M132" s="87">
        <f>VLOOKUP($A132,'Data shares'!$C:$FA,97)</f>
        <v>-0.72270000000000001</v>
      </c>
      <c r="N132" s="86">
        <f>VLOOKUP($A132,'Data shares'!$C:$FA,78)</f>
        <v>256500</v>
      </c>
      <c r="O132" s="87">
        <f>VLOOKUP($A132,'Data shares'!$C:$FA,81)</f>
        <v>-0.45219999999999999</v>
      </c>
    </row>
    <row r="133" spans="1:15" x14ac:dyDescent="0.25">
      <c r="A133" s="100" t="str">
        <f>'Data Vlaue (Cr)'!C128</f>
        <v>MARICO</v>
      </c>
      <c r="B133" s="82">
        <f>VLOOKUP(A133,'Data shares'!$C$2:$CV$216,98,0)</f>
        <v>19064400</v>
      </c>
      <c r="C133" s="82">
        <f>VLOOKUP(A133,'Data shares'!$C$2:$CX$216,100,0)</f>
        <v>-8530800</v>
      </c>
      <c r="D133" s="141">
        <f>VLOOKUP(A133,'Data shares'!$C$2:$CY$539,101,0)</f>
        <v>-0.30909999999999999</v>
      </c>
      <c r="E133" s="86">
        <f>VLOOKUP($A133,'Data shares'!$C:$FA,74)</f>
        <v>17654400</v>
      </c>
      <c r="F133" s="86">
        <f>VLOOKUP($A133,'Data shares'!$C:$FA,76)</f>
        <v>-432000</v>
      </c>
      <c r="G133" s="87">
        <f>VLOOKUP(A133,'Data shares'!$C$2:$CA$216,77,0)</f>
        <v>-2.3900000000000001E-2</v>
      </c>
      <c r="H133" s="86">
        <f>VLOOKUP($A133,'Data shares'!$C:$FA,90)</f>
        <v>746400</v>
      </c>
      <c r="I133" s="86">
        <f>VLOOKUP($A133,'Data shares'!$C:$FA,92)</f>
        <v>-4878000</v>
      </c>
      <c r="J133" s="87">
        <f>VLOOKUP($A133,'Data shares'!$C:$FA,93)</f>
        <v>-0.86729999999999996</v>
      </c>
      <c r="K133" s="86">
        <f>VLOOKUP($A133,'Data shares'!$C:$FA,94)</f>
        <v>663600</v>
      </c>
      <c r="L133" s="86">
        <f>VLOOKUP($A133,'Data shares'!$C:$FA,96)</f>
        <v>-3220800</v>
      </c>
      <c r="M133" s="87">
        <f>VLOOKUP($A133,'Data shares'!$C:$FA,97)</f>
        <v>-0.82920000000000005</v>
      </c>
      <c r="N133" s="86">
        <f>VLOOKUP($A133,'Data shares'!$C:$FA,78)</f>
        <v>645600</v>
      </c>
      <c r="O133" s="87">
        <f>VLOOKUP($A133,'Data shares'!$C:$FA,81)</f>
        <v>-0.54830000000000001</v>
      </c>
    </row>
    <row r="134" spans="1:15" x14ac:dyDescent="0.25">
      <c r="A134" s="100" t="str">
        <f>'Data Vlaue (Cr)'!C129</f>
        <v>MARUTI</v>
      </c>
      <c r="B134" s="82">
        <f>VLOOKUP(A134,'Data shares'!$C$2:$CV$216,98,0)</f>
        <v>4039750</v>
      </c>
      <c r="C134" s="82">
        <f>VLOOKUP(A134,'Data shares'!$C$2:$CX$216,100,0)</f>
        <v>-2761250</v>
      </c>
      <c r="D134" s="141">
        <f>VLOOKUP(A134,'Data shares'!$C$2:$CY$539,101,0)</f>
        <v>-0.40600000000000003</v>
      </c>
      <c r="E134" s="86">
        <f>VLOOKUP($A134,'Data shares'!$C:$FA,74)</f>
        <v>3112850</v>
      </c>
      <c r="F134" s="86">
        <f>VLOOKUP($A134,'Data shares'!$C:$FA,76)</f>
        <v>-124250</v>
      </c>
      <c r="G134" s="87">
        <f>VLOOKUP(A134,'Data shares'!$C$2:$CA$216,77,0)</f>
        <v>-3.8399999999999997E-2</v>
      </c>
      <c r="H134" s="86">
        <f>VLOOKUP($A134,'Data shares'!$C:$FA,90)</f>
        <v>539500</v>
      </c>
      <c r="I134" s="86">
        <f>VLOOKUP($A134,'Data shares'!$C:$FA,92)</f>
        <v>-1960300</v>
      </c>
      <c r="J134" s="87">
        <f>VLOOKUP($A134,'Data shares'!$C:$FA,93)</f>
        <v>-0.78420000000000001</v>
      </c>
      <c r="K134" s="86">
        <f>VLOOKUP($A134,'Data shares'!$C:$FA,94)</f>
        <v>387400</v>
      </c>
      <c r="L134" s="86">
        <f>VLOOKUP($A134,'Data shares'!$C:$FA,96)</f>
        <v>-676700</v>
      </c>
      <c r="M134" s="87">
        <f>VLOOKUP($A134,'Data shares'!$C:$FA,97)</f>
        <v>-0.63590000000000002</v>
      </c>
      <c r="N134" s="86">
        <f>VLOOKUP($A134,'Data shares'!$C:$FA,78)</f>
        <v>182600</v>
      </c>
      <c r="O134" s="87">
        <f>VLOOKUP($A134,'Data shares'!$C:$FA,81)</f>
        <v>-0.32929999999999998</v>
      </c>
    </row>
    <row r="135" spans="1:15" x14ac:dyDescent="0.25">
      <c r="A135" s="100" t="str">
        <f>'Data Vlaue (Cr)'!C130</f>
        <v>MAXHEALTH</v>
      </c>
      <c r="B135" s="82">
        <f>VLOOKUP(A135,'Data shares'!$C$2:$CV$216,98,0)</f>
        <v>20211450</v>
      </c>
      <c r="C135" s="82">
        <f>VLOOKUP(A135,'Data shares'!$C$2:$CX$216,100,0)</f>
        <v>-6089475</v>
      </c>
      <c r="D135" s="141">
        <f>VLOOKUP(A135,'Data shares'!$C$2:$CY$539,101,0)</f>
        <v>-0.23150000000000001</v>
      </c>
      <c r="E135" s="86">
        <f>VLOOKUP($A135,'Data shares'!$C:$FA,74)</f>
        <v>13741350</v>
      </c>
      <c r="F135" s="86">
        <f>VLOOKUP($A135,'Data shares'!$C:$FA,76)</f>
        <v>-951300</v>
      </c>
      <c r="G135" s="87">
        <f>VLOOKUP(A135,'Data shares'!$C$2:$CA$216,77,0)</f>
        <v>-6.4699999999999994E-2</v>
      </c>
      <c r="H135" s="86">
        <f>VLOOKUP($A135,'Data shares'!$C:$FA,90)</f>
        <v>4542300</v>
      </c>
      <c r="I135" s="86">
        <f>VLOOKUP($A135,'Data shares'!$C:$FA,92)</f>
        <v>-3390450</v>
      </c>
      <c r="J135" s="87">
        <f>VLOOKUP($A135,'Data shares'!$C:$FA,93)</f>
        <v>-0.4274</v>
      </c>
      <c r="K135" s="86">
        <f>VLOOKUP($A135,'Data shares'!$C:$FA,94)</f>
        <v>1927800</v>
      </c>
      <c r="L135" s="86">
        <f>VLOOKUP($A135,'Data shares'!$C:$FA,96)</f>
        <v>-1747725</v>
      </c>
      <c r="M135" s="87">
        <f>VLOOKUP($A135,'Data shares'!$C:$FA,97)</f>
        <v>-0.47549999999999998</v>
      </c>
      <c r="N135" s="86">
        <f>VLOOKUP($A135,'Data shares'!$C:$FA,78)</f>
        <v>1240575</v>
      </c>
      <c r="O135" s="87">
        <f>VLOOKUP($A135,'Data shares'!$C:$FA,81)</f>
        <v>-0.34560000000000002</v>
      </c>
    </row>
    <row r="136" spans="1:15" x14ac:dyDescent="0.25">
      <c r="A136" s="100" t="str">
        <f>'Data Vlaue (Cr)'!C131</f>
        <v>MAZDOCK</v>
      </c>
      <c r="B136" s="82">
        <f>VLOOKUP(A136,'Data shares'!$C$2:$CV$216,98,0)</f>
        <v>5761250</v>
      </c>
      <c r="C136" s="82">
        <f>VLOOKUP(A136,'Data shares'!$C$2:$CX$216,100,0)</f>
        <v>-6019200</v>
      </c>
      <c r="D136" s="141">
        <f>VLOOKUP(A136,'Data shares'!$C$2:$CY$539,101,0)</f>
        <v>-0.51090000000000002</v>
      </c>
      <c r="E136" s="86">
        <f>VLOOKUP($A136,'Data shares'!$C:$FA,74)</f>
        <v>4216050</v>
      </c>
      <c r="F136" s="86">
        <f>VLOOKUP($A136,'Data shares'!$C:$FA,76)</f>
        <v>-835800</v>
      </c>
      <c r="G136" s="87">
        <f>VLOOKUP(A136,'Data shares'!$C$2:$CA$216,77,0)</f>
        <v>-0.16539999999999999</v>
      </c>
      <c r="H136" s="86">
        <f>VLOOKUP($A136,'Data shares'!$C:$FA,90)</f>
        <v>877800</v>
      </c>
      <c r="I136" s="86">
        <f>VLOOKUP($A136,'Data shares'!$C:$FA,92)</f>
        <v>-3742800</v>
      </c>
      <c r="J136" s="87">
        <f>VLOOKUP($A136,'Data shares'!$C:$FA,93)</f>
        <v>-0.81</v>
      </c>
      <c r="K136" s="86">
        <f>VLOOKUP($A136,'Data shares'!$C:$FA,94)</f>
        <v>667400</v>
      </c>
      <c r="L136" s="86">
        <f>VLOOKUP($A136,'Data shares'!$C:$FA,96)</f>
        <v>-1440600</v>
      </c>
      <c r="M136" s="87">
        <f>VLOOKUP($A136,'Data shares'!$C:$FA,97)</f>
        <v>-0.68340000000000001</v>
      </c>
      <c r="N136" s="86">
        <f>VLOOKUP($A136,'Data shares'!$C:$FA,78)</f>
        <v>442400</v>
      </c>
      <c r="O136" s="87">
        <f>VLOOKUP($A136,'Data shares'!$C:$FA,81)</f>
        <v>-0.6129</v>
      </c>
    </row>
    <row r="137" spans="1:15" x14ac:dyDescent="0.25">
      <c r="A137" s="100" t="str">
        <f>'Data Vlaue (Cr)'!C132</f>
        <v>MCX</v>
      </c>
      <c r="B137" s="82">
        <f>VLOOKUP(A137,'Data shares'!$C$2:$CV$216,98,0)</f>
        <v>17212100</v>
      </c>
      <c r="C137" s="82">
        <f>VLOOKUP(A137,'Data shares'!$C$2:$CX$216,100,0)</f>
        <v>-7953225</v>
      </c>
      <c r="D137" s="141">
        <f>VLOOKUP(A137,'Data shares'!$C$2:$CY$539,101,0)</f>
        <v>-0.316</v>
      </c>
      <c r="E137" s="86">
        <f>VLOOKUP($A137,'Data shares'!$C:$FA,74)</f>
        <v>10481625</v>
      </c>
      <c r="F137" s="86">
        <f>VLOOKUP($A137,'Data shares'!$C:$FA,76)</f>
        <v>-817600</v>
      </c>
      <c r="G137" s="87">
        <f>VLOOKUP(A137,'Data shares'!$C$2:$CA$216,77,0)</f>
        <v>-7.2400000000000006E-2</v>
      </c>
      <c r="H137" s="86">
        <f>VLOOKUP($A137,'Data shares'!$C:$FA,90)</f>
        <v>4039425</v>
      </c>
      <c r="I137" s="86">
        <f>VLOOKUP($A137,'Data shares'!$C:$FA,92)</f>
        <v>-3945625</v>
      </c>
      <c r="J137" s="87">
        <f>VLOOKUP($A137,'Data shares'!$C:$FA,93)</f>
        <v>-0.49409999999999998</v>
      </c>
      <c r="K137" s="86">
        <f>VLOOKUP($A137,'Data shares'!$C:$FA,94)</f>
        <v>2691050</v>
      </c>
      <c r="L137" s="86">
        <f>VLOOKUP($A137,'Data shares'!$C:$FA,96)</f>
        <v>-3190000</v>
      </c>
      <c r="M137" s="87">
        <f>VLOOKUP($A137,'Data shares'!$C:$FA,97)</f>
        <v>-0.54239999999999999</v>
      </c>
      <c r="N137" s="86">
        <f>VLOOKUP($A137,'Data shares'!$C:$FA,78)</f>
        <v>865000</v>
      </c>
      <c r="O137" s="87">
        <f>VLOOKUP($A137,'Data shares'!$C:$FA,81)</f>
        <v>-0.498</v>
      </c>
    </row>
    <row r="138" spans="1:15" x14ac:dyDescent="0.25">
      <c r="A138" s="100" t="str">
        <f>'Data Vlaue (Cr)'!C133</f>
        <v>MFSL</v>
      </c>
      <c r="B138" s="82">
        <f>VLOOKUP(A138,'Data shares'!$C$2:$CV$216,98,0)</f>
        <v>10447600</v>
      </c>
      <c r="C138" s="82">
        <f>VLOOKUP(A138,'Data shares'!$C$2:$CX$216,100,0)</f>
        <v>-1466000</v>
      </c>
      <c r="D138" s="141">
        <f>VLOOKUP(A138,'Data shares'!$C$2:$CY$539,101,0)</f>
        <v>-0.1231</v>
      </c>
      <c r="E138" s="86">
        <f>VLOOKUP($A138,'Data shares'!$C:$FA,74)</f>
        <v>9713200</v>
      </c>
      <c r="F138" s="86">
        <f>VLOOKUP($A138,'Data shares'!$C:$FA,76)</f>
        <v>12000</v>
      </c>
      <c r="G138" s="87">
        <f>VLOOKUP(A138,'Data shares'!$C$2:$CA$216,77,0)</f>
        <v>1.1999999999999999E-3</v>
      </c>
      <c r="H138" s="86">
        <f>VLOOKUP($A138,'Data shares'!$C:$FA,90)</f>
        <v>421200</v>
      </c>
      <c r="I138" s="86">
        <f>VLOOKUP($A138,'Data shares'!$C:$FA,92)</f>
        <v>-918000</v>
      </c>
      <c r="J138" s="87">
        <f>VLOOKUP($A138,'Data shares'!$C:$FA,93)</f>
        <v>-0.6855</v>
      </c>
      <c r="K138" s="86">
        <f>VLOOKUP($A138,'Data shares'!$C:$FA,94)</f>
        <v>313200</v>
      </c>
      <c r="L138" s="86">
        <f>VLOOKUP($A138,'Data shares'!$C:$FA,96)</f>
        <v>-560000</v>
      </c>
      <c r="M138" s="87">
        <f>VLOOKUP($A138,'Data shares'!$C:$FA,97)</f>
        <v>-0.64129999999999998</v>
      </c>
      <c r="N138" s="86">
        <f>VLOOKUP($A138,'Data shares'!$C:$FA,78)</f>
        <v>369200</v>
      </c>
      <c r="O138" s="87">
        <f>VLOOKUP($A138,'Data shares'!$C:$FA,81)</f>
        <v>-0.69750000000000001</v>
      </c>
    </row>
    <row r="139" spans="1:15" x14ac:dyDescent="0.25">
      <c r="A139" s="100" t="str">
        <f>'Data Vlaue (Cr)'!C134</f>
        <v>MIDCPNIFTY</v>
      </c>
      <c r="B139" s="82">
        <f>VLOOKUP(A139,'Data shares'!$C$2:$CV$216,98,0)</f>
        <v>5443800</v>
      </c>
      <c r="C139" s="82">
        <f>VLOOKUP(A139,'Data shares'!$C$2:$CX$216,100,0)</f>
        <v>-14502000</v>
      </c>
      <c r="D139" s="141">
        <f>VLOOKUP(A139,'Data shares'!$C$2:$CY$539,101,0)</f>
        <v>-0.72709999999999997</v>
      </c>
      <c r="E139" s="86">
        <f>VLOOKUP($A139,'Data shares'!$C:$FA,74)</f>
        <v>2058240</v>
      </c>
      <c r="F139" s="86">
        <f>VLOOKUP($A139,'Data shares'!$C:$FA,76)</f>
        <v>-369960</v>
      </c>
      <c r="G139" s="87">
        <f>VLOOKUP(A139,'Data shares'!$C$2:$CA$216,77,0)</f>
        <v>-0.15240000000000001</v>
      </c>
      <c r="H139" s="86">
        <f>VLOOKUP($A139,'Data shares'!$C:$FA,90)</f>
        <v>1596240</v>
      </c>
      <c r="I139" s="86">
        <f>VLOOKUP($A139,'Data shares'!$C:$FA,92)</f>
        <v>-6229440</v>
      </c>
      <c r="J139" s="87">
        <f>VLOOKUP($A139,'Data shares'!$C:$FA,93)</f>
        <v>-0.79600000000000004</v>
      </c>
      <c r="K139" s="86">
        <f>VLOOKUP($A139,'Data shares'!$C:$FA,94)</f>
        <v>1789320</v>
      </c>
      <c r="L139" s="86">
        <f>VLOOKUP($A139,'Data shares'!$C:$FA,96)</f>
        <v>-7902600</v>
      </c>
      <c r="M139" s="87">
        <f>VLOOKUP($A139,'Data shares'!$C:$FA,97)</f>
        <v>-0.81540000000000001</v>
      </c>
      <c r="N139" s="86">
        <f>VLOOKUP($A139,'Data shares'!$C:$FA,78)</f>
        <v>353040</v>
      </c>
      <c r="O139" s="87">
        <f>VLOOKUP($A139,'Data shares'!$C:$FA,81)</f>
        <v>-0.3659</v>
      </c>
    </row>
    <row r="140" spans="1:15" x14ac:dyDescent="0.25">
      <c r="A140" s="100" t="str">
        <f>'Data Vlaue (Cr)'!C135</f>
        <v>MOTHERSON</v>
      </c>
      <c r="B140" s="82">
        <f>VLOOKUP(A140,'Data shares'!$C$2:$CV$216,98,0)</f>
        <v>192353550</v>
      </c>
      <c r="C140" s="82">
        <f>VLOOKUP(A140,'Data shares'!$C$2:$CX$216,100,0)</f>
        <v>-70368300</v>
      </c>
      <c r="D140" s="141">
        <f>VLOOKUP(A140,'Data shares'!$C$2:$CY$539,101,0)</f>
        <v>-0.26779999999999998</v>
      </c>
      <c r="E140" s="86">
        <f>VLOOKUP($A140,'Data shares'!$C:$FA,74)</f>
        <v>153670050</v>
      </c>
      <c r="F140" s="86">
        <f>VLOOKUP($A140,'Data shares'!$C:$FA,76)</f>
        <v>-14311050</v>
      </c>
      <c r="G140" s="87">
        <f>VLOOKUP(A140,'Data shares'!$C$2:$CA$216,77,0)</f>
        <v>-8.5199999999999998E-2</v>
      </c>
      <c r="H140" s="86">
        <f>VLOOKUP($A140,'Data shares'!$C:$FA,90)</f>
        <v>22964100</v>
      </c>
      <c r="I140" s="86">
        <f>VLOOKUP($A140,'Data shares'!$C:$FA,92)</f>
        <v>-28769700</v>
      </c>
      <c r="J140" s="87">
        <f>VLOOKUP($A140,'Data shares'!$C:$FA,93)</f>
        <v>-0.55610000000000004</v>
      </c>
      <c r="K140" s="86">
        <f>VLOOKUP($A140,'Data shares'!$C:$FA,94)</f>
        <v>15719400</v>
      </c>
      <c r="L140" s="86">
        <f>VLOOKUP($A140,'Data shares'!$C:$FA,96)</f>
        <v>-27287550</v>
      </c>
      <c r="M140" s="87">
        <f>VLOOKUP($A140,'Data shares'!$C:$FA,97)</f>
        <v>-0.63449999999999995</v>
      </c>
      <c r="N140" s="86">
        <f>VLOOKUP($A140,'Data shares'!$C:$FA,78)</f>
        <v>18271650</v>
      </c>
      <c r="O140" s="87">
        <f>VLOOKUP($A140,'Data shares'!$C:$FA,81)</f>
        <v>-0.41570000000000001</v>
      </c>
    </row>
    <row r="141" spans="1:15" x14ac:dyDescent="0.25">
      <c r="A141" s="100" t="str">
        <f>'Data Vlaue (Cr)'!C136</f>
        <v>MOTILALOFS</v>
      </c>
      <c r="B141" s="82">
        <f>VLOOKUP(A141,'Data shares'!$C$2:$CV$216,98,0)</f>
        <v>5308750</v>
      </c>
      <c r="C141" s="82">
        <f>VLOOKUP(A141,'Data shares'!$C$2:$CX$216,100,0)</f>
        <v>-2755125</v>
      </c>
      <c r="D141" s="141">
        <f>VLOOKUP(A141,'Data shares'!$C$2:$CY$539,101,0)</f>
        <v>-0.3417</v>
      </c>
      <c r="E141" s="86">
        <f>VLOOKUP($A141,'Data shares'!$C:$FA,74)</f>
        <v>4036975</v>
      </c>
      <c r="F141" s="86">
        <f>VLOOKUP($A141,'Data shares'!$C:$FA,76)</f>
        <v>-196850</v>
      </c>
      <c r="G141" s="87">
        <f>VLOOKUP(A141,'Data shares'!$C$2:$CA$216,77,0)</f>
        <v>-4.65E-2</v>
      </c>
      <c r="H141" s="86">
        <f>VLOOKUP($A141,'Data shares'!$C:$FA,90)</f>
        <v>852500</v>
      </c>
      <c r="I141" s="86">
        <f>VLOOKUP($A141,'Data shares'!$C:$FA,92)</f>
        <v>-1460875</v>
      </c>
      <c r="J141" s="87">
        <f>VLOOKUP($A141,'Data shares'!$C:$FA,93)</f>
        <v>-0.63149999999999995</v>
      </c>
      <c r="K141" s="86">
        <f>VLOOKUP($A141,'Data shares'!$C:$FA,94)</f>
        <v>419275</v>
      </c>
      <c r="L141" s="86">
        <f>VLOOKUP($A141,'Data shares'!$C:$FA,96)</f>
        <v>-1097400</v>
      </c>
      <c r="M141" s="87">
        <f>VLOOKUP($A141,'Data shares'!$C:$FA,97)</f>
        <v>-0.72360000000000002</v>
      </c>
      <c r="N141" s="86">
        <f>VLOOKUP($A141,'Data shares'!$C:$FA,78)</f>
        <v>229400</v>
      </c>
      <c r="O141" s="87">
        <f>VLOOKUP($A141,'Data shares'!$C:$FA,81)</f>
        <v>-0.60850000000000004</v>
      </c>
    </row>
    <row r="142" spans="1:15" x14ac:dyDescent="0.25">
      <c r="A142" s="100" t="str">
        <f>'Data Vlaue (Cr)'!C137</f>
        <v>MPHASIS</v>
      </c>
      <c r="B142" s="82">
        <f>VLOOKUP(A142,'Data shares'!$C$2:$CV$216,98,0)</f>
        <v>5085850</v>
      </c>
      <c r="C142" s="82">
        <f>VLOOKUP(A142,'Data shares'!$C$2:$CX$216,100,0)</f>
        <v>-2825350</v>
      </c>
      <c r="D142" s="141">
        <f>VLOOKUP(A142,'Data shares'!$C$2:$CY$539,101,0)</f>
        <v>-0.35709999999999997</v>
      </c>
      <c r="E142" s="86">
        <f>VLOOKUP($A142,'Data shares'!$C:$FA,74)</f>
        <v>4254250</v>
      </c>
      <c r="F142" s="86">
        <f>VLOOKUP($A142,'Data shares'!$C:$FA,76)</f>
        <v>-671275</v>
      </c>
      <c r="G142" s="87">
        <f>VLOOKUP(A142,'Data shares'!$C$2:$CA$216,77,0)</f>
        <v>-0.1363</v>
      </c>
      <c r="H142" s="86">
        <f>VLOOKUP($A142,'Data shares'!$C:$FA,90)</f>
        <v>450725</v>
      </c>
      <c r="I142" s="86">
        <f>VLOOKUP($A142,'Data shares'!$C:$FA,92)</f>
        <v>-1176175</v>
      </c>
      <c r="J142" s="87">
        <f>VLOOKUP($A142,'Data shares'!$C:$FA,93)</f>
        <v>-0.72299999999999998</v>
      </c>
      <c r="K142" s="86">
        <f>VLOOKUP($A142,'Data shares'!$C:$FA,94)</f>
        <v>380875</v>
      </c>
      <c r="L142" s="86">
        <f>VLOOKUP($A142,'Data shares'!$C:$FA,96)</f>
        <v>-977900</v>
      </c>
      <c r="M142" s="87">
        <f>VLOOKUP($A142,'Data shares'!$C:$FA,97)</f>
        <v>-0.71970000000000001</v>
      </c>
      <c r="N142" s="86">
        <f>VLOOKUP($A142,'Data shares'!$C:$FA,78)</f>
        <v>712525</v>
      </c>
      <c r="O142" s="87">
        <f>VLOOKUP($A142,'Data shares'!$C:$FA,81)</f>
        <v>-0.39460000000000001</v>
      </c>
    </row>
    <row r="143" spans="1:15" x14ac:dyDescent="0.25">
      <c r="A143" s="100" t="str">
        <f>'Data Vlaue (Cr)'!C138</f>
        <v>MUTHOOTFIN</v>
      </c>
      <c r="B143" s="82">
        <f>VLOOKUP(A143,'Data shares'!$C$2:$CV$216,98,0)</f>
        <v>5361675</v>
      </c>
      <c r="C143" s="82">
        <f>VLOOKUP(A143,'Data shares'!$C$2:$CX$216,100,0)</f>
        <v>-4009225</v>
      </c>
      <c r="D143" s="141">
        <f>VLOOKUP(A143,'Data shares'!$C$2:$CY$539,101,0)</f>
        <v>-0.42780000000000001</v>
      </c>
      <c r="E143" s="86">
        <f>VLOOKUP($A143,'Data shares'!$C:$FA,74)</f>
        <v>3712500</v>
      </c>
      <c r="F143" s="86">
        <f>VLOOKUP($A143,'Data shares'!$C:$FA,76)</f>
        <v>-843975</v>
      </c>
      <c r="G143" s="87">
        <f>VLOOKUP(A143,'Data shares'!$C$2:$CA$216,77,0)</f>
        <v>-0.1852</v>
      </c>
      <c r="H143" s="86">
        <f>VLOOKUP($A143,'Data shares'!$C:$FA,90)</f>
        <v>996875</v>
      </c>
      <c r="I143" s="86">
        <f>VLOOKUP($A143,'Data shares'!$C:$FA,92)</f>
        <v>-1899425</v>
      </c>
      <c r="J143" s="87">
        <f>VLOOKUP($A143,'Data shares'!$C:$FA,93)</f>
        <v>-0.65580000000000005</v>
      </c>
      <c r="K143" s="86">
        <f>VLOOKUP($A143,'Data shares'!$C:$FA,94)</f>
        <v>652300</v>
      </c>
      <c r="L143" s="86">
        <f>VLOOKUP($A143,'Data shares'!$C:$FA,96)</f>
        <v>-1265825</v>
      </c>
      <c r="M143" s="87">
        <f>VLOOKUP($A143,'Data shares'!$C:$FA,97)</f>
        <v>-0.65990000000000004</v>
      </c>
      <c r="N143" s="86">
        <f>VLOOKUP($A143,'Data shares'!$C:$FA,78)</f>
        <v>759275</v>
      </c>
      <c r="O143" s="87">
        <f>VLOOKUP($A143,'Data shares'!$C:$FA,81)</f>
        <v>-0.17749999999999999</v>
      </c>
    </row>
    <row r="144" spans="1:15" x14ac:dyDescent="0.25">
      <c r="A144" s="100" t="str">
        <f>'Data Vlaue (Cr)'!C139</f>
        <v>NAM-INDIA</v>
      </c>
      <c r="B144" s="82">
        <f>VLOOKUP(A144,'Data shares'!$C$2:$CV$216,98,0)</f>
        <v>3725625</v>
      </c>
      <c r="C144" s="82">
        <f>VLOOKUP(A144,'Data shares'!$C$2:$CX$216,100,0)</f>
        <v>-2803125</v>
      </c>
      <c r="D144" s="141">
        <f>VLOOKUP(A144,'Data shares'!$C$2:$CY$539,101,0)</f>
        <v>-0.4294</v>
      </c>
      <c r="E144" s="86">
        <f>VLOOKUP($A144,'Data shares'!$C:$FA,74)</f>
        <v>3343750</v>
      </c>
      <c r="F144" s="86">
        <f>VLOOKUP($A144,'Data shares'!$C:$FA,76)</f>
        <v>-495000</v>
      </c>
      <c r="G144" s="87">
        <f>VLOOKUP(A144,'Data shares'!$C$2:$CA$216,77,0)</f>
        <v>-0.12889999999999999</v>
      </c>
      <c r="H144" s="86">
        <f>VLOOKUP($A144,'Data shares'!$C:$FA,90)</f>
        <v>210625</v>
      </c>
      <c r="I144" s="86">
        <f>VLOOKUP($A144,'Data shares'!$C:$FA,92)</f>
        <v>-1312500</v>
      </c>
      <c r="J144" s="87">
        <f>VLOOKUP($A144,'Data shares'!$C:$FA,93)</f>
        <v>-0.86170000000000002</v>
      </c>
      <c r="K144" s="86">
        <f>VLOOKUP($A144,'Data shares'!$C:$FA,94)</f>
        <v>171250</v>
      </c>
      <c r="L144" s="86">
        <f>VLOOKUP($A144,'Data shares'!$C:$FA,96)</f>
        <v>-995625</v>
      </c>
      <c r="M144" s="87">
        <f>VLOOKUP($A144,'Data shares'!$C:$FA,97)</f>
        <v>-0.85319999999999996</v>
      </c>
      <c r="N144" s="86">
        <f>VLOOKUP($A144,'Data shares'!$C:$FA,78)</f>
        <v>256875</v>
      </c>
      <c r="O144" s="87">
        <f>VLOOKUP($A144,'Data shares'!$C:$FA,81)</f>
        <v>-0.59099999999999997</v>
      </c>
    </row>
    <row r="145" spans="1:15" x14ac:dyDescent="0.25">
      <c r="A145" s="100" t="str">
        <f>'Data Vlaue (Cr)'!C140</f>
        <v>NATIONALUM</v>
      </c>
      <c r="B145" s="82">
        <f>VLOOKUP(A145,'Data shares'!$C$2:$CV$216,98,0)</f>
        <v>58865625</v>
      </c>
      <c r="C145" s="82">
        <f>VLOOKUP(A145,'Data shares'!$C$2:$CX$216,100,0)</f>
        <v>-29670000</v>
      </c>
      <c r="D145" s="141">
        <f>VLOOKUP(A145,'Data shares'!$C$2:$CY$539,101,0)</f>
        <v>-0.33510000000000001</v>
      </c>
      <c r="E145" s="86">
        <f>VLOOKUP($A145,'Data shares'!$C:$FA,74)</f>
        <v>41538750</v>
      </c>
      <c r="F145" s="86">
        <f>VLOOKUP($A145,'Data shares'!$C:$FA,76)</f>
        <v>-3405000</v>
      </c>
      <c r="G145" s="87">
        <f>VLOOKUP(A145,'Data shares'!$C$2:$CA$216,77,0)</f>
        <v>-7.5800000000000006E-2</v>
      </c>
      <c r="H145" s="86">
        <f>VLOOKUP($A145,'Data shares'!$C:$FA,90)</f>
        <v>10190625</v>
      </c>
      <c r="I145" s="86">
        <f>VLOOKUP($A145,'Data shares'!$C:$FA,92)</f>
        <v>-17548125</v>
      </c>
      <c r="J145" s="87">
        <f>VLOOKUP($A145,'Data shares'!$C:$FA,93)</f>
        <v>-0.63260000000000005</v>
      </c>
      <c r="K145" s="86">
        <f>VLOOKUP($A145,'Data shares'!$C:$FA,94)</f>
        <v>7136250</v>
      </c>
      <c r="L145" s="86">
        <f>VLOOKUP($A145,'Data shares'!$C:$FA,96)</f>
        <v>-8716875</v>
      </c>
      <c r="M145" s="87">
        <f>VLOOKUP($A145,'Data shares'!$C:$FA,97)</f>
        <v>-0.54990000000000006</v>
      </c>
      <c r="N145" s="86">
        <f>VLOOKUP($A145,'Data shares'!$C:$FA,78)</f>
        <v>3073125</v>
      </c>
      <c r="O145" s="87">
        <f>VLOOKUP($A145,'Data shares'!$C:$FA,81)</f>
        <v>-0.77810000000000001</v>
      </c>
    </row>
    <row r="146" spans="1:15" x14ac:dyDescent="0.25">
      <c r="A146" s="100" t="str">
        <f>'Data Vlaue (Cr)'!C141</f>
        <v>NAUKRI</v>
      </c>
      <c r="B146" s="82">
        <f>VLOOKUP(A146,'Data shares'!$C$2:$CV$216,98,0)</f>
        <v>19828575</v>
      </c>
      <c r="C146" s="82">
        <f>VLOOKUP(A146,'Data shares'!$C$2:$CX$216,100,0)</f>
        <v>-4871075</v>
      </c>
      <c r="D146" s="141">
        <f>VLOOKUP(A146,'Data shares'!$C$2:$CY$539,101,0)</f>
        <v>-0.19719999999999999</v>
      </c>
      <c r="E146" s="86">
        <f>VLOOKUP($A146,'Data shares'!$C:$FA,74)</f>
        <v>15321150</v>
      </c>
      <c r="F146" s="86">
        <f>VLOOKUP($A146,'Data shares'!$C:$FA,76)</f>
        <v>-173450</v>
      </c>
      <c r="G146" s="87">
        <f>VLOOKUP(A146,'Data shares'!$C$2:$CA$216,77,0)</f>
        <v>-1.12E-2</v>
      </c>
      <c r="H146" s="86">
        <f>VLOOKUP($A146,'Data shares'!$C:$FA,90)</f>
        <v>2557100</v>
      </c>
      <c r="I146" s="86">
        <f>VLOOKUP($A146,'Data shares'!$C:$FA,92)</f>
        <v>-3153375</v>
      </c>
      <c r="J146" s="87">
        <f>VLOOKUP($A146,'Data shares'!$C:$FA,93)</f>
        <v>-0.55220000000000002</v>
      </c>
      <c r="K146" s="86">
        <f>VLOOKUP($A146,'Data shares'!$C:$FA,94)</f>
        <v>1950325</v>
      </c>
      <c r="L146" s="86">
        <f>VLOOKUP($A146,'Data shares'!$C:$FA,96)</f>
        <v>-1544250</v>
      </c>
      <c r="M146" s="87">
        <f>VLOOKUP($A146,'Data shares'!$C:$FA,97)</f>
        <v>-0.44190000000000002</v>
      </c>
      <c r="N146" s="86">
        <f>VLOOKUP($A146,'Data shares'!$C:$FA,78)</f>
        <v>228000</v>
      </c>
      <c r="O146" s="87">
        <f>VLOOKUP($A146,'Data shares'!$C:$FA,81)</f>
        <v>-0.82520000000000004</v>
      </c>
    </row>
    <row r="147" spans="1:15" x14ac:dyDescent="0.25">
      <c r="A147" s="100" t="str">
        <f>'Data Vlaue (Cr)'!C142</f>
        <v>NBCC</v>
      </c>
      <c r="B147" s="82">
        <f>VLOOKUP(A147,'Data shares'!$C$2:$CV$216,98,0)</f>
        <v>124891000</v>
      </c>
      <c r="C147" s="82">
        <f>VLOOKUP(A147,'Data shares'!$C$2:$CX$216,100,0)</f>
        <v>-14274000</v>
      </c>
      <c r="D147" s="141">
        <f>VLOOKUP(A147,'Data shares'!$C$2:$CY$539,101,0)</f>
        <v>-0.1026</v>
      </c>
      <c r="E147" s="86">
        <f>VLOOKUP($A147,'Data shares'!$C:$FA,74)</f>
        <v>95966000</v>
      </c>
      <c r="F147" s="86">
        <f>VLOOKUP($A147,'Data shares'!$C:$FA,76)</f>
        <v>-1495000</v>
      </c>
      <c r="G147" s="87">
        <f>VLOOKUP(A147,'Data shares'!$C$2:$CA$216,77,0)</f>
        <v>-1.5299999999999999E-2</v>
      </c>
      <c r="H147" s="86">
        <f>VLOOKUP($A147,'Data shares'!$C:$FA,90)</f>
        <v>17920500</v>
      </c>
      <c r="I147" s="86">
        <f>VLOOKUP($A147,'Data shares'!$C:$FA,92)</f>
        <v>-6727500</v>
      </c>
      <c r="J147" s="87">
        <f>VLOOKUP($A147,'Data shares'!$C:$FA,93)</f>
        <v>-0.27289999999999998</v>
      </c>
      <c r="K147" s="86">
        <f>VLOOKUP($A147,'Data shares'!$C:$FA,94)</f>
        <v>11004500</v>
      </c>
      <c r="L147" s="86">
        <f>VLOOKUP($A147,'Data shares'!$C:$FA,96)</f>
        <v>-6051500</v>
      </c>
      <c r="M147" s="87">
        <f>VLOOKUP($A147,'Data shares'!$C:$FA,97)</f>
        <v>-0.3548</v>
      </c>
      <c r="N147" s="86">
        <f>VLOOKUP($A147,'Data shares'!$C:$FA,78)</f>
        <v>1917500</v>
      </c>
      <c r="O147" s="87">
        <f>VLOOKUP($A147,'Data shares'!$C:$FA,81)</f>
        <v>-0.87580000000000002</v>
      </c>
    </row>
    <row r="148" spans="1:15" x14ac:dyDescent="0.25">
      <c r="A148" s="100" t="str">
        <f>'Data Vlaue (Cr)'!C143</f>
        <v>NESTLEIND</v>
      </c>
      <c r="B148" s="82">
        <f>VLOOKUP(A148,'Data shares'!$C$2:$CV$216,98,0)</f>
        <v>15041500</v>
      </c>
      <c r="C148" s="82">
        <f>VLOOKUP(A148,'Data shares'!$C$2:$CX$216,100,0)</f>
        <v>-7257500</v>
      </c>
      <c r="D148" s="141">
        <f>VLOOKUP(A148,'Data shares'!$C$2:$CY$539,101,0)</f>
        <v>-0.32550000000000001</v>
      </c>
      <c r="E148" s="86">
        <f>VLOOKUP($A148,'Data shares'!$C:$FA,74)</f>
        <v>13448000</v>
      </c>
      <c r="F148" s="86">
        <f>VLOOKUP($A148,'Data shares'!$C:$FA,76)</f>
        <v>-919500</v>
      </c>
      <c r="G148" s="87">
        <f>VLOOKUP(A148,'Data shares'!$C$2:$CA$216,77,0)</f>
        <v>-6.4000000000000001E-2</v>
      </c>
      <c r="H148" s="86">
        <f>VLOOKUP($A148,'Data shares'!$C:$FA,90)</f>
        <v>839500</v>
      </c>
      <c r="I148" s="86">
        <f>VLOOKUP($A148,'Data shares'!$C:$FA,92)</f>
        <v>-3760000</v>
      </c>
      <c r="J148" s="87">
        <f>VLOOKUP($A148,'Data shares'!$C:$FA,93)</f>
        <v>-0.8175</v>
      </c>
      <c r="K148" s="86">
        <f>VLOOKUP($A148,'Data shares'!$C:$FA,94)</f>
        <v>754000</v>
      </c>
      <c r="L148" s="86">
        <f>VLOOKUP($A148,'Data shares'!$C:$FA,96)</f>
        <v>-2578000</v>
      </c>
      <c r="M148" s="87">
        <f>VLOOKUP($A148,'Data shares'!$C:$FA,97)</f>
        <v>-0.77370000000000005</v>
      </c>
      <c r="N148" s="86">
        <f>VLOOKUP($A148,'Data shares'!$C:$FA,78)</f>
        <v>863000</v>
      </c>
      <c r="O148" s="87">
        <f>VLOOKUP($A148,'Data shares'!$C:$FA,81)</f>
        <v>-0.36890000000000001</v>
      </c>
    </row>
    <row r="149" spans="1:15" x14ac:dyDescent="0.25">
      <c r="A149" s="100" t="str">
        <f>'Data Vlaue (Cr)'!C144</f>
        <v>NHPC</v>
      </c>
      <c r="B149" s="82">
        <f>VLOOKUP(A149,'Data shares'!$C$2:$CV$216,98,0)</f>
        <v>153076250</v>
      </c>
      <c r="C149" s="82">
        <f>VLOOKUP(A149,'Data shares'!$C$2:$CX$216,100,0)</f>
        <v>-62331700</v>
      </c>
      <c r="D149" s="141">
        <f>VLOOKUP(A149,'Data shares'!$C$2:$CY$539,101,0)</f>
        <v>-0.28939999999999999</v>
      </c>
      <c r="E149" s="86">
        <f>VLOOKUP($A149,'Data shares'!$C:$FA,74)</f>
        <v>120831950</v>
      </c>
      <c r="F149" s="86">
        <f>VLOOKUP($A149,'Data shares'!$C:$FA,76)</f>
        <v>-8315700</v>
      </c>
      <c r="G149" s="87">
        <f>VLOOKUP(A149,'Data shares'!$C$2:$CA$216,77,0)</f>
        <v>-6.4399999999999999E-2</v>
      </c>
      <c r="H149" s="86">
        <f>VLOOKUP($A149,'Data shares'!$C:$FA,90)</f>
        <v>19155750</v>
      </c>
      <c r="I149" s="86">
        <f>VLOOKUP($A149,'Data shares'!$C:$FA,92)</f>
        <v>-38028800</v>
      </c>
      <c r="J149" s="87">
        <f>VLOOKUP($A149,'Data shares'!$C:$FA,93)</f>
        <v>-0.66500000000000004</v>
      </c>
      <c r="K149" s="86">
        <f>VLOOKUP($A149,'Data shares'!$C:$FA,94)</f>
        <v>13088550</v>
      </c>
      <c r="L149" s="86">
        <f>VLOOKUP($A149,'Data shares'!$C:$FA,96)</f>
        <v>-15987200</v>
      </c>
      <c r="M149" s="87">
        <f>VLOOKUP($A149,'Data shares'!$C:$FA,97)</f>
        <v>-0.54979999999999996</v>
      </c>
      <c r="N149" s="86">
        <f>VLOOKUP($A149,'Data shares'!$C:$FA,78)</f>
        <v>4979200</v>
      </c>
      <c r="O149" s="87">
        <f>VLOOKUP($A149,'Data shares'!$C:$FA,81)</f>
        <v>-0.60489999999999999</v>
      </c>
    </row>
    <row r="150" spans="1:15" x14ac:dyDescent="0.25">
      <c r="A150" s="100" t="str">
        <f>'Data Vlaue (Cr)'!C145</f>
        <v>NIFTY</v>
      </c>
      <c r="B150" s="82">
        <f>VLOOKUP(A150,'Data shares'!$C$2:$CV$216,98,0)</f>
        <v>309290255</v>
      </c>
      <c r="C150" s="82">
        <f>VLOOKUP(A150,'Data shares'!$C$2:$CX$216,100,0)</f>
        <v>-265185855</v>
      </c>
      <c r="D150" s="141">
        <f>VLOOKUP(A150,'Data shares'!$C$2:$CY$539,101,0)</f>
        <v>-0.46160000000000001</v>
      </c>
      <c r="E150" s="86">
        <f>VLOOKUP($A150,'Data shares'!$C:$FA,74)</f>
        <v>15445170</v>
      </c>
      <c r="F150" s="86">
        <f>VLOOKUP($A150,'Data shares'!$C:$FA,76)</f>
        <v>-5390320</v>
      </c>
      <c r="G150" s="87">
        <f>VLOOKUP(A150,'Data shares'!$C$2:$CA$216,77,0)</f>
        <v>-0.25869999999999999</v>
      </c>
      <c r="H150" s="86">
        <f>VLOOKUP($A150,'Data shares'!$C:$FA,90)</f>
        <v>141896320</v>
      </c>
      <c r="I150" s="86">
        <f>VLOOKUP($A150,'Data shares'!$C:$FA,92)</f>
        <v>-103226945</v>
      </c>
      <c r="J150" s="87">
        <f>VLOOKUP($A150,'Data shares'!$C:$FA,93)</f>
        <v>-0.42109999999999997</v>
      </c>
      <c r="K150" s="86">
        <f>VLOOKUP($A150,'Data shares'!$C:$FA,94)</f>
        <v>151948765</v>
      </c>
      <c r="L150" s="86">
        <f>VLOOKUP($A150,'Data shares'!$C:$FA,96)</f>
        <v>-156568590</v>
      </c>
      <c r="M150" s="87">
        <f>VLOOKUP($A150,'Data shares'!$C:$FA,97)</f>
        <v>-0.50749999999999995</v>
      </c>
      <c r="N150" s="86">
        <f>VLOOKUP($A150,'Data shares'!$C:$FA,78)</f>
        <v>6626815</v>
      </c>
      <c r="O150" s="87">
        <f>VLOOKUP($A150,'Data shares'!$C:$FA,81)</f>
        <v>-0.20810000000000001</v>
      </c>
    </row>
    <row r="151" spans="1:15" x14ac:dyDescent="0.25">
      <c r="A151" s="100" t="str">
        <f>'Data Vlaue (Cr)'!C146</f>
        <v>NIFTYNXT50</v>
      </c>
      <c r="B151" s="82">
        <f>VLOOKUP(A151,'Data shares'!$C$2:$CV$216,98,0)</f>
        <v>16350</v>
      </c>
      <c r="C151" s="82">
        <f>VLOOKUP(A151,'Data shares'!$C$2:$CX$216,100,0)</f>
        <v>-39350</v>
      </c>
      <c r="D151" s="141">
        <f>VLOOKUP(A151,'Data shares'!$C$2:$CY$539,101,0)</f>
        <v>-0.70650000000000002</v>
      </c>
      <c r="E151" s="86">
        <f>VLOOKUP($A151,'Data shares'!$C:$FA,74)</f>
        <v>16300</v>
      </c>
      <c r="F151" s="86">
        <f>VLOOKUP($A151,'Data shares'!$C:$FA,76)</f>
        <v>-3475</v>
      </c>
      <c r="G151" s="87">
        <f>VLOOKUP(A151,'Data shares'!$C$2:$CA$216,77,0)</f>
        <v>-0.1757</v>
      </c>
      <c r="H151" s="86">
        <f>VLOOKUP($A151,'Data shares'!$C:$FA,90)</f>
        <v>25</v>
      </c>
      <c r="I151" s="86">
        <f>VLOOKUP($A151,'Data shares'!$C:$FA,92)</f>
        <v>-19225</v>
      </c>
      <c r="J151" s="87">
        <f>VLOOKUP($A151,'Data shares'!$C:$FA,93)</f>
        <v>-0.99870000000000003</v>
      </c>
      <c r="K151" s="86">
        <f>VLOOKUP($A151,'Data shares'!$C:$FA,94)</f>
        <v>25</v>
      </c>
      <c r="L151" s="86">
        <f>VLOOKUP($A151,'Data shares'!$C:$FA,96)</f>
        <v>-16650</v>
      </c>
      <c r="M151" s="87">
        <f>VLOOKUP($A151,'Data shares'!$C:$FA,97)</f>
        <v>-0.99850000000000005</v>
      </c>
      <c r="N151" s="86">
        <f>VLOOKUP($A151,'Data shares'!$C:$FA,78)</f>
        <v>2050</v>
      </c>
      <c r="O151" s="87">
        <f>VLOOKUP($A151,'Data shares'!$C:$FA,81)</f>
        <v>-0.64039999999999997</v>
      </c>
    </row>
    <row r="152" spans="1:15" x14ac:dyDescent="0.25">
      <c r="A152" s="100" t="str">
        <f>'Data Vlaue (Cr)'!C147</f>
        <v>NMDC</v>
      </c>
      <c r="B152" s="82">
        <f>VLOOKUP(A152,'Data shares'!$C$2:$CV$216,98,0)</f>
        <v>433086750</v>
      </c>
      <c r="C152" s="82">
        <f>VLOOKUP(A152,'Data shares'!$C$2:$CX$216,100,0)</f>
        <v>-47776500</v>
      </c>
      <c r="D152" s="141">
        <f>VLOOKUP(A152,'Data shares'!$C$2:$CY$539,101,0)</f>
        <v>-9.9400000000000002E-2</v>
      </c>
      <c r="E152" s="86">
        <f>VLOOKUP($A152,'Data shares'!$C:$FA,74)</f>
        <v>352255500</v>
      </c>
      <c r="F152" s="86">
        <f>VLOOKUP($A152,'Data shares'!$C:$FA,76)</f>
        <v>-1768500</v>
      </c>
      <c r="G152" s="87">
        <f>VLOOKUP(A152,'Data shares'!$C$2:$CA$216,77,0)</f>
        <v>-5.0000000000000001E-3</v>
      </c>
      <c r="H152" s="86">
        <f>VLOOKUP($A152,'Data shares'!$C:$FA,90)</f>
        <v>53102250</v>
      </c>
      <c r="I152" s="86">
        <f>VLOOKUP($A152,'Data shares'!$C:$FA,92)</f>
        <v>-30044250</v>
      </c>
      <c r="J152" s="87">
        <f>VLOOKUP($A152,'Data shares'!$C:$FA,93)</f>
        <v>-0.36130000000000001</v>
      </c>
      <c r="K152" s="86">
        <f>VLOOKUP($A152,'Data shares'!$C:$FA,94)</f>
        <v>27729000</v>
      </c>
      <c r="L152" s="86">
        <f>VLOOKUP($A152,'Data shares'!$C:$FA,96)</f>
        <v>-15963750</v>
      </c>
      <c r="M152" s="87">
        <f>VLOOKUP($A152,'Data shares'!$C:$FA,97)</f>
        <v>-0.3654</v>
      </c>
      <c r="N152" s="86">
        <f>VLOOKUP($A152,'Data shares'!$C:$FA,78)</f>
        <v>8862750</v>
      </c>
      <c r="O152" s="87">
        <f>VLOOKUP($A152,'Data shares'!$C:$FA,81)</f>
        <v>-0.81859999999999999</v>
      </c>
    </row>
    <row r="153" spans="1:15" x14ac:dyDescent="0.25">
      <c r="A153" s="100" t="str">
        <f>'Data Vlaue (Cr)'!C148</f>
        <v>NTPC</v>
      </c>
      <c r="B153" s="82">
        <f>VLOOKUP(A153,'Data shares'!$C$2:$CV$216,98,0)</f>
        <v>147705000</v>
      </c>
      <c r="C153" s="82">
        <f>VLOOKUP(A153,'Data shares'!$C$2:$CX$216,100,0)</f>
        <v>-94596000</v>
      </c>
      <c r="D153" s="141">
        <f>VLOOKUP(A153,'Data shares'!$C$2:$CY$539,101,0)</f>
        <v>-0.39040000000000002</v>
      </c>
      <c r="E153" s="86">
        <f>VLOOKUP($A153,'Data shares'!$C:$FA,74)</f>
        <v>129490500</v>
      </c>
      <c r="F153" s="86">
        <f>VLOOKUP($A153,'Data shares'!$C:$FA,76)</f>
        <v>-4131000</v>
      </c>
      <c r="G153" s="87">
        <f>VLOOKUP(A153,'Data shares'!$C$2:$CA$216,77,0)</f>
        <v>-3.09E-2</v>
      </c>
      <c r="H153" s="86">
        <f>VLOOKUP($A153,'Data shares'!$C:$FA,90)</f>
        <v>10423500</v>
      </c>
      <c r="I153" s="86">
        <f>VLOOKUP($A153,'Data shares'!$C:$FA,92)</f>
        <v>-75244500</v>
      </c>
      <c r="J153" s="87">
        <f>VLOOKUP($A153,'Data shares'!$C:$FA,93)</f>
        <v>-0.87829999999999997</v>
      </c>
      <c r="K153" s="86">
        <f>VLOOKUP($A153,'Data shares'!$C:$FA,94)</f>
        <v>7791000</v>
      </c>
      <c r="L153" s="86">
        <f>VLOOKUP($A153,'Data shares'!$C:$FA,96)</f>
        <v>-15220500</v>
      </c>
      <c r="M153" s="87">
        <f>VLOOKUP($A153,'Data shares'!$C:$FA,97)</f>
        <v>-0.66139999999999999</v>
      </c>
      <c r="N153" s="86">
        <f>VLOOKUP($A153,'Data shares'!$C:$FA,78)</f>
        <v>13204500</v>
      </c>
      <c r="O153" s="87">
        <f>VLOOKUP($A153,'Data shares'!$C:$FA,81)</f>
        <v>-0.15620000000000001</v>
      </c>
    </row>
    <row r="154" spans="1:15" x14ac:dyDescent="0.25">
      <c r="A154" s="100" t="str">
        <f>'Data Vlaue (Cr)'!C149</f>
        <v>NUVAMA</v>
      </c>
      <c r="B154" s="82">
        <f>VLOOKUP(A154,'Data shares'!$C$2:$CV$216,98,0)</f>
        <v>2012000</v>
      </c>
      <c r="C154" s="82">
        <f>VLOOKUP(A154,'Data shares'!$C$2:$CX$216,100,0)</f>
        <v>-2516500</v>
      </c>
      <c r="D154" s="141">
        <f>VLOOKUP(A154,'Data shares'!$C$2:$CY$539,101,0)</f>
        <v>-0.55569999999999997</v>
      </c>
      <c r="E154" s="86">
        <f>VLOOKUP($A154,'Data shares'!$C:$FA,74)</f>
        <v>1574000</v>
      </c>
      <c r="F154" s="86">
        <f>VLOOKUP($A154,'Data shares'!$C:$FA,76)</f>
        <v>-101500</v>
      </c>
      <c r="G154" s="87">
        <f>VLOOKUP(A154,'Data shares'!$C$2:$CA$216,77,0)</f>
        <v>-6.0600000000000001E-2</v>
      </c>
      <c r="H154" s="86">
        <f>VLOOKUP($A154,'Data shares'!$C:$FA,90)</f>
        <v>282000</v>
      </c>
      <c r="I154" s="86">
        <f>VLOOKUP($A154,'Data shares'!$C:$FA,92)</f>
        <v>-1483000</v>
      </c>
      <c r="J154" s="87">
        <f>VLOOKUP($A154,'Data shares'!$C:$FA,93)</f>
        <v>-0.84019999999999995</v>
      </c>
      <c r="K154" s="86">
        <f>VLOOKUP($A154,'Data shares'!$C:$FA,94)</f>
        <v>156000</v>
      </c>
      <c r="L154" s="86">
        <f>VLOOKUP($A154,'Data shares'!$C:$FA,96)</f>
        <v>-932000</v>
      </c>
      <c r="M154" s="87">
        <f>VLOOKUP($A154,'Data shares'!$C:$FA,97)</f>
        <v>-0.85660000000000003</v>
      </c>
      <c r="N154" s="86">
        <f>VLOOKUP($A154,'Data shares'!$C:$FA,78)</f>
        <v>431000</v>
      </c>
      <c r="O154" s="87">
        <f>VLOOKUP($A154,'Data shares'!$C:$FA,81)</f>
        <v>0.1268</v>
      </c>
    </row>
    <row r="155" spans="1:15" x14ac:dyDescent="0.25">
      <c r="A155" s="100" t="str">
        <f>'Data Vlaue (Cr)'!C150</f>
        <v>NYKAA</v>
      </c>
      <c r="B155" s="82">
        <f>VLOOKUP(A155,'Data shares'!$C$2:$CV$216,98,0)</f>
        <v>80431250</v>
      </c>
      <c r="C155" s="82">
        <f>VLOOKUP(A155,'Data shares'!$C$2:$CX$216,100,0)</f>
        <v>-18259375</v>
      </c>
      <c r="D155" s="141">
        <f>VLOOKUP(A155,'Data shares'!$C$2:$CY$539,101,0)</f>
        <v>-0.185</v>
      </c>
      <c r="E155" s="86">
        <f>VLOOKUP($A155,'Data shares'!$C:$FA,74)</f>
        <v>51034375</v>
      </c>
      <c r="F155" s="86">
        <f>VLOOKUP($A155,'Data shares'!$C:$FA,76)</f>
        <v>-1278125</v>
      </c>
      <c r="G155" s="87">
        <f>VLOOKUP(A155,'Data shares'!$C$2:$CA$216,77,0)</f>
        <v>-2.4400000000000002E-2</v>
      </c>
      <c r="H155" s="86">
        <f>VLOOKUP($A155,'Data shares'!$C:$FA,90)</f>
        <v>22037500</v>
      </c>
      <c r="I155" s="86">
        <f>VLOOKUP($A155,'Data shares'!$C:$FA,92)</f>
        <v>-12687500</v>
      </c>
      <c r="J155" s="87">
        <f>VLOOKUP($A155,'Data shares'!$C:$FA,93)</f>
        <v>-0.3654</v>
      </c>
      <c r="K155" s="86">
        <f>VLOOKUP($A155,'Data shares'!$C:$FA,94)</f>
        <v>7359375</v>
      </c>
      <c r="L155" s="86">
        <f>VLOOKUP($A155,'Data shares'!$C:$FA,96)</f>
        <v>-4293750</v>
      </c>
      <c r="M155" s="87">
        <f>VLOOKUP($A155,'Data shares'!$C:$FA,97)</f>
        <v>-0.36849999999999999</v>
      </c>
      <c r="N155" s="86">
        <f>VLOOKUP($A155,'Data shares'!$C:$FA,78)</f>
        <v>1553125</v>
      </c>
      <c r="O155" s="87">
        <f>VLOOKUP($A155,'Data shares'!$C:$FA,81)</f>
        <v>-0.81759999999999999</v>
      </c>
    </row>
    <row r="156" spans="1:15" x14ac:dyDescent="0.25">
      <c r="A156" s="100" t="str">
        <f>'Data Vlaue (Cr)'!C151</f>
        <v>OBEROIRLTY</v>
      </c>
      <c r="B156" s="82">
        <f>VLOOKUP(A156,'Data shares'!$C$2:$CV$216,98,0)</f>
        <v>6775650</v>
      </c>
      <c r="C156" s="82">
        <f>VLOOKUP(A156,'Data shares'!$C$2:$CX$216,100,0)</f>
        <v>-3172400</v>
      </c>
      <c r="D156" s="141">
        <f>VLOOKUP(A156,'Data shares'!$C$2:$CY$539,101,0)</f>
        <v>-0.31890000000000002</v>
      </c>
      <c r="E156" s="86">
        <f>VLOOKUP($A156,'Data shares'!$C:$FA,74)</f>
        <v>6223700</v>
      </c>
      <c r="F156" s="86">
        <f>VLOOKUP($A156,'Data shares'!$C:$FA,76)</f>
        <v>-1654100</v>
      </c>
      <c r="G156" s="87">
        <f>VLOOKUP(A156,'Data shares'!$C$2:$CA$216,77,0)</f>
        <v>-0.21</v>
      </c>
      <c r="H156" s="86">
        <f>VLOOKUP($A156,'Data shares'!$C:$FA,90)</f>
        <v>310800</v>
      </c>
      <c r="I156" s="86">
        <f>VLOOKUP($A156,'Data shares'!$C:$FA,92)</f>
        <v>-965650</v>
      </c>
      <c r="J156" s="87">
        <f>VLOOKUP($A156,'Data shares'!$C:$FA,93)</f>
        <v>-0.75649999999999995</v>
      </c>
      <c r="K156" s="86">
        <f>VLOOKUP($A156,'Data shares'!$C:$FA,94)</f>
        <v>241150</v>
      </c>
      <c r="L156" s="86">
        <f>VLOOKUP($A156,'Data shares'!$C:$FA,96)</f>
        <v>-552650</v>
      </c>
      <c r="M156" s="87">
        <f>VLOOKUP($A156,'Data shares'!$C:$FA,97)</f>
        <v>-0.69620000000000004</v>
      </c>
      <c r="N156" s="86">
        <f>VLOOKUP($A156,'Data shares'!$C:$FA,78)</f>
        <v>1094800</v>
      </c>
      <c r="O156" s="87">
        <f>VLOOKUP($A156,'Data shares'!$C:$FA,81)</f>
        <v>-0.36799999999999999</v>
      </c>
    </row>
    <row r="157" spans="1:15" x14ac:dyDescent="0.25">
      <c r="A157" s="100" t="str">
        <f>'Data Vlaue (Cr)'!C152</f>
        <v>OFSS</v>
      </c>
      <c r="B157" s="82">
        <f>VLOOKUP(A157,'Data shares'!$C$2:$CV$216,98,0)</f>
        <v>1505175</v>
      </c>
      <c r="C157" s="82">
        <f>VLOOKUP(A157,'Data shares'!$C$2:$CX$216,100,0)</f>
        <v>-1055275</v>
      </c>
      <c r="D157" s="141">
        <f>VLOOKUP(A157,'Data shares'!$C$2:$CY$539,101,0)</f>
        <v>-0.41210000000000002</v>
      </c>
      <c r="E157" s="86">
        <f>VLOOKUP($A157,'Data shares'!$C:$FA,74)</f>
        <v>1056725</v>
      </c>
      <c r="F157" s="86">
        <f>VLOOKUP($A157,'Data shares'!$C:$FA,76)</f>
        <v>-105175</v>
      </c>
      <c r="G157" s="87">
        <f>VLOOKUP(A157,'Data shares'!$C$2:$CA$216,77,0)</f>
        <v>-9.0499999999999997E-2</v>
      </c>
      <c r="H157" s="86">
        <f>VLOOKUP($A157,'Data shares'!$C:$FA,90)</f>
        <v>259725</v>
      </c>
      <c r="I157" s="86">
        <f>VLOOKUP($A157,'Data shares'!$C:$FA,92)</f>
        <v>-491025</v>
      </c>
      <c r="J157" s="87">
        <f>VLOOKUP($A157,'Data shares'!$C:$FA,93)</f>
        <v>-0.65400000000000003</v>
      </c>
      <c r="K157" s="86">
        <f>VLOOKUP($A157,'Data shares'!$C:$FA,94)</f>
        <v>188725</v>
      </c>
      <c r="L157" s="86">
        <f>VLOOKUP($A157,'Data shares'!$C:$FA,96)</f>
        <v>-459075</v>
      </c>
      <c r="M157" s="87">
        <f>VLOOKUP($A157,'Data shares'!$C:$FA,97)</f>
        <v>-0.7087</v>
      </c>
      <c r="N157" s="86">
        <f>VLOOKUP($A157,'Data shares'!$C:$FA,78)</f>
        <v>70875</v>
      </c>
      <c r="O157" s="87">
        <f>VLOOKUP($A157,'Data shares'!$C:$FA,81)</f>
        <v>-0.5131</v>
      </c>
    </row>
    <row r="158" spans="1:15" x14ac:dyDescent="0.25">
      <c r="A158" s="100" t="str">
        <f>'Data Vlaue (Cr)'!C153</f>
        <v>OIL</v>
      </c>
      <c r="B158" s="82">
        <f>VLOOKUP(A158,'Data shares'!$C$2:$CV$216,98,0)</f>
        <v>18939200</v>
      </c>
      <c r="C158" s="82">
        <f>VLOOKUP(A158,'Data shares'!$C$2:$CX$216,100,0)</f>
        <v>-13927200</v>
      </c>
      <c r="D158" s="141">
        <f>VLOOKUP(A158,'Data shares'!$C$2:$CY$539,101,0)</f>
        <v>-0.42380000000000001</v>
      </c>
      <c r="E158" s="86">
        <f>VLOOKUP($A158,'Data shares'!$C:$FA,74)</f>
        <v>15373400</v>
      </c>
      <c r="F158" s="86">
        <f>VLOOKUP($A158,'Data shares'!$C:$FA,76)</f>
        <v>-1943200</v>
      </c>
      <c r="G158" s="87">
        <f>VLOOKUP(A158,'Data shares'!$C$2:$CA$216,77,0)</f>
        <v>-0.11219999999999999</v>
      </c>
      <c r="H158" s="86">
        <f>VLOOKUP($A158,'Data shares'!$C:$FA,90)</f>
        <v>2123800</v>
      </c>
      <c r="I158" s="86">
        <f>VLOOKUP($A158,'Data shares'!$C:$FA,92)</f>
        <v>-7140000</v>
      </c>
      <c r="J158" s="87">
        <f>VLOOKUP($A158,'Data shares'!$C:$FA,93)</f>
        <v>-0.77070000000000005</v>
      </c>
      <c r="K158" s="86">
        <f>VLOOKUP($A158,'Data shares'!$C:$FA,94)</f>
        <v>1442000</v>
      </c>
      <c r="L158" s="86">
        <f>VLOOKUP($A158,'Data shares'!$C:$FA,96)</f>
        <v>-4844000</v>
      </c>
      <c r="M158" s="87">
        <f>VLOOKUP($A158,'Data shares'!$C:$FA,97)</f>
        <v>-0.77059999999999995</v>
      </c>
      <c r="N158" s="86">
        <f>VLOOKUP($A158,'Data shares'!$C:$FA,78)</f>
        <v>2039800</v>
      </c>
      <c r="O158" s="87">
        <f>VLOOKUP($A158,'Data shares'!$C:$FA,81)</f>
        <v>-0.46610000000000001</v>
      </c>
    </row>
    <row r="159" spans="1:15" x14ac:dyDescent="0.25">
      <c r="A159" s="100" t="str">
        <f>'Data Vlaue (Cr)'!C154</f>
        <v>ONGC</v>
      </c>
      <c r="B159" s="82">
        <f>VLOOKUP(A159,'Data shares'!$C$2:$CV$216,98,0)</f>
        <v>128497500</v>
      </c>
      <c r="C159" s="82">
        <f>VLOOKUP(A159,'Data shares'!$C$2:$CX$216,100,0)</f>
        <v>-76167000</v>
      </c>
      <c r="D159" s="141">
        <f>VLOOKUP(A159,'Data shares'!$C$2:$CY$539,101,0)</f>
        <v>-0.37219999999999998</v>
      </c>
      <c r="E159" s="86">
        <f>VLOOKUP($A159,'Data shares'!$C:$FA,74)</f>
        <v>94416750</v>
      </c>
      <c r="F159" s="86">
        <f>VLOOKUP($A159,'Data shares'!$C:$FA,76)</f>
        <v>-5933250</v>
      </c>
      <c r="G159" s="87">
        <f>VLOOKUP(A159,'Data shares'!$C$2:$CA$216,77,0)</f>
        <v>-5.91E-2</v>
      </c>
      <c r="H159" s="86">
        <f>VLOOKUP($A159,'Data shares'!$C:$FA,90)</f>
        <v>21033000</v>
      </c>
      <c r="I159" s="86">
        <f>VLOOKUP($A159,'Data shares'!$C:$FA,92)</f>
        <v>-57705750</v>
      </c>
      <c r="J159" s="87">
        <f>VLOOKUP($A159,'Data shares'!$C:$FA,93)</f>
        <v>-0.7329</v>
      </c>
      <c r="K159" s="86">
        <f>VLOOKUP($A159,'Data shares'!$C:$FA,94)</f>
        <v>13047750</v>
      </c>
      <c r="L159" s="86">
        <f>VLOOKUP($A159,'Data shares'!$C:$FA,96)</f>
        <v>-12528000</v>
      </c>
      <c r="M159" s="87">
        <f>VLOOKUP($A159,'Data shares'!$C:$FA,97)</f>
        <v>-0.48980000000000001</v>
      </c>
      <c r="N159" s="86">
        <f>VLOOKUP($A159,'Data shares'!$C:$FA,78)</f>
        <v>7708500</v>
      </c>
      <c r="O159" s="87">
        <f>VLOOKUP($A159,'Data shares'!$C:$FA,81)</f>
        <v>-0.39040000000000002</v>
      </c>
    </row>
    <row r="160" spans="1:15" x14ac:dyDescent="0.25">
      <c r="A160" s="100" t="str">
        <f>'Data Vlaue (Cr)'!C155</f>
        <v>PAGEIND</v>
      </c>
      <c r="B160" s="82">
        <f>VLOOKUP(A160,'Data shares'!$C$2:$CV$216,98,0)</f>
        <v>340980</v>
      </c>
      <c r="C160" s="82">
        <f>VLOOKUP(A160,'Data shares'!$C$2:$CX$216,100,0)</f>
        <v>-175795</v>
      </c>
      <c r="D160" s="141">
        <f>VLOOKUP(A160,'Data shares'!$C$2:$CY$539,101,0)</f>
        <v>-0.3402</v>
      </c>
      <c r="E160" s="86">
        <f>VLOOKUP($A160,'Data shares'!$C:$FA,74)</f>
        <v>278895</v>
      </c>
      <c r="F160" s="86">
        <f>VLOOKUP($A160,'Data shares'!$C:$FA,76)</f>
        <v>-19285</v>
      </c>
      <c r="G160" s="87">
        <f>VLOOKUP(A160,'Data shares'!$C$2:$CA$216,77,0)</f>
        <v>-6.4699999999999994E-2</v>
      </c>
      <c r="H160" s="86">
        <f>VLOOKUP($A160,'Data shares'!$C:$FA,90)</f>
        <v>44835</v>
      </c>
      <c r="I160" s="86">
        <f>VLOOKUP($A160,'Data shares'!$C:$FA,92)</f>
        <v>-109185</v>
      </c>
      <c r="J160" s="87">
        <f>VLOOKUP($A160,'Data shares'!$C:$FA,93)</f>
        <v>-0.70889999999999997</v>
      </c>
      <c r="K160" s="86">
        <f>VLOOKUP($A160,'Data shares'!$C:$FA,94)</f>
        <v>17250</v>
      </c>
      <c r="L160" s="86">
        <f>VLOOKUP($A160,'Data shares'!$C:$FA,96)</f>
        <v>-47325</v>
      </c>
      <c r="M160" s="87">
        <f>VLOOKUP($A160,'Data shares'!$C:$FA,97)</f>
        <v>-0.7329</v>
      </c>
      <c r="N160" s="86">
        <f>VLOOKUP($A160,'Data shares'!$C:$FA,78)</f>
        <v>18045</v>
      </c>
      <c r="O160" s="87">
        <f>VLOOKUP($A160,'Data shares'!$C:$FA,81)</f>
        <v>-0.32719999999999999</v>
      </c>
    </row>
    <row r="161" spans="1:15" x14ac:dyDescent="0.25">
      <c r="A161" s="100" t="str">
        <f>'Data Vlaue (Cr)'!C156</f>
        <v>PATANJALI</v>
      </c>
      <c r="B161" s="82">
        <f>VLOOKUP(A161,'Data shares'!$C$2:$CV$216,98,0)</f>
        <v>36589600</v>
      </c>
      <c r="C161" s="82">
        <f>VLOOKUP(A161,'Data shares'!$C$2:$CX$216,100,0)</f>
        <v>-6270775</v>
      </c>
      <c r="D161" s="141">
        <f>VLOOKUP(A161,'Data shares'!$C$2:$CY$539,101,0)</f>
        <v>-0.14630000000000001</v>
      </c>
      <c r="E161" s="86">
        <f>VLOOKUP($A161,'Data shares'!$C:$FA,74)</f>
        <v>32344300</v>
      </c>
      <c r="F161" s="86">
        <f>VLOOKUP($A161,'Data shares'!$C:$FA,76)</f>
        <v>-896875</v>
      </c>
      <c r="G161" s="87">
        <f>VLOOKUP(A161,'Data shares'!$C$2:$CA$216,77,0)</f>
        <v>-2.7E-2</v>
      </c>
      <c r="H161" s="86">
        <f>VLOOKUP($A161,'Data shares'!$C:$FA,90)</f>
        <v>2190600</v>
      </c>
      <c r="I161" s="86">
        <f>VLOOKUP($A161,'Data shares'!$C:$FA,92)</f>
        <v>-3158100</v>
      </c>
      <c r="J161" s="87">
        <f>VLOOKUP($A161,'Data shares'!$C:$FA,93)</f>
        <v>-0.59040000000000004</v>
      </c>
      <c r="K161" s="86">
        <f>VLOOKUP($A161,'Data shares'!$C:$FA,94)</f>
        <v>2054700</v>
      </c>
      <c r="L161" s="86">
        <f>VLOOKUP($A161,'Data shares'!$C:$FA,96)</f>
        <v>-2215800</v>
      </c>
      <c r="M161" s="87">
        <f>VLOOKUP($A161,'Data shares'!$C:$FA,97)</f>
        <v>-0.51890000000000003</v>
      </c>
      <c r="N161" s="86">
        <f>VLOOKUP($A161,'Data shares'!$C:$FA,78)</f>
        <v>521100</v>
      </c>
      <c r="O161" s="87">
        <f>VLOOKUP($A161,'Data shares'!$C:$FA,81)</f>
        <v>-0.89100000000000001</v>
      </c>
    </row>
    <row r="162" spans="1:15" x14ac:dyDescent="0.25">
      <c r="A162" s="100" t="str">
        <f>'Data Vlaue (Cr)'!C157</f>
        <v>PAYTM</v>
      </c>
      <c r="B162" s="82">
        <f>VLOOKUP(A162,'Data shares'!$C$2:$CV$216,98,0)</f>
        <v>22132800</v>
      </c>
      <c r="C162" s="82">
        <f>VLOOKUP(A162,'Data shares'!$C$2:$CX$216,100,0)</f>
        <v>-10137675</v>
      </c>
      <c r="D162" s="141">
        <f>VLOOKUP(A162,'Data shares'!$C$2:$CY$539,101,0)</f>
        <v>-0.31409999999999999</v>
      </c>
      <c r="E162" s="86">
        <f>VLOOKUP($A162,'Data shares'!$C:$FA,74)</f>
        <v>17144800</v>
      </c>
      <c r="F162" s="86">
        <f>VLOOKUP($A162,'Data shares'!$C:$FA,76)</f>
        <v>552450</v>
      </c>
      <c r="G162" s="87">
        <f>VLOOKUP(A162,'Data shares'!$C$2:$CA$216,77,0)</f>
        <v>3.3300000000000003E-2</v>
      </c>
      <c r="H162" s="86">
        <f>VLOOKUP($A162,'Data shares'!$C:$FA,90)</f>
        <v>3024700</v>
      </c>
      <c r="I162" s="86">
        <f>VLOOKUP($A162,'Data shares'!$C:$FA,92)</f>
        <v>-6058825</v>
      </c>
      <c r="J162" s="87">
        <f>VLOOKUP($A162,'Data shares'!$C:$FA,93)</f>
        <v>-0.66700000000000004</v>
      </c>
      <c r="K162" s="86">
        <f>VLOOKUP($A162,'Data shares'!$C:$FA,94)</f>
        <v>1963300</v>
      </c>
      <c r="L162" s="86">
        <f>VLOOKUP($A162,'Data shares'!$C:$FA,96)</f>
        <v>-4631300</v>
      </c>
      <c r="M162" s="87">
        <f>VLOOKUP($A162,'Data shares'!$C:$FA,97)</f>
        <v>-0.70230000000000004</v>
      </c>
      <c r="N162" s="86">
        <f>VLOOKUP($A162,'Data shares'!$C:$FA,78)</f>
        <v>2929000</v>
      </c>
      <c r="O162" s="87">
        <f>VLOOKUP($A162,'Data shares'!$C:$FA,81)</f>
        <v>-4.9599999999999998E-2</v>
      </c>
    </row>
    <row r="163" spans="1:15" x14ac:dyDescent="0.25">
      <c r="A163" s="100" t="str">
        <f>'Data Vlaue (Cr)'!C158</f>
        <v>PERSISTENT</v>
      </c>
      <c r="B163" s="82">
        <f>VLOOKUP(A163,'Data shares'!$C$2:$CV$216,98,0)</f>
        <v>4114200</v>
      </c>
      <c r="C163" s="82">
        <f>VLOOKUP(A163,'Data shares'!$C$2:$CX$216,100,0)</f>
        <v>-2558150</v>
      </c>
      <c r="D163" s="141">
        <f>VLOOKUP(A163,'Data shares'!$C$2:$CY$539,101,0)</f>
        <v>-0.38340000000000002</v>
      </c>
      <c r="E163" s="86">
        <f>VLOOKUP($A163,'Data shares'!$C:$FA,74)</f>
        <v>3391075</v>
      </c>
      <c r="F163" s="86">
        <f>VLOOKUP($A163,'Data shares'!$C:$FA,76)</f>
        <v>-640050</v>
      </c>
      <c r="G163" s="87">
        <f>VLOOKUP(A163,'Data shares'!$C$2:$CA$216,77,0)</f>
        <v>-0.1588</v>
      </c>
      <c r="H163" s="86">
        <f>VLOOKUP($A163,'Data shares'!$C:$FA,90)</f>
        <v>410800</v>
      </c>
      <c r="I163" s="86">
        <f>VLOOKUP($A163,'Data shares'!$C:$FA,92)</f>
        <v>-1030400</v>
      </c>
      <c r="J163" s="87">
        <f>VLOOKUP($A163,'Data shares'!$C:$FA,93)</f>
        <v>-0.71499999999999997</v>
      </c>
      <c r="K163" s="86">
        <f>VLOOKUP($A163,'Data shares'!$C:$FA,94)</f>
        <v>312325</v>
      </c>
      <c r="L163" s="86">
        <f>VLOOKUP($A163,'Data shares'!$C:$FA,96)</f>
        <v>-887700</v>
      </c>
      <c r="M163" s="87">
        <f>VLOOKUP($A163,'Data shares'!$C:$FA,97)</f>
        <v>-0.73970000000000002</v>
      </c>
      <c r="N163" s="86">
        <f>VLOOKUP($A163,'Data shares'!$C:$FA,78)</f>
        <v>562100</v>
      </c>
      <c r="O163" s="87">
        <f>VLOOKUP($A163,'Data shares'!$C:$FA,81)</f>
        <v>-0.1696</v>
      </c>
    </row>
    <row r="164" spans="1:15" x14ac:dyDescent="0.25">
      <c r="A164" s="100" t="str">
        <f>'Data Vlaue (Cr)'!C159</f>
        <v>PETRONET</v>
      </c>
      <c r="B164" s="82">
        <f>VLOOKUP(A164,'Data shares'!$C$2:$CV$216,98,0)</f>
        <v>40878500</v>
      </c>
      <c r="C164" s="82">
        <f>VLOOKUP(A164,'Data shares'!$C$2:$CX$216,100,0)</f>
        <v>-13157500</v>
      </c>
      <c r="D164" s="141">
        <f>VLOOKUP(A164,'Data shares'!$C$2:$CY$539,101,0)</f>
        <v>-0.24349999999999999</v>
      </c>
      <c r="E164" s="86">
        <f>VLOOKUP($A164,'Data shares'!$C:$FA,74)</f>
        <v>27114900</v>
      </c>
      <c r="F164" s="86">
        <f>VLOOKUP($A164,'Data shares'!$C:$FA,76)</f>
        <v>-5215500</v>
      </c>
      <c r="G164" s="87">
        <f>VLOOKUP(A164,'Data shares'!$C$2:$CA$216,77,0)</f>
        <v>-0.1613</v>
      </c>
      <c r="H164" s="86">
        <f>VLOOKUP($A164,'Data shares'!$C:$FA,90)</f>
        <v>6551200</v>
      </c>
      <c r="I164" s="86">
        <f>VLOOKUP($A164,'Data shares'!$C:$FA,92)</f>
        <v>-4168600</v>
      </c>
      <c r="J164" s="87">
        <f>VLOOKUP($A164,'Data shares'!$C:$FA,93)</f>
        <v>-0.38890000000000002</v>
      </c>
      <c r="K164" s="86">
        <f>VLOOKUP($A164,'Data shares'!$C:$FA,94)</f>
        <v>7212400</v>
      </c>
      <c r="L164" s="86">
        <f>VLOOKUP($A164,'Data shares'!$C:$FA,96)</f>
        <v>-3773400</v>
      </c>
      <c r="M164" s="87">
        <f>VLOOKUP($A164,'Data shares'!$C:$FA,97)</f>
        <v>-0.34350000000000003</v>
      </c>
      <c r="N164" s="86">
        <f>VLOOKUP($A164,'Data shares'!$C:$FA,78)</f>
        <v>4535300</v>
      </c>
      <c r="O164" s="87">
        <f>VLOOKUP($A164,'Data shares'!$C:$FA,81)</f>
        <v>-0.37759999999999999</v>
      </c>
    </row>
    <row r="165" spans="1:15" x14ac:dyDescent="0.25">
      <c r="A165" s="100" t="str">
        <f>'Data Vlaue (Cr)'!C160</f>
        <v>PFC</v>
      </c>
      <c r="B165" s="82">
        <f>VLOOKUP(A165,'Data shares'!$C$2:$CV$216,98,0)</f>
        <v>73494200</v>
      </c>
      <c r="C165" s="82">
        <f>VLOOKUP(A165,'Data shares'!$C$2:$CX$216,100,0)</f>
        <v>-24438700</v>
      </c>
      <c r="D165" s="141">
        <f>VLOOKUP(A165,'Data shares'!$C$2:$CY$539,101,0)</f>
        <v>-0.2495</v>
      </c>
      <c r="E165" s="86">
        <f>VLOOKUP($A165,'Data shares'!$C:$FA,74)</f>
        <v>57625100</v>
      </c>
      <c r="F165" s="86">
        <f>VLOOKUP($A165,'Data shares'!$C:$FA,76)</f>
        <v>-5228600</v>
      </c>
      <c r="G165" s="87">
        <f>VLOOKUP(A165,'Data shares'!$C$2:$CA$216,77,0)</f>
        <v>-8.3199999999999996E-2</v>
      </c>
      <c r="H165" s="86">
        <f>VLOOKUP($A165,'Data shares'!$C:$FA,90)</f>
        <v>8483800</v>
      </c>
      <c r="I165" s="86">
        <f>VLOOKUP($A165,'Data shares'!$C:$FA,92)</f>
        <v>-13178100</v>
      </c>
      <c r="J165" s="87">
        <f>VLOOKUP($A165,'Data shares'!$C:$FA,93)</f>
        <v>-0.60840000000000005</v>
      </c>
      <c r="K165" s="86">
        <f>VLOOKUP($A165,'Data shares'!$C:$FA,94)</f>
        <v>7385300</v>
      </c>
      <c r="L165" s="86">
        <f>VLOOKUP($A165,'Data shares'!$C:$FA,96)</f>
        <v>-6032000</v>
      </c>
      <c r="M165" s="87">
        <f>VLOOKUP($A165,'Data shares'!$C:$FA,97)</f>
        <v>-0.4496</v>
      </c>
      <c r="N165" s="86">
        <f>VLOOKUP($A165,'Data shares'!$C:$FA,78)</f>
        <v>5652400</v>
      </c>
      <c r="O165" s="87">
        <f>VLOOKUP($A165,'Data shares'!$C:$FA,81)</f>
        <v>-0.56299999999999994</v>
      </c>
    </row>
    <row r="166" spans="1:15" x14ac:dyDescent="0.25">
      <c r="A166" s="100" t="str">
        <f>'Data Vlaue (Cr)'!C161</f>
        <v>PGEL</v>
      </c>
      <c r="B166" s="82">
        <f>VLOOKUP(A166,'Data shares'!$C$2:$CV$216,98,0)</f>
        <v>22157800</v>
      </c>
      <c r="C166" s="82">
        <f>VLOOKUP(A166,'Data shares'!$C$2:$CX$216,100,0)</f>
        <v>-9027850</v>
      </c>
      <c r="D166" s="141">
        <f>VLOOKUP(A166,'Data shares'!$C$2:$CY$539,101,0)</f>
        <v>-0.28949999999999998</v>
      </c>
      <c r="E166" s="86">
        <f>VLOOKUP($A166,'Data shares'!$C:$FA,74)</f>
        <v>13100500</v>
      </c>
      <c r="F166" s="86">
        <f>VLOOKUP($A166,'Data shares'!$C:$FA,76)</f>
        <v>-1268250</v>
      </c>
      <c r="G166" s="87">
        <f>VLOOKUP(A166,'Data shares'!$C$2:$CA$216,77,0)</f>
        <v>-8.8300000000000003E-2</v>
      </c>
      <c r="H166" s="86">
        <f>VLOOKUP($A166,'Data shares'!$C:$FA,90)</f>
        <v>4893450</v>
      </c>
      <c r="I166" s="86">
        <f>VLOOKUP($A166,'Data shares'!$C:$FA,92)</f>
        <v>-5466300</v>
      </c>
      <c r="J166" s="87">
        <f>VLOOKUP($A166,'Data shares'!$C:$FA,93)</f>
        <v>-0.52759999999999996</v>
      </c>
      <c r="K166" s="86">
        <f>VLOOKUP($A166,'Data shares'!$C:$FA,94)</f>
        <v>4163850</v>
      </c>
      <c r="L166" s="86">
        <f>VLOOKUP($A166,'Data shares'!$C:$FA,96)</f>
        <v>-2293300</v>
      </c>
      <c r="M166" s="87">
        <f>VLOOKUP($A166,'Data shares'!$C:$FA,97)</f>
        <v>-0.35520000000000002</v>
      </c>
      <c r="N166" s="86">
        <f>VLOOKUP($A166,'Data shares'!$C:$FA,78)</f>
        <v>1444000</v>
      </c>
      <c r="O166" s="87">
        <f>VLOOKUP($A166,'Data shares'!$C:$FA,81)</f>
        <v>-0.53810000000000002</v>
      </c>
    </row>
    <row r="167" spans="1:15" x14ac:dyDescent="0.25">
      <c r="A167" s="100" t="str">
        <f>'Data Vlaue (Cr)'!C162</f>
        <v>PHOENIXLTD</v>
      </c>
      <c r="B167" s="82">
        <f>VLOOKUP(A167,'Data shares'!$C$2:$CV$216,98,0)</f>
        <v>3779650</v>
      </c>
      <c r="C167" s="82">
        <f>VLOOKUP(A167,'Data shares'!$C$2:$CX$216,100,0)</f>
        <v>-1979250</v>
      </c>
      <c r="D167" s="141">
        <f>VLOOKUP(A167,'Data shares'!$C$2:$CY$539,101,0)</f>
        <v>-0.34370000000000001</v>
      </c>
      <c r="E167" s="86">
        <f>VLOOKUP($A167,'Data shares'!$C:$FA,74)</f>
        <v>3513300</v>
      </c>
      <c r="F167" s="86">
        <f>VLOOKUP($A167,'Data shares'!$C:$FA,76)</f>
        <v>-675500</v>
      </c>
      <c r="G167" s="87">
        <f>VLOOKUP(A167,'Data shares'!$C$2:$CA$216,77,0)</f>
        <v>-0.1613</v>
      </c>
      <c r="H167" s="86">
        <f>VLOOKUP($A167,'Data shares'!$C:$FA,90)</f>
        <v>189000</v>
      </c>
      <c r="I167" s="86">
        <f>VLOOKUP($A167,'Data shares'!$C:$FA,92)</f>
        <v>-765450</v>
      </c>
      <c r="J167" s="87">
        <f>VLOOKUP($A167,'Data shares'!$C:$FA,93)</f>
        <v>-0.80200000000000005</v>
      </c>
      <c r="K167" s="86">
        <f>VLOOKUP($A167,'Data shares'!$C:$FA,94)</f>
        <v>77350</v>
      </c>
      <c r="L167" s="86">
        <f>VLOOKUP($A167,'Data shares'!$C:$FA,96)</f>
        <v>-538300</v>
      </c>
      <c r="M167" s="87">
        <f>VLOOKUP($A167,'Data shares'!$C:$FA,97)</f>
        <v>-0.87439999999999996</v>
      </c>
      <c r="N167" s="86">
        <f>VLOOKUP($A167,'Data shares'!$C:$FA,78)</f>
        <v>670250</v>
      </c>
      <c r="O167" s="87">
        <f>VLOOKUP($A167,'Data shares'!$C:$FA,81)</f>
        <v>-0.12989999999999999</v>
      </c>
    </row>
    <row r="168" spans="1:15" x14ac:dyDescent="0.25">
      <c r="A168" s="100" t="str">
        <f>'Data Vlaue (Cr)'!C163</f>
        <v>PIDILITIND</v>
      </c>
      <c r="B168" s="82">
        <f>VLOOKUP(A168,'Data shares'!$C$2:$CV$216,98,0)</f>
        <v>7617500</v>
      </c>
      <c r="C168" s="82">
        <f>VLOOKUP(A168,'Data shares'!$C$2:$CX$216,100,0)</f>
        <v>-4559500</v>
      </c>
      <c r="D168" s="141">
        <f>VLOOKUP(A168,'Data shares'!$C$2:$CY$539,101,0)</f>
        <v>-0.37440000000000001</v>
      </c>
      <c r="E168" s="86">
        <f>VLOOKUP($A168,'Data shares'!$C:$FA,74)</f>
        <v>6704500</v>
      </c>
      <c r="F168" s="86">
        <f>VLOOKUP($A168,'Data shares'!$C:$FA,76)</f>
        <v>-435500</v>
      </c>
      <c r="G168" s="87">
        <f>VLOOKUP(A168,'Data shares'!$C$2:$CA$216,77,0)</f>
        <v>-6.0999999999999999E-2</v>
      </c>
      <c r="H168" s="86">
        <f>VLOOKUP($A168,'Data shares'!$C:$FA,90)</f>
        <v>571500</v>
      </c>
      <c r="I168" s="86">
        <f>VLOOKUP($A168,'Data shares'!$C:$FA,92)</f>
        <v>-2822000</v>
      </c>
      <c r="J168" s="87">
        <f>VLOOKUP($A168,'Data shares'!$C:$FA,93)</f>
        <v>-0.83160000000000001</v>
      </c>
      <c r="K168" s="86">
        <f>VLOOKUP($A168,'Data shares'!$C:$FA,94)</f>
        <v>341500</v>
      </c>
      <c r="L168" s="86">
        <f>VLOOKUP($A168,'Data shares'!$C:$FA,96)</f>
        <v>-1302000</v>
      </c>
      <c r="M168" s="87">
        <f>VLOOKUP($A168,'Data shares'!$C:$FA,97)</f>
        <v>-0.79220000000000002</v>
      </c>
      <c r="N168" s="86">
        <f>VLOOKUP($A168,'Data shares'!$C:$FA,78)</f>
        <v>268500</v>
      </c>
      <c r="O168" s="87">
        <f>VLOOKUP($A168,'Data shares'!$C:$FA,81)</f>
        <v>-0.76719999999999999</v>
      </c>
    </row>
    <row r="169" spans="1:15" x14ac:dyDescent="0.25">
      <c r="A169" s="100" t="str">
        <f>'Data Vlaue (Cr)'!C164</f>
        <v>PIIND</v>
      </c>
      <c r="B169" s="82">
        <f>VLOOKUP(A169,'Data shares'!$C$2:$CV$216,98,0)</f>
        <v>5352375</v>
      </c>
      <c r="C169" s="82">
        <f>VLOOKUP(A169,'Data shares'!$C$2:$CX$216,100,0)</f>
        <v>-2130450</v>
      </c>
      <c r="D169" s="141">
        <f>VLOOKUP(A169,'Data shares'!$C$2:$CY$539,101,0)</f>
        <v>-0.28470000000000001</v>
      </c>
      <c r="E169" s="86">
        <f>VLOOKUP($A169,'Data shares'!$C:$FA,74)</f>
        <v>3674125</v>
      </c>
      <c r="F169" s="86">
        <f>VLOOKUP($A169,'Data shares'!$C:$FA,76)</f>
        <v>-443450</v>
      </c>
      <c r="G169" s="87">
        <f>VLOOKUP(A169,'Data shares'!$C$2:$CA$216,77,0)</f>
        <v>-0.1077</v>
      </c>
      <c r="H169" s="86">
        <f>VLOOKUP($A169,'Data shares'!$C:$FA,90)</f>
        <v>1130850</v>
      </c>
      <c r="I169" s="86">
        <f>VLOOKUP($A169,'Data shares'!$C:$FA,92)</f>
        <v>-1017275</v>
      </c>
      <c r="J169" s="87">
        <f>VLOOKUP($A169,'Data shares'!$C:$FA,93)</f>
        <v>-0.47360000000000002</v>
      </c>
      <c r="K169" s="86">
        <f>VLOOKUP($A169,'Data shares'!$C:$FA,94)</f>
        <v>547400</v>
      </c>
      <c r="L169" s="86">
        <f>VLOOKUP($A169,'Data shares'!$C:$FA,96)</f>
        <v>-669725</v>
      </c>
      <c r="M169" s="87">
        <f>VLOOKUP($A169,'Data shares'!$C:$FA,97)</f>
        <v>-0.55030000000000001</v>
      </c>
      <c r="N169" s="86">
        <f>VLOOKUP($A169,'Data shares'!$C:$FA,78)</f>
        <v>256550</v>
      </c>
      <c r="O169" s="87">
        <f>VLOOKUP($A169,'Data shares'!$C:$FA,81)</f>
        <v>-0.55759999999999998</v>
      </c>
    </row>
    <row r="170" spans="1:15" x14ac:dyDescent="0.25">
      <c r="A170" s="100" t="str">
        <f>'Data Vlaue (Cr)'!C165</f>
        <v>PNB</v>
      </c>
      <c r="B170" s="82">
        <f>VLOOKUP(A170,'Data shares'!$C$2:$CV$216,98,0)</f>
        <v>406856000</v>
      </c>
      <c r="C170" s="82">
        <f>VLOOKUP(A170,'Data shares'!$C$2:$CX$216,100,0)</f>
        <v>-115904000</v>
      </c>
      <c r="D170" s="141">
        <f>VLOOKUP(A170,'Data shares'!$C$2:$CY$539,101,0)</f>
        <v>-0.22170000000000001</v>
      </c>
      <c r="E170" s="86">
        <f>VLOOKUP($A170,'Data shares'!$C:$FA,74)</f>
        <v>314400000</v>
      </c>
      <c r="F170" s="86">
        <f>VLOOKUP($A170,'Data shares'!$C:$FA,76)</f>
        <v>-6520000</v>
      </c>
      <c r="G170" s="87">
        <f>VLOOKUP(A170,'Data shares'!$C$2:$CA$216,77,0)</f>
        <v>-2.0299999999999999E-2</v>
      </c>
      <c r="H170" s="86">
        <f>VLOOKUP($A170,'Data shares'!$C:$FA,90)</f>
        <v>47232000</v>
      </c>
      <c r="I170" s="86">
        <f>VLOOKUP($A170,'Data shares'!$C:$FA,92)</f>
        <v>-68224000</v>
      </c>
      <c r="J170" s="87">
        <f>VLOOKUP($A170,'Data shares'!$C:$FA,93)</f>
        <v>-0.59089999999999998</v>
      </c>
      <c r="K170" s="86">
        <f>VLOOKUP($A170,'Data shares'!$C:$FA,94)</f>
        <v>45224000</v>
      </c>
      <c r="L170" s="86">
        <f>VLOOKUP($A170,'Data shares'!$C:$FA,96)</f>
        <v>-41160000</v>
      </c>
      <c r="M170" s="87">
        <f>VLOOKUP($A170,'Data shares'!$C:$FA,97)</f>
        <v>-0.47649999999999998</v>
      </c>
      <c r="N170" s="86">
        <f>VLOOKUP($A170,'Data shares'!$C:$FA,78)</f>
        <v>13128000</v>
      </c>
      <c r="O170" s="87">
        <f>VLOOKUP($A170,'Data shares'!$C:$FA,81)</f>
        <v>-0.75380000000000003</v>
      </c>
    </row>
    <row r="171" spans="1:15" x14ac:dyDescent="0.25">
      <c r="A171" s="100" t="str">
        <f>'Data Vlaue (Cr)'!C166</f>
        <v>PNBHOUSING</v>
      </c>
      <c r="B171" s="82">
        <f>VLOOKUP(A171,'Data shares'!$C$2:$CV$216,98,0)</f>
        <v>12870650</v>
      </c>
      <c r="C171" s="82">
        <f>VLOOKUP(A171,'Data shares'!$C$2:$CX$216,100,0)</f>
        <v>-4028700</v>
      </c>
      <c r="D171" s="141">
        <f>VLOOKUP(A171,'Data shares'!$C$2:$CY$539,101,0)</f>
        <v>-0.2384</v>
      </c>
      <c r="E171" s="86">
        <f>VLOOKUP($A171,'Data shares'!$C:$FA,74)</f>
        <v>11605750</v>
      </c>
      <c r="F171" s="86">
        <f>VLOOKUP($A171,'Data shares'!$C:$FA,76)</f>
        <v>-1316900</v>
      </c>
      <c r="G171" s="87">
        <f>VLOOKUP(A171,'Data shares'!$C$2:$CA$216,77,0)</f>
        <v>-0.1019</v>
      </c>
      <c r="H171" s="86">
        <f>VLOOKUP($A171,'Data shares'!$C:$FA,90)</f>
        <v>851500</v>
      </c>
      <c r="I171" s="86">
        <f>VLOOKUP($A171,'Data shares'!$C:$FA,92)</f>
        <v>-1613300</v>
      </c>
      <c r="J171" s="87">
        <f>VLOOKUP($A171,'Data shares'!$C:$FA,93)</f>
        <v>-0.65449999999999997</v>
      </c>
      <c r="K171" s="86">
        <f>VLOOKUP($A171,'Data shares'!$C:$FA,94)</f>
        <v>413400</v>
      </c>
      <c r="L171" s="86">
        <f>VLOOKUP($A171,'Data shares'!$C:$FA,96)</f>
        <v>-1098500</v>
      </c>
      <c r="M171" s="87">
        <f>VLOOKUP($A171,'Data shares'!$C:$FA,97)</f>
        <v>-0.72660000000000002</v>
      </c>
      <c r="N171" s="86">
        <f>VLOOKUP($A171,'Data shares'!$C:$FA,78)</f>
        <v>1295450</v>
      </c>
      <c r="O171" s="87">
        <f>VLOOKUP($A171,'Data shares'!$C:$FA,81)</f>
        <v>-0.34050000000000002</v>
      </c>
    </row>
    <row r="172" spans="1:15" x14ac:dyDescent="0.25">
      <c r="A172" s="100" t="str">
        <f>'Data Vlaue (Cr)'!C167</f>
        <v>POLICYBZR</v>
      </c>
      <c r="B172" s="82">
        <f>VLOOKUP(A172,'Data shares'!$C$2:$CV$216,98,0)</f>
        <v>8499400</v>
      </c>
      <c r="C172" s="82">
        <f>VLOOKUP(A172,'Data shares'!$C$2:$CX$216,100,0)</f>
        <v>-5749450</v>
      </c>
      <c r="D172" s="141">
        <f>VLOOKUP(A172,'Data shares'!$C$2:$CY$539,101,0)</f>
        <v>-0.40350000000000003</v>
      </c>
      <c r="E172" s="86">
        <f>VLOOKUP($A172,'Data shares'!$C:$FA,74)</f>
        <v>7315350</v>
      </c>
      <c r="F172" s="86">
        <f>VLOOKUP($A172,'Data shares'!$C:$FA,76)</f>
        <v>-1387400</v>
      </c>
      <c r="G172" s="87">
        <f>VLOOKUP(A172,'Data shares'!$C$2:$CA$216,77,0)</f>
        <v>-0.15939999999999999</v>
      </c>
      <c r="H172" s="86">
        <f>VLOOKUP($A172,'Data shares'!$C:$FA,90)</f>
        <v>704900</v>
      </c>
      <c r="I172" s="86">
        <f>VLOOKUP($A172,'Data shares'!$C:$FA,92)</f>
        <v>-2614150</v>
      </c>
      <c r="J172" s="87">
        <f>VLOOKUP($A172,'Data shares'!$C:$FA,93)</f>
        <v>-0.78759999999999997</v>
      </c>
      <c r="K172" s="86">
        <f>VLOOKUP($A172,'Data shares'!$C:$FA,94)</f>
        <v>479150</v>
      </c>
      <c r="L172" s="86">
        <f>VLOOKUP($A172,'Data shares'!$C:$FA,96)</f>
        <v>-1747900</v>
      </c>
      <c r="M172" s="87">
        <f>VLOOKUP($A172,'Data shares'!$C:$FA,97)</f>
        <v>-0.78480000000000005</v>
      </c>
      <c r="N172" s="86">
        <f>VLOOKUP($A172,'Data shares'!$C:$FA,78)</f>
        <v>1585500</v>
      </c>
      <c r="O172" s="87">
        <f>VLOOKUP($A172,'Data shares'!$C:$FA,81)</f>
        <v>2.7000000000000001E-3</v>
      </c>
    </row>
    <row r="173" spans="1:15" x14ac:dyDescent="0.25">
      <c r="A173" s="100" t="str">
        <f>'Data Vlaue (Cr)'!C168</f>
        <v>POLYCAB</v>
      </c>
      <c r="B173" s="82">
        <f>VLOOKUP(A173,'Data shares'!$C$2:$CV$216,98,0)</f>
        <v>2847500</v>
      </c>
      <c r="C173" s="82">
        <f>VLOOKUP(A173,'Data shares'!$C$2:$CX$216,100,0)</f>
        <v>-2483500</v>
      </c>
      <c r="D173" s="141">
        <f>VLOOKUP(A173,'Data shares'!$C$2:$CY$539,101,0)</f>
        <v>-0.46589999999999998</v>
      </c>
      <c r="E173" s="86">
        <f>VLOOKUP($A173,'Data shares'!$C:$FA,74)</f>
        <v>1870125</v>
      </c>
      <c r="F173" s="86">
        <f>VLOOKUP($A173,'Data shares'!$C:$FA,76)</f>
        <v>-323375</v>
      </c>
      <c r="G173" s="87">
        <f>VLOOKUP(A173,'Data shares'!$C$2:$CA$216,77,0)</f>
        <v>-0.1474</v>
      </c>
      <c r="H173" s="86">
        <f>VLOOKUP($A173,'Data shares'!$C:$FA,90)</f>
        <v>460375</v>
      </c>
      <c r="I173" s="86">
        <f>VLOOKUP($A173,'Data shares'!$C:$FA,92)</f>
        <v>-1264625</v>
      </c>
      <c r="J173" s="87">
        <f>VLOOKUP($A173,'Data shares'!$C:$FA,93)</f>
        <v>-0.73309999999999997</v>
      </c>
      <c r="K173" s="86">
        <f>VLOOKUP($A173,'Data shares'!$C:$FA,94)</f>
        <v>517000</v>
      </c>
      <c r="L173" s="86">
        <f>VLOOKUP($A173,'Data shares'!$C:$FA,96)</f>
        <v>-895500</v>
      </c>
      <c r="M173" s="87">
        <f>VLOOKUP($A173,'Data shares'!$C:$FA,97)</f>
        <v>-0.63400000000000001</v>
      </c>
      <c r="N173" s="86">
        <f>VLOOKUP($A173,'Data shares'!$C:$FA,78)</f>
        <v>331875</v>
      </c>
      <c r="O173" s="87">
        <f>VLOOKUP($A173,'Data shares'!$C:$FA,81)</f>
        <v>-0.52759999999999996</v>
      </c>
    </row>
    <row r="174" spans="1:15" x14ac:dyDescent="0.25">
      <c r="A174" s="100" t="str">
        <f>'Data Vlaue (Cr)'!C169</f>
        <v>POWERGRID</v>
      </c>
      <c r="B174" s="82">
        <f>VLOOKUP(A174,'Data shares'!$C$2:$CV$216,98,0)</f>
        <v>104760300</v>
      </c>
      <c r="C174" s="82">
        <f>VLOOKUP(A174,'Data shares'!$C$2:$CX$216,100,0)</f>
        <v>-36149400</v>
      </c>
      <c r="D174" s="141">
        <f>VLOOKUP(A174,'Data shares'!$C$2:$CY$539,101,0)</f>
        <v>-0.25650000000000001</v>
      </c>
      <c r="E174" s="86">
        <f>VLOOKUP($A174,'Data shares'!$C:$FA,74)</f>
        <v>85843900</v>
      </c>
      <c r="F174" s="86">
        <f>VLOOKUP($A174,'Data shares'!$C:$FA,76)</f>
        <v>-796100</v>
      </c>
      <c r="G174" s="87">
        <f>VLOOKUP(A174,'Data shares'!$C$2:$CA$216,77,0)</f>
        <v>-9.1999999999999998E-3</v>
      </c>
      <c r="H174" s="86">
        <f>VLOOKUP($A174,'Data shares'!$C:$FA,90)</f>
        <v>8766600</v>
      </c>
      <c r="I174" s="86">
        <f>VLOOKUP($A174,'Data shares'!$C:$FA,92)</f>
        <v>-27415100</v>
      </c>
      <c r="J174" s="87">
        <f>VLOOKUP($A174,'Data shares'!$C:$FA,93)</f>
        <v>-0.75770000000000004</v>
      </c>
      <c r="K174" s="86">
        <f>VLOOKUP($A174,'Data shares'!$C:$FA,94)</f>
        <v>10149800</v>
      </c>
      <c r="L174" s="86">
        <f>VLOOKUP($A174,'Data shares'!$C:$FA,96)</f>
        <v>-7938200</v>
      </c>
      <c r="M174" s="87">
        <f>VLOOKUP($A174,'Data shares'!$C:$FA,97)</f>
        <v>-0.43890000000000001</v>
      </c>
      <c r="N174" s="86">
        <f>VLOOKUP($A174,'Data shares'!$C:$FA,78)</f>
        <v>2819600</v>
      </c>
      <c r="O174" s="87">
        <f>VLOOKUP($A174,'Data shares'!$C:$FA,81)</f>
        <v>-0.53300000000000003</v>
      </c>
    </row>
    <row r="175" spans="1:15" x14ac:dyDescent="0.25">
      <c r="A175" s="100" t="str">
        <f>'Data Vlaue (Cr)'!C170</f>
        <v>POWERINDIA</v>
      </c>
      <c r="B175" s="82">
        <f>VLOOKUP(A175,'Data shares'!$C$2:$CV$216,98,0)</f>
        <v>823025</v>
      </c>
      <c r="C175" s="82">
        <f>VLOOKUP(A175,'Data shares'!$C$2:$CX$216,100,0)</f>
        <v>-383525</v>
      </c>
      <c r="D175" s="141">
        <f>VLOOKUP(A175,'Data shares'!$C$2:$CY$539,101,0)</f>
        <v>-0.31790000000000002</v>
      </c>
      <c r="E175" s="86">
        <f>VLOOKUP($A175,'Data shares'!$C:$FA,74)</f>
        <v>441375</v>
      </c>
      <c r="F175" s="86">
        <f>VLOOKUP($A175,'Data shares'!$C:$FA,76)</f>
        <v>-36025</v>
      </c>
      <c r="G175" s="87">
        <f>VLOOKUP(A175,'Data shares'!$C$2:$CA$216,77,0)</f>
        <v>-7.5499999999999998E-2</v>
      </c>
      <c r="H175" s="86">
        <f>VLOOKUP($A175,'Data shares'!$C:$FA,90)</f>
        <v>216750</v>
      </c>
      <c r="I175" s="86">
        <f>VLOOKUP($A175,'Data shares'!$C:$FA,92)</f>
        <v>-161400</v>
      </c>
      <c r="J175" s="87">
        <f>VLOOKUP($A175,'Data shares'!$C:$FA,93)</f>
        <v>-0.42680000000000001</v>
      </c>
      <c r="K175" s="86">
        <f>VLOOKUP($A175,'Data shares'!$C:$FA,94)</f>
        <v>164900</v>
      </c>
      <c r="L175" s="86">
        <f>VLOOKUP($A175,'Data shares'!$C:$FA,96)</f>
        <v>-186100</v>
      </c>
      <c r="M175" s="87">
        <f>VLOOKUP($A175,'Data shares'!$C:$FA,97)</f>
        <v>-0.5302</v>
      </c>
      <c r="N175" s="86">
        <f>VLOOKUP($A175,'Data shares'!$C:$FA,78)</f>
        <v>23525</v>
      </c>
      <c r="O175" s="87">
        <f>VLOOKUP($A175,'Data shares'!$C:$FA,81)</f>
        <v>-0.58620000000000005</v>
      </c>
    </row>
    <row r="176" spans="1:15" x14ac:dyDescent="0.25">
      <c r="A176" s="100" t="str">
        <f>'Data Vlaue (Cr)'!C171</f>
        <v>PREMIERENE</v>
      </c>
      <c r="B176" s="82">
        <f>VLOOKUP(A176,'Data shares'!$C$2:$CV$216,98,0)</f>
        <v>15092300</v>
      </c>
      <c r="C176" s="82">
        <f>VLOOKUP(A176,'Data shares'!$C$2:$CX$216,100,0)</f>
        <v>-5684975</v>
      </c>
      <c r="D176" s="141">
        <f>VLOOKUP(A176,'Data shares'!$C$2:$CY$539,101,0)</f>
        <v>-0.27360000000000001</v>
      </c>
      <c r="E176" s="86">
        <f>VLOOKUP($A176,'Data shares'!$C:$FA,74)</f>
        <v>12305625</v>
      </c>
      <c r="F176" s="86">
        <f>VLOOKUP($A176,'Data shares'!$C:$FA,76)</f>
        <v>-2536925</v>
      </c>
      <c r="G176" s="87">
        <f>VLOOKUP(A176,'Data shares'!$C$2:$CA$216,77,0)</f>
        <v>-0.1709</v>
      </c>
      <c r="H176" s="86">
        <f>VLOOKUP($A176,'Data shares'!$C:$FA,90)</f>
        <v>1908075</v>
      </c>
      <c r="I176" s="86">
        <f>VLOOKUP($A176,'Data shares'!$C:$FA,92)</f>
        <v>-2161350</v>
      </c>
      <c r="J176" s="87">
        <f>VLOOKUP($A176,'Data shares'!$C:$FA,93)</f>
        <v>-0.53110000000000002</v>
      </c>
      <c r="K176" s="86">
        <f>VLOOKUP($A176,'Data shares'!$C:$FA,94)</f>
        <v>878600</v>
      </c>
      <c r="L176" s="86">
        <f>VLOOKUP($A176,'Data shares'!$C:$FA,96)</f>
        <v>-986700</v>
      </c>
      <c r="M176" s="87">
        <f>VLOOKUP($A176,'Data shares'!$C:$FA,97)</f>
        <v>-0.52900000000000003</v>
      </c>
      <c r="N176" s="86">
        <f>VLOOKUP($A176,'Data shares'!$C:$FA,78)</f>
        <v>1654275</v>
      </c>
      <c r="O176" s="87">
        <f>VLOOKUP($A176,'Data shares'!$C:$FA,81)</f>
        <v>-0.54810000000000003</v>
      </c>
    </row>
    <row r="177" spans="1:15" x14ac:dyDescent="0.25">
      <c r="A177" s="100" t="str">
        <f>'Data Vlaue (Cr)'!C172</f>
        <v>PRESTIGE</v>
      </c>
      <c r="B177" s="82">
        <f>VLOOKUP(A177,'Data shares'!$C$2:$CV$216,98,0)</f>
        <v>5799600</v>
      </c>
      <c r="C177" s="82">
        <f>VLOOKUP(A177,'Data shares'!$C$2:$CX$216,100,0)</f>
        <v>-2677050</v>
      </c>
      <c r="D177" s="141">
        <f>VLOOKUP(A177,'Data shares'!$C$2:$CY$539,101,0)</f>
        <v>-0.31580000000000003</v>
      </c>
      <c r="E177" s="86">
        <f>VLOOKUP($A177,'Data shares'!$C:$FA,74)</f>
        <v>5265000</v>
      </c>
      <c r="F177" s="86">
        <f>VLOOKUP($A177,'Data shares'!$C:$FA,76)</f>
        <v>-272700</v>
      </c>
      <c r="G177" s="87">
        <f>VLOOKUP(A177,'Data shares'!$C$2:$CA$216,77,0)</f>
        <v>-4.9200000000000001E-2</v>
      </c>
      <c r="H177" s="86">
        <f>VLOOKUP($A177,'Data shares'!$C:$FA,90)</f>
        <v>258750</v>
      </c>
      <c r="I177" s="86">
        <f>VLOOKUP($A177,'Data shares'!$C:$FA,92)</f>
        <v>-1509300</v>
      </c>
      <c r="J177" s="87">
        <f>VLOOKUP($A177,'Data shares'!$C:$FA,93)</f>
        <v>-0.85370000000000001</v>
      </c>
      <c r="K177" s="86">
        <f>VLOOKUP($A177,'Data shares'!$C:$FA,94)</f>
        <v>275850</v>
      </c>
      <c r="L177" s="86">
        <f>VLOOKUP($A177,'Data shares'!$C:$FA,96)</f>
        <v>-895050</v>
      </c>
      <c r="M177" s="87">
        <f>VLOOKUP($A177,'Data shares'!$C:$FA,97)</f>
        <v>-0.76439999999999997</v>
      </c>
      <c r="N177" s="86">
        <f>VLOOKUP($A177,'Data shares'!$C:$FA,78)</f>
        <v>291600</v>
      </c>
      <c r="O177" s="87">
        <f>VLOOKUP($A177,'Data shares'!$C:$FA,81)</f>
        <v>-0.55369999999999997</v>
      </c>
    </row>
    <row r="178" spans="1:15" x14ac:dyDescent="0.25">
      <c r="A178" s="100" t="str">
        <f>'Data Vlaue (Cr)'!C173</f>
        <v>RBLBANK</v>
      </c>
      <c r="B178" s="82">
        <f>VLOOKUP(A178,'Data shares'!$C$2:$CV$216,98,0)</f>
        <v>83365975</v>
      </c>
      <c r="C178" s="82">
        <f>VLOOKUP(A178,'Data shares'!$C$2:$CX$216,100,0)</f>
        <v>-30502225</v>
      </c>
      <c r="D178" s="141">
        <f>VLOOKUP(A178,'Data shares'!$C$2:$CY$539,101,0)</f>
        <v>-0.26790000000000003</v>
      </c>
      <c r="E178" s="86">
        <f>VLOOKUP($A178,'Data shares'!$C:$FA,74)</f>
        <v>67262375</v>
      </c>
      <c r="F178" s="86">
        <f>VLOOKUP($A178,'Data shares'!$C:$FA,76)</f>
        <v>-7334250</v>
      </c>
      <c r="G178" s="87">
        <f>VLOOKUP(A178,'Data shares'!$C$2:$CA$216,77,0)</f>
        <v>-9.8299999999999998E-2</v>
      </c>
      <c r="H178" s="86">
        <f>VLOOKUP($A178,'Data shares'!$C:$FA,90)</f>
        <v>9896475</v>
      </c>
      <c r="I178" s="86">
        <f>VLOOKUP($A178,'Data shares'!$C:$FA,92)</f>
        <v>-13620750</v>
      </c>
      <c r="J178" s="87">
        <f>VLOOKUP($A178,'Data shares'!$C:$FA,93)</f>
        <v>-0.57920000000000005</v>
      </c>
      <c r="K178" s="86">
        <f>VLOOKUP($A178,'Data shares'!$C:$FA,94)</f>
        <v>6207125</v>
      </c>
      <c r="L178" s="86">
        <f>VLOOKUP($A178,'Data shares'!$C:$FA,96)</f>
        <v>-9547225</v>
      </c>
      <c r="M178" s="87">
        <f>VLOOKUP($A178,'Data shares'!$C:$FA,97)</f>
        <v>-0.60599999999999998</v>
      </c>
      <c r="N178" s="86">
        <f>VLOOKUP($A178,'Data shares'!$C:$FA,78)</f>
        <v>5892800</v>
      </c>
      <c r="O178" s="87">
        <f>VLOOKUP($A178,'Data shares'!$C:$FA,81)</f>
        <v>-0.64659999999999995</v>
      </c>
    </row>
    <row r="179" spans="1:15" x14ac:dyDescent="0.25">
      <c r="A179" s="100" t="str">
        <f>'Data Vlaue (Cr)'!C174</f>
        <v>RECLTD</v>
      </c>
      <c r="B179" s="82">
        <f>VLOOKUP(A179,'Data shares'!$C$2:$CV$216,98,0)</f>
        <v>89981500</v>
      </c>
      <c r="C179" s="82">
        <f>VLOOKUP(A179,'Data shares'!$C$2:$CX$216,100,0)</f>
        <v>-26582675</v>
      </c>
      <c r="D179" s="141">
        <f>VLOOKUP(A179,'Data shares'!$C$2:$CY$539,101,0)</f>
        <v>-0.2281</v>
      </c>
      <c r="E179" s="86">
        <f>VLOOKUP($A179,'Data shares'!$C:$FA,74)</f>
        <v>64734250</v>
      </c>
      <c r="F179" s="86">
        <f>VLOOKUP($A179,'Data shares'!$C:$FA,76)</f>
        <v>-5447400</v>
      </c>
      <c r="G179" s="87">
        <f>VLOOKUP(A179,'Data shares'!$C$2:$CA$216,77,0)</f>
        <v>-7.7600000000000002E-2</v>
      </c>
      <c r="H179" s="86">
        <f>VLOOKUP($A179,'Data shares'!$C:$FA,90)</f>
        <v>13408500</v>
      </c>
      <c r="I179" s="86">
        <f>VLOOKUP($A179,'Data shares'!$C:$FA,92)</f>
        <v>-14724675</v>
      </c>
      <c r="J179" s="87">
        <f>VLOOKUP($A179,'Data shares'!$C:$FA,93)</f>
        <v>-0.52339999999999998</v>
      </c>
      <c r="K179" s="86">
        <f>VLOOKUP($A179,'Data shares'!$C:$FA,94)</f>
        <v>11838750</v>
      </c>
      <c r="L179" s="86">
        <f>VLOOKUP($A179,'Data shares'!$C:$FA,96)</f>
        <v>-6410600</v>
      </c>
      <c r="M179" s="87">
        <f>VLOOKUP($A179,'Data shares'!$C:$FA,97)</f>
        <v>-0.3513</v>
      </c>
      <c r="N179" s="86">
        <f>VLOOKUP($A179,'Data shares'!$C:$FA,78)</f>
        <v>6235600</v>
      </c>
      <c r="O179" s="87">
        <f>VLOOKUP($A179,'Data shares'!$C:$FA,81)</f>
        <v>-0.67630000000000001</v>
      </c>
    </row>
    <row r="180" spans="1:15" x14ac:dyDescent="0.25">
      <c r="A180" s="100" t="str">
        <f>'Data Vlaue (Cr)'!C175</f>
        <v>RELIANCE</v>
      </c>
      <c r="B180" s="82">
        <f>VLOOKUP(A180,'Data shares'!$C$2:$CV$216,98,0)</f>
        <v>170511500</v>
      </c>
      <c r="C180" s="82">
        <f>VLOOKUP(A180,'Data shares'!$C$2:$CX$216,100,0)</f>
        <v>-61303000</v>
      </c>
      <c r="D180" s="141">
        <f>VLOOKUP(A180,'Data shares'!$C$2:$CY$539,101,0)</f>
        <v>-0.26440000000000002</v>
      </c>
      <c r="E180" s="86">
        <f>VLOOKUP($A180,'Data shares'!$C:$FA,74)</f>
        <v>114260000</v>
      </c>
      <c r="F180" s="86">
        <f>VLOOKUP($A180,'Data shares'!$C:$FA,76)</f>
        <v>-5167000</v>
      </c>
      <c r="G180" s="87">
        <f>VLOOKUP(A180,'Data shares'!$C$2:$CA$216,77,0)</f>
        <v>-4.3299999999999998E-2</v>
      </c>
      <c r="H180" s="86">
        <f>VLOOKUP($A180,'Data shares'!$C:$FA,90)</f>
        <v>30180000</v>
      </c>
      <c r="I180" s="86">
        <f>VLOOKUP($A180,'Data shares'!$C:$FA,92)</f>
        <v>-40080000</v>
      </c>
      <c r="J180" s="87">
        <f>VLOOKUP($A180,'Data shares'!$C:$FA,93)</f>
        <v>-0.57050000000000001</v>
      </c>
      <c r="K180" s="86">
        <f>VLOOKUP($A180,'Data shares'!$C:$FA,94)</f>
        <v>26071500</v>
      </c>
      <c r="L180" s="86">
        <f>VLOOKUP($A180,'Data shares'!$C:$FA,96)</f>
        <v>-16056000</v>
      </c>
      <c r="M180" s="87">
        <f>VLOOKUP($A180,'Data shares'!$C:$FA,97)</f>
        <v>-0.38109999999999999</v>
      </c>
      <c r="N180" s="86">
        <f>VLOOKUP($A180,'Data shares'!$C:$FA,78)</f>
        <v>6360500</v>
      </c>
      <c r="O180" s="87">
        <f>VLOOKUP($A180,'Data shares'!$C:$FA,81)</f>
        <v>-0.56410000000000005</v>
      </c>
    </row>
    <row r="181" spans="1:15" x14ac:dyDescent="0.25">
      <c r="A181" s="100" t="str">
        <f>'Data Vlaue (Cr)'!C176</f>
        <v>RVNL</v>
      </c>
      <c r="B181" s="82">
        <f>VLOOKUP(A181,'Data shares'!$C$2:$CV$216,98,0)</f>
        <v>75138475</v>
      </c>
      <c r="C181" s="82">
        <f>VLOOKUP(A181,'Data shares'!$C$2:$CX$216,100,0)</f>
        <v>-17999525</v>
      </c>
      <c r="D181" s="141">
        <f>VLOOKUP(A181,'Data shares'!$C$2:$CY$539,101,0)</f>
        <v>-0.1933</v>
      </c>
      <c r="E181" s="86">
        <f>VLOOKUP($A181,'Data shares'!$C:$FA,74)</f>
        <v>52314575</v>
      </c>
      <c r="F181" s="86">
        <f>VLOOKUP($A181,'Data shares'!$C:$FA,76)</f>
        <v>-3620000</v>
      </c>
      <c r="G181" s="87">
        <f>VLOOKUP(A181,'Data shares'!$C$2:$CA$216,77,0)</f>
        <v>-6.4699999999999994E-2</v>
      </c>
      <c r="H181" s="86">
        <f>VLOOKUP($A181,'Data shares'!$C:$FA,90)</f>
        <v>12909575</v>
      </c>
      <c r="I181" s="86">
        <f>VLOOKUP($A181,'Data shares'!$C:$FA,92)</f>
        <v>-9569600</v>
      </c>
      <c r="J181" s="87">
        <f>VLOOKUP($A181,'Data shares'!$C:$FA,93)</f>
        <v>-0.42570000000000002</v>
      </c>
      <c r="K181" s="86">
        <f>VLOOKUP($A181,'Data shares'!$C:$FA,94)</f>
        <v>9914325</v>
      </c>
      <c r="L181" s="86">
        <f>VLOOKUP($A181,'Data shares'!$C:$FA,96)</f>
        <v>-4809925</v>
      </c>
      <c r="M181" s="87">
        <f>VLOOKUP($A181,'Data shares'!$C:$FA,97)</f>
        <v>-0.32669999999999999</v>
      </c>
      <c r="N181" s="86">
        <f>VLOOKUP($A181,'Data shares'!$C:$FA,78)</f>
        <v>2160925</v>
      </c>
      <c r="O181" s="87">
        <f>VLOOKUP($A181,'Data shares'!$C:$FA,81)</f>
        <v>-0.61909999999999998</v>
      </c>
    </row>
    <row r="182" spans="1:15" x14ac:dyDescent="0.25">
      <c r="A182" s="100" t="str">
        <f>'Data Vlaue (Cr)'!C177</f>
        <v>SAIL</v>
      </c>
      <c r="B182" s="82">
        <f>VLOOKUP(A182,'Data shares'!$C$2:$CV$216,98,0)</f>
        <v>171347900</v>
      </c>
      <c r="C182" s="82">
        <f>VLOOKUP(A182,'Data shares'!$C$2:$CX$216,100,0)</f>
        <v>-20797500</v>
      </c>
      <c r="D182" s="141">
        <f>VLOOKUP(A182,'Data shares'!$C$2:$CY$539,101,0)</f>
        <v>-0.1082</v>
      </c>
      <c r="E182" s="86">
        <f>VLOOKUP($A182,'Data shares'!$C:$FA,74)</f>
        <v>170826200</v>
      </c>
      <c r="F182" s="86">
        <f>VLOOKUP($A182,'Data shares'!$C:$FA,76)</f>
        <v>-6429600</v>
      </c>
      <c r="G182" s="87">
        <f>VLOOKUP(A182,'Data shares'!$C$2:$CA$216,77,0)</f>
        <v>-3.6299999999999999E-2</v>
      </c>
      <c r="H182" s="86">
        <f>VLOOKUP($A182,'Data shares'!$C:$FA,90)</f>
        <v>446500</v>
      </c>
      <c r="I182" s="86">
        <f>VLOOKUP($A182,'Data shares'!$C:$FA,92)</f>
        <v>-8695000</v>
      </c>
      <c r="J182" s="87">
        <f>VLOOKUP($A182,'Data shares'!$C:$FA,93)</f>
        <v>-0.95120000000000005</v>
      </c>
      <c r="K182" s="86">
        <f>VLOOKUP($A182,'Data shares'!$C:$FA,94)</f>
        <v>75200</v>
      </c>
      <c r="L182" s="86">
        <f>VLOOKUP($A182,'Data shares'!$C:$FA,96)</f>
        <v>-5672900</v>
      </c>
      <c r="M182" s="87">
        <f>VLOOKUP($A182,'Data shares'!$C:$FA,97)</f>
        <v>-0.9869</v>
      </c>
      <c r="N182" s="86">
        <f>VLOOKUP($A182,'Data shares'!$C:$FA,78)</f>
        <v>4732900</v>
      </c>
      <c r="O182" s="87">
        <f>VLOOKUP($A182,'Data shares'!$C:$FA,81)</f>
        <v>-0.80330000000000001</v>
      </c>
    </row>
    <row r="183" spans="1:15" x14ac:dyDescent="0.25">
      <c r="A183" s="100" t="str">
        <f>'Data Vlaue (Cr)'!C178</f>
        <v>SAMMAANCAP</v>
      </c>
      <c r="B183" s="82">
        <f>VLOOKUP(A183,'Data shares'!$C$2:$CV$216,98,0)</f>
        <v>112174100</v>
      </c>
      <c r="C183" s="82">
        <f>VLOOKUP(A183,'Data shares'!$C$2:$CX$216,100,0)</f>
        <v>-41834700</v>
      </c>
      <c r="D183" s="141">
        <f>VLOOKUP(A183,'Data shares'!$C$2:$CY$539,101,0)</f>
        <v>-0.27160000000000001</v>
      </c>
      <c r="E183" s="86">
        <f>VLOOKUP($A183,'Data shares'!$C:$FA,74)</f>
        <v>78840500</v>
      </c>
      <c r="F183" s="86">
        <f>VLOOKUP($A183,'Data shares'!$C:$FA,76)</f>
        <v>-10186700</v>
      </c>
      <c r="G183" s="87">
        <f>VLOOKUP(A183,'Data shares'!$C$2:$CA$216,77,0)</f>
        <v>-0.1144</v>
      </c>
      <c r="H183" s="86">
        <f>VLOOKUP($A183,'Data shares'!$C:$FA,90)</f>
        <v>17883700</v>
      </c>
      <c r="I183" s="86">
        <f>VLOOKUP($A183,'Data shares'!$C:$FA,92)</f>
        <v>-11739000</v>
      </c>
      <c r="J183" s="87">
        <f>VLOOKUP($A183,'Data shares'!$C:$FA,93)</f>
        <v>-0.39629999999999999</v>
      </c>
      <c r="K183" s="86">
        <f>VLOOKUP($A183,'Data shares'!$C:$FA,94)</f>
        <v>15449900</v>
      </c>
      <c r="L183" s="86">
        <f>VLOOKUP($A183,'Data shares'!$C:$FA,96)</f>
        <v>-19909000</v>
      </c>
      <c r="M183" s="87">
        <f>VLOOKUP($A183,'Data shares'!$C:$FA,97)</f>
        <v>-0.56310000000000004</v>
      </c>
      <c r="N183" s="86">
        <f>VLOOKUP($A183,'Data shares'!$C:$FA,78)</f>
        <v>8617200</v>
      </c>
      <c r="O183" s="87">
        <f>VLOOKUP($A183,'Data shares'!$C:$FA,81)</f>
        <v>-0.61480000000000001</v>
      </c>
    </row>
    <row r="184" spans="1:15" x14ac:dyDescent="0.25">
      <c r="A184" s="100" t="str">
        <f>'Data Vlaue (Cr)'!C179</f>
        <v>SBICARD</v>
      </c>
      <c r="B184" s="82">
        <f>VLOOKUP(A184,'Data shares'!$C$2:$CV$216,98,0)</f>
        <v>36347200</v>
      </c>
      <c r="C184" s="82">
        <f>VLOOKUP(A184,'Data shares'!$C$2:$CX$216,100,0)</f>
        <v>-7898400</v>
      </c>
      <c r="D184" s="141">
        <f>VLOOKUP(A184,'Data shares'!$C$2:$CY$539,101,0)</f>
        <v>-0.17849999999999999</v>
      </c>
      <c r="E184" s="86">
        <f>VLOOKUP($A184,'Data shares'!$C:$FA,74)</f>
        <v>25964800</v>
      </c>
      <c r="F184" s="86">
        <f>VLOOKUP($A184,'Data shares'!$C:$FA,76)</f>
        <v>-1646400</v>
      </c>
      <c r="G184" s="87">
        <f>VLOOKUP(A184,'Data shares'!$C$2:$CA$216,77,0)</f>
        <v>-5.96E-2</v>
      </c>
      <c r="H184" s="86">
        <f>VLOOKUP($A184,'Data shares'!$C:$FA,90)</f>
        <v>5918400</v>
      </c>
      <c r="I184" s="86">
        <f>VLOOKUP($A184,'Data shares'!$C:$FA,92)</f>
        <v>-4040000</v>
      </c>
      <c r="J184" s="87">
        <f>VLOOKUP($A184,'Data shares'!$C:$FA,93)</f>
        <v>-0.40570000000000001</v>
      </c>
      <c r="K184" s="86">
        <f>VLOOKUP($A184,'Data shares'!$C:$FA,94)</f>
        <v>4464000</v>
      </c>
      <c r="L184" s="86">
        <f>VLOOKUP($A184,'Data shares'!$C:$FA,96)</f>
        <v>-2212000</v>
      </c>
      <c r="M184" s="87">
        <f>VLOOKUP($A184,'Data shares'!$C:$FA,97)</f>
        <v>-0.33129999999999998</v>
      </c>
      <c r="N184" s="86">
        <f>VLOOKUP($A184,'Data shares'!$C:$FA,78)</f>
        <v>786400</v>
      </c>
      <c r="O184" s="87">
        <f>VLOOKUP($A184,'Data shares'!$C:$FA,81)</f>
        <v>-0.7228</v>
      </c>
    </row>
    <row r="185" spans="1:15" x14ac:dyDescent="0.25">
      <c r="A185" s="100" t="str">
        <f>'Data Vlaue (Cr)'!C180</f>
        <v>SBILIFE</v>
      </c>
      <c r="B185" s="82">
        <f>VLOOKUP(A185,'Data shares'!$C$2:$CV$216,98,0)</f>
        <v>9216750</v>
      </c>
      <c r="C185" s="82">
        <f>VLOOKUP(A185,'Data shares'!$C$2:$CX$216,100,0)</f>
        <v>-6176250</v>
      </c>
      <c r="D185" s="141">
        <f>VLOOKUP(A185,'Data shares'!$C$2:$CY$539,101,0)</f>
        <v>-0.4012</v>
      </c>
      <c r="E185" s="86">
        <f>VLOOKUP($A185,'Data shares'!$C:$FA,74)</f>
        <v>8166750</v>
      </c>
      <c r="F185" s="86">
        <f>VLOOKUP($A185,'Data shares'!$C:$FA,76)</f>
        <v>-820125</v>
      </c>
      <c r="G185" s="87">
        <f>VLOOKUP(A185,'Data shares'!$C$2:$CA$216,77,0)</f>
        <v>-9.1300000000000006E-2</v>
      </c>
      <c r="H185" s="86">
        <f>VLOOKUP($A185,'Data shares'!$C:$FA,90)</f>
        <v>615000</v>
      </c>
      <c r="I185" s="86">
        <f>VLOOKUP($A185,'Data shares'!$C:$FA,92)</f>
        <v>-3511875</v>
      </c>
      <c r="J185" s="87">
        <f>VLOOKUP($A185,'Data shares'!$C:$FA,93)</f>
        <v>-0.85099999999999998</v>
      </c>
      <c r="K185" s="86">
        <f>VLOOKUP($A185,'Data shares'!$C:$FA,94)</f>
        <v>435000</v>
      </c>
      <c r="L185" s="86">
        <f>VLOOKUP($A185,'Data shares'!$C:$FA,96)</f>
        <v>-1844250</v>
      </c>
      <c r="M185" s="87">
        <f>VLOOKUP($A185,'Data shares'!$C:$FA,97)</f>
        <v>-0.80910000000000004</v>
      </c>
      <c r="N185" s="86">
        <f>VLOOKUP($A185,'Data shares'!$C:$FA,78)</f>
        <v>1690500</v>
      </c>
      <c r="O185" s="87">
        <f>VLOOKUP($A185,'Data shares'!$C:$FA,81)</f>
        <v>6.6500000000000004E-2</v>
      </c>
    </row>
    <row r="186" spans="1:15" x14ac:dyDescent="0.25">
      <c r="A186" s="100" t="str">
        <f>'Data Vlaue (Cr)'!C181</f>
        <v>SBIN</v>
      </c>
      <c r="B186" s="82">
        <f>VLOOKUP(A186,'Data shares'!$C$2:$CV$216,98,0)</f>
        <v>160166250</v>
      </c>
      <c r="C186" s="82">
        <f>VLOOKUP(A186,'Data shares'!$C$2:$CX$216,100,0)</f>
        <v>-89802000</v>
      </c>
      <c r="D186" s="141">
        <f>VLOOKUP(A186,'Data shares'!$C$2:$CY$539,101,0)</f>
        <v>-0.35930000000000001</v>
      </c>
      <c r="E186" s="86">
        <f>VLOOKUP($A186,'Data shares'!$C:$FA,74)</f>
        <v>99054750</v>
      </c>
      <c r="F186" s="86">
        <f>VLOOKUP($A186,'Data shares'!$C:$FA,76)</f>
        <v>-8749500</v>
      </c>
      <c r="G186" s="87">
        <f>VLOOKUP(A186,'Data shares'!$C$2:$CA$216,77,0)</f>
        <v>-8.1199999999999994E-2</v>
      </c>
      <c r="H186" s="86">
        <f>VLOOKUP($A186,'Data shares'!$C:$FA,90)</f>
        <v>33188250</v>
      </c>
      <c r="I186" s="86">
        <f>VLOOKUP($A186,'Data shares'!$C:$FA,92)</f>
        <v>-56946750</v>
      </c>
      <c r="J186" s="87">
        <f>VLOOKUP($A186,'Data shares'!$C:$FA,93)</f>
        <v>-0.63180000000000003</v>
      </c>
      <c r="K186" s="86">
        <f>VLOOKUP($A186,'Data shares'!$C:$FA,94)</f>
        <v>27923250</v>
      </c>
      <c r="L186" s="86">
        <f>VLOOKUP($A186,'Data shares'!$C:$FA,96)</f>
        <v>-24105750</v>
      </c>
      <c r="M186" s="87">
        <f>VLOOKUP($A186,'Data shares'!$C:$FA,97)</f>
        <v>-0.46329999999999999</v>
      </c>
      <c r="N186" s="86">
        <f>VLOOKUP($A186,'Data shares'!$C:$FA,78)</f>
        <v>11112000</v>
      </c>
      <c r="O186" s="87">
        <f>VLOOKUP($A186,'Data shares'!$C:$FA,81)</f>
        <v>-0.55430000000000001</v>
      </c>
    </row>
    <row r="187" spans="1:15" x14ac:dyDescent="0.25">
      <c r="A187" s="100" t="str">
        <f>'Data Vlaue (Cr)'!C182</f>
        <v>SHREECEM</v>
      </c>
      <c r="B187" s="82">
        <f>VLOOKUP(A187,'Data shares'!$C$2:$CV$216,98,0)</f>
        <v>429375</v>
      </c>
      <c r="C187" s="82">
        <f>VLOOKUP(A187,'Data shares'!$C$2:$CX$216,100,0)</f>
        <v>-80025</v>
      </c>
      <c r="D187" s="141">
        <f>VLOOKUP(A187,'Data shares'!$C$2:$CY$539,101,0)</f>
        <v>-0.15709999999999999</v>
      </c>
      <c r="E187" s="86">
        <f>VLOOKUP($A187,'Data shares'!$C:$FA,74)</f>
        <v>399875</v>
      </c>
      <c r="F187" s="86">
        <f>VLOOKUP($A187,'Data shares'!$C:$FA,76)</f>
        <v>2000</v>
      </c>
      <c r="G187" s="87">
        <f>VLOOKUP(A187,'Data shares'!$C$2:$CA$216,77,0)</f>
        <v>5.0000000000000001E-3</v>
      </c>
      <c r="H187" s="86">
        <f>VLOOKUP($A187,'Data shares'!$C:$FA,90)</f>
        <v>17025</v>
      </c>
      <c r="I187" s="86">
        <f>VLOOKUP($A187,'Data shares'!$C:$FA,92)</f>
        <v>-51475</v>
      </c>
      <c r="J187" s="87">
        <f>VLOOKUP($A187,'Data shares'!$C:$FA,93)</f>
        <v>-0.75149999999999995</v>
      </c>
      <c r="K187" s="86">
        <f>VLOOKUP($A187,'Data shares'!$C:$FA,94)</f>
        <v>12475</v>
      </c>
      <c r="L187" s="86">
        <f>VLOOKUP($A187,'Data shares'!$C:$FA,96)</f>
        <v>-30550</v>
      </c>
      <c r="M187" s="87">
        <f>VLOOKUP($A187,'Data shares'!$C:$FA,97)</f>
        <v>-0.71009999999999995</v>
      </c>
      <c r="N187" s="86">
        <f>VLOOKUP($A187,'Data shares'!$C:$FA,78)</f>
        <v>11300</v>
      </c>
      <c r="O187" s="87">
        <f>VLOOKUP($A187,'Data shares'!$C:$FA,81)</f>
        <v>-0.67600000000000005</v>
      </c>
    </row>
    <row r="188" spans="1:15" x14ac:dyDescent="0.25">
      <c r="A188" s="100" t="str">
        <f>'Data Vlaue (Cr)'!C183</f>
        <v>SHRIRAMFIN</v>
      </c>
      <c r="B188" s="82">
        <f>VLOOKUP(A188,'Data shares'!$C$2:$CV$216,98,0)</f>
        <v>49877025</v>
      </c>
      <c r="C188" s="82">
        <f>VLOOKUP(A188,'Data shares'!$C$2:$CX$216,100,0)</f>
        <v>-18132675</v>
      </c>
      <c r="D188" s="141">
        <f>VLOOKUP(A188,'Data shares'!$C$2:$CY$539,101,0)</f>
        <v>-0.2666</v>
      </c>
      <c r="E188" s="86">
        <f>VLOOKUP($A188,'Data shares'!$C:$FA,74)</f>
        <v>41004975</v>
      </c>
      <c r="F188" s="86">
        <f>VLOOKUP($A188,'Data shares'!$C:$FA,76)</f>
        <v>-2886675</v>
      </c>
      <c r="G188" s="87">
        <f>VLOOKUP(A188,'Data shares'!$C$2:$CA$216,77,0)</f>
        <v>-6.5799999999999997E-2</v>
      </c>
      <c r="H188" s="86">
        <f>VLOOKUP($A188,'Data shares'!$C:$FA,90)</f>
        <v>5006925</v>
      </c>
      <c r="I188" s="86">
        <f>VLOOKUP($A188,'Data shares'!$C:$FA,92)</f>
        <v>-9623625</v>
      </c>
      <c r="J188" s="87">
        <f>VLOOKUP($A188,'Data shares'!$C:$FA,93)</f>
        <v>-0.65780000000000005</v>
      </c>
      <c r="K188" s="86">
        <f>VLOOKUP($A188,'Data shares'!$C:$FA,94)</f>
        <v>3865125</v>
      </c>
      <c r="L188" s="86">
        <f>VLOOKUP($A188,'Data shares'!$C:$FA,96)</f>
        <v>-5622375</v>
      </c>
      <c r="M188" s="87">
        <f>VLOOKUP($A188,'Data shares'!$C:$FA,97)</f>
        <v>-0.59260000000000002</v>
      </c>
      <c r="N188" s="86">
        <f>VLOOKUP($A188,'Data shares'!$C:$FA,78)</f>
        <v>2588025</v>
      </c>
      <c r="O188" s="87">
        <f>VLOOKUP($A188,'Data shares'!$C:$FA,81)</f>
        <v>-0.6653</v>
      </c>
    </row>
    <row r="189" spans="1:15" x14ac:dyDescent="0.25">
      <c r="A189" s="100" t="str">
        <f>'Data Vlaue (Cr)'!C184</f>
        <v>SIEMENS</v>
      </c>
      <c r="B189" s="82">
        <f>VLOOKUP(A189,'Data shares'!$C$2:$CV$216,98,0)</f>
        <v>4861325</v>
      </c>
      <c r="C189" s="82">
        <f>VLOOKUP(A189,'Data shares'!$C$2:$CX$216,100,0)</f>
        <v>-810250</v>
      </c>
      <c r="D189" s="141">
        <f>VLOOKUP(A189,'Data shares'!$C$2:$CY$539,101,0)</f>
        <v>-0.1429</v>
      </c>
      <c r="E189" s="86">
        <f>VLOOKUP($A189,'Data shares'!$C:$FA,74)</f>
        <v>2977275</v>
      </c>
      <c r="F189" s="86">
        <f>VLOOKUP($A189,'Data shares'!$C:$FA,76)</f>
        <v>-170975</v>
      </c>
      <c r="G189" s="87">
        <f>VLOOKUP(A189,'Data shares'!$C$2:$CA$216,77,0)</f>
        <v>-5.4300000000000001E-2</v>
      </c>
      <c r="H189" s="86">
        <f>VLOOKUP($A189,'Data shares'!$C:$FA,90)</f>
        <v>1004850</v>
      </c>
      <c r="I189" s="86">
        <f>VLOOKUP($A189,'Data shares'!$C:$FA,92)</f>
        <v>-449925</v>
      </c>
      <c r="J189" s="87">
        <f>VLOOKUP($A189,'Data shares'!$C:$FA,93)</f>
        <v>-0.30930000000000002</v>
      </c>
      <c r="K189" s="86">
        <f>VLOOKUP($A189,'Data shares'!$C:$FA,94)</f>
        <v>879200</v>
      </c>
      <c r="L189" s="86">
        <f>VLOOKUP($A189,'Data shares'!$C:$FA,96)</f>
        <v>-189350</v>
      </c>
      <c r="M189" s="87">
        <f>VLOOKUP($A189,'Data shares'!$C:$FA,97)</f>
        <v>-0.1772</v>
      </c>
      <c r="N189" s="86">
        <f>VLOOKUP($A189,'Data shares'!$C:$FA,78)</f>
        <v>296450</v>
      </c>
      <c r="O189" s="87">
        <f>VLOOKUP($A189,'Data shares'!$C:$FA,81)</f>
        <v>-0.34620000000000001</v>
      </c>
    </row>
    <row r="190" spans="1:15" x14ac:dyDescent="0.25">
      <c r="A190" s="100" t="str">
        <f>'Data Vlaue (Cr)'!C185</f>
        <v>SOLARINDS</v>
      </c>
      <c r="B190" s="82">
        <f>VLOOKUP(A190,'Data shares'!$C$2:$CV$216,98,0)</f>
        <v>994250</v>
      </c>
      <c r="C190" s="82">
        <f>VLOOKUP(A190,'Data shares'!$C$2:$CX$216,100,0)</f>
        <v>-517450</v>
      </c>
      <c r="D190" s="141">
        <f>VLOOKUP(A190,'Data shares'!$C$2:$CY$539,101,0)</f>
        <v>-0.34229999999999999</v>
      </c>
      <c r="E190" s="86">
        <f>VLOOKUP($A190,'Data shares'!$C:$FA,74)</f>
        <v>767050</v>
      </c>
      <c r="F190" s="86">
        <f>VLOOKUP($A190,'Data shares'!$C:$FA,76)</f>
        <v>-56500</v>
      </c>
      <c r="G190" s="87">
        <f>VLOOKUP(A190,'Data shares'!$C$2:$CA$216,77,0)</f>
        <v>-6.8599999999999994E-2</v>
      </c>
      <c r="H190" s="86">
        <f>VLOOKUP($A190,'Data shares'!$C:$FA,90)</f>
        <v>140450</v>
      </c>
      <c r="I190" s="86">
        <f>VLOOKUP($A190,'Data shares'!$C:$FA,92)</f>
        <v>-224150</v>
      </c>
      <c r="J190" s="87">
        <f>VLOOKUP($A190,'Data shares'!$C:$FA,93)</f>
        <v>-0.61480000000000001</v>
      </c>
      <c r="K190" s="86">
        <f>VLOOKUP($A190,'Data shares'!$C:$FA,94)</f>
        <v>86750</v>
      </c>
      <c r="L190" s="86">
        <f>VLOOKUP($A190,'Data shares'!$C:$FA,96)</f>
        <v>-236800</v>
      </c>
      <c r="M190" s="87">
        <f>VLOOKUP($A190,'Data shares'!$C:$FA,97)</f>
        <v>-0.7319</v>
      </c>
      <c r="N190" s="86">
        <f>VLOOKUP($A190,'Data shares'!$C:$FA,78)</f>
        <v>28550</v>
      </c>
      <c r="O190" s="87">
        <f>VLOOKUP($A190,'Data shares'!$C:$FA,81)</f>
        <v>-0.74660000000000004</v>
      </c>
    </row>
    <row r="191" spans="1:15" x14ac:dyDescent="0.25">
      <c r="A191" s="100" t="str">
        <f>'Data Vlaue (Cr)'!C186</f>
        <v>SONACOMS</v>
      </c>
      <c r="B191" s="82">
        <f>VLOOKUP(A191,'Data shares'!$C$2:$CV$216,98,0)</f>
        <v>18199825</v>
      </c>
      <c r="C191" s="82">
        <f>VLOOKUP(A191,'Data shares'!$C$2:$CX$216,100,0)</f>
        <v>-5107025</v>
      </c>
      <c r="D191" s="141">
        <f>VLOOKUP(A191,'Data shares'!$C$2:$CY$539,101,0)</f>
        <v>-0.21909999999999999</v>
      </c>
      <c r="E191" s="86">
        <f>VLOOKUP($A191,'Data shares'!$C:$FA,74)</f>
        <v>14967050</v>
      </c>
      <c r="F191" s="86">
        <f>VLOOKUP($A191,'Data shares'!$C:$FA,76)</f>
        <v>-256025</v>
      </c>
      <c r="G191" s="87">
        <f>VLOOKUP(A191,'Data shares'!$C$2:$CA$216,77,0)</f>
        <v>-1.6799999999999999E-2</v>
      </c>
      <c r="H191" s="86">
        <f>VLOOKUP($A191,'Data shares'!$C:$FA,90)</f>
        <v>1825250</v>
      </c>
      <c r="I191" s="86">
        <f>VLOOKUP($A191,'Data shares'!$C:$FA,92)</f>
        <v>-3213175</v>
      </c>
      <c r="J191" s="87">
        <f>VLOOKUP($A191,'Data shares'!$C:$FA,93)</f>
        <v>-0.63770000000000004</v>
      </c>
      <c r="K191" s="86">
        <f>VLOOKUP($A191,'Data shares'!$C:$FA,94)</f>
        <v>1407525</v>
      </c>
      <c r="L191" s="86">
        <f>VLOOKUP($A191,'Data shares'!$C:$FA,96)</f>
        <v>-1637825</v>
      </c>
      <c r="M191" s="87">
        <f>VLOOKUP($A191,'Data shares'!$C:$FA,97)</f>
        <v>-0.53779999999999994</v>
      </c>
      <c r="N191" s="86">
        <f>VLOOKUP($A191,'Data shares'!$C:$FA,78)</f>
        <v>863625</v>
      </c>
      <c r="O191" s="87">
        <f>VLOOKUP($A191,'Data shares'!$C:$FA,81)</f>
        <v>-0.66359999999999997</v>
      </c>
    </row>
    <row r="192" spans="1:15" x14ac:dyDescent="0.25">
      <c r="A192" s="100" t="str">
        <f>'Data Vlaue (Cr)'!C187</f>
        <v>SRF</v>
      </c>
      <c r="B192" s="82">
        <f>VLOOKUP(A192,'Data shares'!$C$2:$CV$216,98,0)</f>
        <v>4311400</v>
      </c>
      <c r="C192" s="82">
        <f>VLOOKUP(A192,'Data shares'!$C$2:$CX$216,100,0)</f>
        <v>-2652200</v>
      </c>
      <c r="D192" s="141">
        <f>VLOOKUP(A192,'Data shares'!$C$2:$CY$539,101,0)</f>
        <v>-0.38090000000000002</v>
      </c>
      <c r="E192" s="86">
        <f>VLOOKUP($A192,'Data shares'!$C:$FA,74)</f>
        <v>3419200</v>
      </c>
      <c r="F192" s="86">
        <f>VLOOKUP($A192,'Data shares'!$C:$FA,76)</f>
        <v>-772200</v>
      </c>
      <c r="G192" s="87">
        <f>VLOOKUP(A192,'Data shares'!$C$2:$CA$216,77,0)</f>
        <v>-0.1842</v>
      </c>
      <c r="H192" s="86">
        <f>VLOOKUP($A192,'Data shares'!$C:$FA,90)</f>
        <v>564400</v>
      </c>
      <c r="I192" s="86">
        <f>VLOOKUP($A192,'Data shares'!$C:$FA,92)</f>
        <v>-1003200</v>
      </c>
      <c r="J192" s="87">
        <f>VLOOKUP($A192,'Data shares'!$C:$FA,93)</f>
        <v>-0.64</v>
      </c>
      <c r="K192" s="86">
        <f>VLOOKUP($A192,'Data shares'!$C:$FA,94)</f>
        <v>327800</v>
      </c>
      <c r="L192" s="86">
        <f>VLOOKUP($A192,'Data shares'!$C:$FA,96)</f>
        <v>-876800</v>
      </c>
      <c r="M192" s="87">
        <f>VLOOKUP($A192,'Data shares'!$C:$FA,97)</f>
        <v>-0.72789999999999999</v>
      </c>
      <c r="N192" s="86">
        <f>VLOOKUP($A192,'Data shares'!$C:$FA,78)</f>
        <v>640200</v>
      </c>
      <c r="O192" s="87">
        <f>VLOOKUP($A192,'Data shares'!$C:$FA,81)</f>
        <v>-0.30759999999999998</v>
      </c>
    </row>
    <row r="193" spans="1:15" x14ac:dyDescent="0.25">
      <c r="A193" s="100" t="str">
        <f>'Data Vlaue (Cr)'!C188</f>
        <v>SUNPHARMA</v>
      </c>
      <c r="B193" s="82">
        <f>VLOOKUP(A193,'Data shares'!$C$2:$CV$216,98,0)</f>
        <v>31971450</v>
      </c>
      <c r="C193" s="82">
        <f>VLOOKUP(A193,'Data shares'!$C$2:$CX$216,100,0)</f>
        <v>-25410700</v>
      </c>
      <c r="D193" s="141">
        <f>VLOOKUP(A193,'Data shares'!$C$2:$CY$539,101,0)</f>
        <v>-0.44280000000000003</v>
      </c>
      <c r="E193" s="86">
        <f>VLOOKUP($A193,'Data shares'!$C:$FA,74)</f>
        <v>23211650</v>
      </c>
      <c r="F193" s="86">
        <f>VLOOKUP($A193,'Data shares'!$C:$FA,76)</f>
        <v>-3636150</v>
      </c>
      <c r="G193" s="87">
        <f>VLOOKUP(A193,'Data shares'!$C$2:$CA$216,77,0)</f>
        <v>-0.13539999999999999</v>
      </c>
      <c r="H193" s="86">
        <f>VLOOKUP($A193,'Data shares'!$C:$FA,90)</f>
        <v>4523400</v>
      </c>
      <c r="I193" s="86">
        <f>VLOOKUP($A193,'Data shares'!$C:$FA,92)</f>
        <v>-14304150</v>
      </c>
      <c r="J193" s="87">
        <f>VLOOKUP($A193,'Data shares'!$C:$FA,93)</f>
        <v>-0.75970000000000004</v>
      </c>
      <c r="K193" s="86">
        <f>VLOOKUP($A193,'Data shares'!$C:$FA,94)</f>
        <v>4236400</v>
      </c>
      <c r="L193" s="86">
        <f>VLOOKUP($A193,'Data shares'!$C:$FA,96)</f>
        <v>-7470400</v>
      </c>
      <c r="M193" s="87">
        <f>VLOOKUP($A193,'Data shares'!$C:$FA,97)</f>
        <v>-0.6381</v>
      </c>
      <c r="N193" s="86">
        <f>VLOOKUP($A193,'Data shares'!$C:$FA,78)</f>
        <v>3679550</v>
      </c>
      <c r="O193" s="87">
        <f>VLOOKUP($A193,'Data shares'!$C:$FA,81)</f>
        <v>-0.17080000000000001</v>
      </c>
    </row>
    <row r="194" spans="1:15" x14ac:dyDescent="0.25">
      <c r="A194" s="100" t="str">
        <f>'Data Vlaue (Cr)'!C189</f>
        <v>SUPREMEIND</v>
      </c>
      <c r="B194" s="82">
        <f>VLOOKUP(A194,'Data shares'!$C$2:$CV$216,98,0)</f>
        <v>2310000</v>
      </c>
      <c r="C194" s="82">
        <f>VLOOKUP(A194,'Data shares'!$C$2:$CX$216,100,0)</f>
        <v>-1252825</v>
      </c>
      <c r="D194" s="141">
        <f>VLOOKUP(A194,'Data shares'!$C$2:$CY$539,101,0)</f>
        <v>-0.35160000000000002</v>
      </c>
      <c r="E194" s="86">
        <f>VLOOKUP($A194,'Data shares'!$C:$FA,74)</f>
        <v>2092125</v>
      </c>
      <c r="F194" s="86">
        <f>VLOOKUP($A194,'Data shares'!$C:$FA,76)</f>
        <v>-77700</v>
      </c>
      <c r="G194" s="87">
        <f>VLOOKUP(A194,'Data shares'!$C$2:$CA$216,77,0)</f>
        <v>-3.5799999999999998E-2</v>
      </c>
      <c r="H194" s="86">
        <f>VLOOKUP($A194,'Data shares'!$C:$FA,90)</f>
        <v>107625</v>
      </c>
      <c r="I194" s="86">
        <f>VLOOKUP($A194,'Data shares'!$C:$FA,92)</f>
        <v>-877625</v>
      </c>
      <c r="J194" s="87">
        <f>VLOOKUP($A194,'Data shares'!$C:$FA,93)</f>
        <v>-0.89080000000000004</v>
      </c>
      <c r="K194" s="86">
        <f>VLOOKUP($A194,'Data shares'!$C:$FA,94)</f>
        <v>110250</v>
      </c>
      <c r="L194" s="86">
        <f>VLOOKUP($A194,'Data shares'!$C:$FA,96)</f>
        <v>-297500</v>
      </c>
      <c r="M194" s="87">
        <f>VLOOKUP($A194,'Data shares'!$C:$FA,97)</f>
        <v>-0.72960000000000003</v>
      </c>
      <c r="N194" s="86">
        <f>VLOOKUP($A194,'Data shares'!$C:$FA,78)</f>
        <v>130725</v>
      </c>
      <c r="O194" s="87">
        <f>VLOOKUP($A194,'Data shares'!$C:$FA,81)</f>
        <v>-0.57189999999999996</v>
      </c>
    </row>
    <row r="195" spans="1:15" x14ac:dyDescent="0.25">
      <c r="A195" s="100" t="str">
        <f>'Data Vlaue (Cr)'!C190</f>
        <v>SUZLON</v>
      </c>
      <c r="B195" s="82">
        <f>VLOOKUP(A195,'Data shares'!$C$2:$CV$216,98,0)</f>
        <v>460059625</v>
      </c>
      <c r="C195" s="82">
        <f>VLOOKUP(A195,'Data shares'!$C$2:$CX$216,100,0)</f>
        <v>-158154900</v>
      </c>
      <c r="D195" s="141">
        <f>VLOOKUP(A195,'Data shares'!$C$2:$CY$539,101,0)</f>
        <v>-0.25580000000000003</v>
      </c>
      <c r="E195" s="86">
        <f>VLOOKUP($A195,'Data shares'!$C:$FA,74)</f>
        <v>329435125</v>
      </c>
      <c r="F195" s="86">
        <f>VLOOKUP($A195,'Data shares'!$C:$FA,76)</f>
        <v>-14632325</v>
      </c>
      <c r="G195" s="87">
        <f>VLOOKUP(A195,'Data shares'!$C$2:$CA$216,77,0)</f>
        <v>-4.2500000000000003E-2</v>
      </c>
      <c r="H195" s="86">
        <f>VLOOKUP($A195,'Data shares'!$C:$FA,90)</f>
        <v>82817075</v>
      </c>
      <c r="I195" s="86">
        <f>VLOOKUP($A195,'Data shares'!$C:$FA,92)</f>
        <v>-97836350</v>
      </c>
      <c r="J195" s="87">
        <f>VLOOKUP($A195,'Data shares'!$C:$FA,93)</f>
        <v>-0.54159999999999997</v>
      </c>
      <c r="K195" s="86">
        <f>VLOOKUP($A195,'Data shares'!$C:$FA,94)</f>
        <v>47807425</v>
      </c>
      <c r="L195" s="86">
        <f>VLOOKUP($A195,'Data shares'!$C:$FA,96)</f>
        <v>-45686225</v>
      </c>
      <c r="M195" s="87">
        <f>VLOOKUP($A195,'Data shares'!$C:$FA,97)</f>
        <v>-0.48870000000000002</v>
      </c>
      <c r="N195" s="86">
        <f>VLOOKUP($A195,'Data shares'!$C:$FA,78)</f>
        <v>15152975</v>
      </c>
      <c r="O195" s="87">
        <f>VLOOKUP($A195,'Data shares'!$C:$FA,81)</f>
        <v>-0.65500000000000003</v>
      </c>
    </row>
    <row r="196" spans="1:15" x14ac:dyDescent="0.25">
      <c r="A196" s="100" t="str">
        <f>'Data Vlaue (Cr)'!C191</f>
        <v>SWIGGY</v>
      </c>
      <c r="B196" s="82">
        <f>VLOOKUP(A196,'Data shares'!$C$2:$CV$216,98,0)</f>
        <v>50881275</v>
      </c>
      <c r="C196" s="82">
        <f>VLOOKUP(A196,'Data shares'!$C$2:$CX$216,100,0)</f>
        <v>-21296525</v>
      </c>
      <c r="D196" s="141">
        <f>VLOOKUP(A196,'Data shares'!$C$2:$CY$539,101,0)</f>
        <v>-0.29509999999999997</v>
      </c>
      <c r="E196" s="86">
        <f>VLOOKUP($A196,'Data shares'!$C:$FA,74)</f>
        <v>43264025</v>
      </c>
      <c r="F196" s="86">
        <f>VLOOKUP($A196,'Data shares'!$C:$FA,76)</f>
        <v>-5764125</v>
      </c>
      <c r="G196" s="87">
        <f>VLOOKUP(A196,'Data shares'!$C$2:$CA$216,77,0)</f>
        <v>-0.1176</v>
      </c>
      <c r="H196" s="86">
        <f>VLOOKUP($A196,'Data shares'!$C:$FA,90)</f>
        <v>5416325</v>
      </c>
      <c r="I196" s="86">
        <f>VLOOKUP($A196,'Data shares'!$C:$FA,92)</f>
        <v>-11495900</v>
      </c>
      <c r="J196" s="87">
        <f>VLOOKUP($A196,'Data shares'!$C:$FA,93)</f>
        <v>-0.67969999999999997</v>
      </c>
      <c r="K196" s="86">
        <f>VLOOKUP($A196,'Data shares'!$C:$FA,94)</f>
        <v>2200925</v>
      </c>
      <c r="L196" s="86">
        <f>VLOOKUP($A196,'Data shares'!$C:$FA,96)</f>
        <v>-4036500</v>
      </c>
      <c r="M196" s="87">
        <f>VLOOKUP($A196,'Data shares'!$C:$FA,97)</f>
        <v>-0.64710000000000001</v>
      </c>
      <c r="N196" s="86">
        <f>VLOOKUP($A196,'Data shares'!$C:$FA,78)</f>
        <v>6698900</v>
      </c>
      <c r="O196" s="87">
        <f>VLOOKUP($A196,'Data shares'!$C:$FA,81)</f>
        <v>-0.32819999999999999</v>
      </c>
    </row>
    <row r="197" spans="1:15" x14ac:dyDescent="0.25">
      <c r="A197" s="100" t="str">
        <f>'Data Vlaue (Cr)'!C192</f>
        <v>TATACONSUM</v>
      </c>
      <c r="B197" s="82">
        <f>VLOOKUP(A197,'Data shares'!$C$2:$CV$216,98,0)</f>
        <v>17134700</v>
      </c>
      <c r="C197" s="82">
        <f>VLOOKUP(A197,'Data shares'!$C$2:$CX$216,100,0)</f>
        <v>-6184200</v>
      </c>
      <c r="D197" s="141">
        <f>VLOOKUP(A197,'Data shares'!$C$2:$CY$539,101,0)</f>
        <v>-0.26519999999999999</v>
      </c>
      <c r="E197" s="86">
        <f>VLOOKUP($A197,'Data shares'!$C:$FA,74)</f>
        <v>15092000</v>
      </c>
      <c r="F197" s="86">
        <f>VLOOKUP($A197,'Data shares'!$C:$FA,76)</f>
        <v>-378950</v>
      </c>
      <c r="G197" s="87">
        <f>VLOOKUP(A197,'Data shares'!$C$2:$CA$216,77,0)</f>
        <v>-2.4500000000000001E-2</v>
      </c>
      <c r="H197" s="86">
        <f>VLOOKUP($A197,'Data shares'!$C:$FA,90)</f>
        <v>1141250</v>
      </c>
      <c r="I197" s="86">
        <f>VLOOKUP($A197,'Data shares'!$C:$FA,92)</f>
        <v>-3570600</v>
      </c>
      <c r="J197" s="87">
        <f>VLOOKUP($A197,'Data shares'!$C:$FA,93)</f>
        <v>-0.75780000000000003</v>
      </c>
      <c r="K197" s="86">
        <f>VLOOKUP($A197,'Data shares'!$C:$FA,94)</f>
        <v>901450</v>
      </c>
      <c r="L197" s="86">
        <f>VLOOKUP($A197,'Data shares'!$C:$FA,96)</f>
        <v>-2234650</v>
      </c>
      <c r="M197" s="87">
        <f>VLOOKUP($A197,'Data shares'!$C:$FA,97)</f>
        <v>-0.71260000000000001</v>
      </c>
      <c r="N197" s="86">
        <f>VLOOKUP($A197,'Data shares'!$C:$FA,78)</f>
        <v>799150</v>
      </c>
      <c r="O197" s="87">
        <f>VLOOKUP($A197,'Data shares'!$C:$FA,81)</f>
        <v>-0.66369999999999996</v>
      </c>
    </row>
    <row r="198" spans="1:15" x14ac:dyDescent="0.25">
      <c r="A198" s="100" t="str">
        <f>'Data Vlaue (Cr)'!C193</f>
        <v>TATAELXSI</v>
      </c>
      <c r="B198" s="82">
        <f>VLOOKUP(A198,'Data shares'!$C$2:$CV$216,98,0)</f>
        <v>2428825</v>
      </c>
      <c r="C198" s="82">
        <f>VLOOKUP(A198,'Data shares'!$C$2:$CX$216,100,0)</f>
        <v>-1372325</v>
      </c>
      <c r="D198" s="141">
        <f>VLOOKUP(A198,'Data shares'!$C$2:$CY$539,101,0)</f>
        <v>-0.36099999999999999</v>
      </c>
      <c r="E198" s="86">
        <f>VLOOKUP($A198,'Data shares'!$C:$FA,74)</f>
        <v>1874450</v>
      </c>
      <c r="F198" s="86">
        <f>VLOOKUP($A198,'Data shares'!$C:$FA,76)</f>
        <v>-277025</v>
      </c>
      <c r="G198" s="87">
        <f>VLOOKUP(A198,'Data shares'!$C$2:$CA$216,77,0)</f>
        <v>-0.1288</v>
      </c>
      <c r="H198" s="86">
        <f>VLOOKUP($A198,'Data shares'!$C:$FA,90)</f>
        <v>324550</v>
      </c>
      <c r="I198" s="86">
        <f>VLOOKUP($A198,'Data shares'!$C:$FA,92)</f>
        <v>-770900</v>
      </c>
      <c r="J198" s="87">
        <f>VLOOKUP($A198,'Data shares'!$C:$FA,93)</f>
        <v>-0.70369999999999999</v>
      </c>
      <c r="K198" s="86">
        <f>VLOOKUP($A198,'Data shares'!$C:$FA,94)</f>
        <v>229825</v>
      </c>
      <c r="L198" s="86">
        <f>VLOOKUP($A198,'Data shares'!$C:$FA,96)</f>
        <v>-324400</v>
      </c>
      <c r="M198" s="87">
        <f>VLOOKUP($A198,'Data shares'!$C:$FA,97)</f>
        <v>-0.58530000000000004</v>
      </c>
      <c r="N198" s="86">
        <f>VLOOKUP($A198,'Data shares'!$C:$FA,78)</f>
        <v>140100</v>
      </c>
      <c r="O198" s="87">
        <f>VLOOKUP($A198,'Data shares'!$C:$FA,81)</f>
        <v>-0.46589999999999998</v>
      </c>
    </row>
    <row r="199" spans="1:15" x14ac:dyDescent="0.25">
      <c r="A199" s="100" t="str">
        <f>'Data Vlaue (Cr)'!C194</f>
        <v>TATAPOWER</v>
      </c>
      <c r="B199" s="82">
        <f>VLOOKUP(A199,'Data shares'!$C$2:$CV$216,98,0)</f>
        <v>90793200</v>
      </c>
      <c r="C199" s="82">
        <f>VLOOKUP(A199,'Data shares'!$C$2:$CX$216,100,0)</f>
        <v>-31235900</v>
      </c>
      <c r="D199" s="141">
        <f>VLOOKUP(A199,'Data shares'!$C$2:$CY$539,101,0)</f>
        <v>-0.25600000000000001</v>
      </c>
      <c r="E199" s="86">
        <f>VLOOKUP($A199,'Data shares'!$C:$FA,74)</f>
        <v>58928000</v>
      </c>
      <c r="F199" s="86">
        <f>VLOOKUP($A199,'Data shares'!$C:$FA,76)</f>
        <v>-2253300</v>
      </c>
      <c r="G199" s="87">
        <f>VLOOKUP(A199,'Data shares'!$C$2:$CA$216,77,0)</f>
        <v>-3.6799999999999999E-2</v>
      </c>
      <c r="H199" s="86">
        <f>VLOOKUP($A199,'Data shares'!$C:$FA,90)</f>
        <v>19147250</v>
      </c>
      <c r="I199" s="86">
        <f>VLOOKUP($A199,'Data shares'!$C:$FA,92)</f>
        <v>-19695350</v>
      </c>
      <c r="J199" s="87">
        <f>VLOOKUP($A199,'Data shares'!$C:$FA,93)</f>
        <v>-0.5071</v>
      </c>
      <c r="K199" s="86">
        <f>VLOOKUP($A199,'Data shares'!$C:$FA,94)</f>
        <v>12717950</v>
      </c>
      <c r="L199" s="86">
        <f>VLOOKUP($A199,'Data shares'!$C:$FA,96)</f>
        <v>-9287250</v>
      </c>
      <c r="M199" s="87">
        <f>VLOOKUP($A199,'Data shares'!$C:$FA,97)</f>
        <v>-0.42199999999999999</v>
      </c>
      <c r="N199" s="86">
        <f>VLOOKUP($A199,'Data shares'!$C:$FA,78)</f>
        <v>8769600</v>
      </c>
      <c r="O199" s="87">
        <f>VLOOKUP($A199,'Data shares'!$C:$FA,81)</f>
        <v>-0.32479999999999998</v>
      </c>
    </row>
    <row r="200" spans="1:15" x14ac:dyDescent="0.25">
      <c r="A200" s="100" t="str">
        <f>'Data Vlaue (Cr)'!C195</f>
        <v>TATASTEEL</v>
      </c>
      <c r="B200" s="82">
        <f>VLOOKUP(A200,'Data shares'!$C$2:$CV$216,98,0)</f>
        <v>264448250</v>
      </c>
      <c r="C200" s="82">
        <f>VLOOKUP(A200,'Data shares'!$C$2:$CX$216,100,0)</f>
        <v>-134241250</v>
      </c>
      <c r="D200" s="141">
        <f>VLOOKUP(A200,'Data shares'!$C$2:$CY$539,101,0)</f>
        <v>-0.3367</v>
      </c>
      <c r="E200" s="86">
        <f>VLOOKUP($A200,'Data shares'!$C:$FA,74)</f>
        <v>191721750</v>
      </c>
      <c r="F200" s="86">
        <f>VLOOKUP($A200,'Data shares'!$C:$FA,76)</f>
        <v>-14786750</v>
      </c>
      <c r="G200" s="87">
        <f>VLOOKUP(A200,'Data shares'!$C$2:$CA$216,77,0)</f>
        <v>-7.1599999999999997E-2</v>
      </c>
      <c r="H200" s="86">
        <f>VLOOKUP($A200,'Data shares'!$C:$FA,90)</f>
        <v>45523500</v>
      </c>
      <c r="I200" s="86">
        <f>VLOOKUP($A200,'Data shares'!$C:$FA,92)</f>
        <v>-74373750</v>
      </c>
      <c r="J200" s="87">
        <f>VLOOKUP($A200,'Data shares'!$C:$FA,93)</f>
        <v>-0.62029999999999996</v>
      </c>
      <c r="K200" s="86">
        <f>VLOOKUP($A200,'Data shares'!$C:$FA,94)</f>
        <v>27203000</v>
      </c>
      <c r="L200" s="86">
        <f>VLOOKUP($A200,'Data shares'!$C:$FA,96)</f>
        <v>-45080750</v>
      </c>
      <c r="M200" s="87">
        <f>VLOOKUP($A200,'Data shares'!$C:$FA,97)</f>
        <v>-0.62370000000000003</v>
      </c>
      <c r="N200" s="86">
        <f>VLOOKUP($A200,'Data shares'!$C:$FA,78)</f>
        <v>25792250</v>
      </c>
      <c r="O200" s="87">
        <f>VLOOKUP($A200,'Data shares'!$C:$FA,81)</f>
        <v>-0.25369999999999998</v>
      </c>
    </row>
    <row r="201" spans="1:15" x14ac:dyDescent="0.25">
      <c r="A201" s="100" t="str">
        <f>'Data Vlaue (Cr)'!C196</f>
        <v>TCS</v>
      </c>
      <c r="B201" s="82">
        <f>VLOOKUP(A201,'Data shares'!$C$2:$CV$216,98,0)</f>
        <v>55335850</v>
      </c>
      <c r="C201" s="82">
        <f>VLOOKUP(A201,'Data shares'!$C$2:$CX$216,100,0)</f>
        <v>-21790600</v>
      </c>
      <c r="D201" s="141">
        <f>VLOOKUP(A201,'Data shares'!$C$2:$CY$539,101,0)</f>
        <v>-0.28249999999999997</v>
      </c>
      <c r="E201" s="86">
        <f>VLOOKUP($A201,'Data shares'!$C:$FA,74)</f>
        <v>40967925</v>
      </c>
      <c r="F201" s="86">
        <f>VLOOKUP($A201,'Data shares'!$C:$FA,76)</f>
        <v>-4966725</v>
      </c>
      <c r="G201" s="87">
        <f>VLOOKUP(A201,'Data shares'!$C$2:$CA$216,77,0)</f>
        <v>-0.1081</v>
      </c>
      <c r="H201" s="86">
        <f>VLOOKUP($A201,'Data shares'!$C:$FA,90)</f>
        <v>7363825</v>
      </c>
      <c r="I201" s="86">
        <f>VLOOKUP($A201,'Data shares'!$C:$FA,92)</f>
        <v>-11046675</v>
      </c>
      <c r="J201" s="87">
        <f>VLOOKUP($A201,'Data shares'!$C:$FA,93)</f>
        <v>-0.6</v>
      </c>
      <c r="K201" s="86">
        <f>VLOOKUP($A201,'Data shares'!$C:$FA,94)</f>
        <v>7004100</v>
      </c>
      <c r="L201" s="86">
        <f>VLOOKUP($A201,'Data shares'!$C:$FA,96)</f>
        <v>-5777200</v>
      </c>
      <c r="M201" s="87">
        <f>VLOOKUP($A201,'Data shares'!$C:$FA,97)</f>
        <v>-0.45200000000000001</v>
      </c>
      <c r="N201" s="86">
        <f>VLOOKUP($A201,'Data shares'!$C:$FA,78)</f>
        <v>3077900</v>
      </c>
      <c r="O201" s="87">
        <f>VLOOKUP($A201,'Data shares'!$C:$FA,81)</f>
        <v>-0.43020000000000003</v>
      </c>
    </row>
    <row r="202" spans="1:15" x14ac:dyDescent="0.25">
      <c r="A202" s="100" t="str">
        <f>'Data Vlaue (Cr)'!C197</f>
        <v>TECHM</v>
      </c>
      <c r="B202" s="82">
        <f>VLOOKUP(A202,'Data shares'!$C$2:$CV$216,98,0)</f>
        <v>22794600</v>
      </c>
      <c r="C202" s="82">
        <f>VLOOKUP(A202,'Data shares'!$C$2:$CX$216,100,0)</f>
        <v>-12482400</v>
      </c>
      <c r="D202" s="141">
        <f>VLOOKUP(A202,'Data shares'!$C$2:$CY$539,101,0)</f>
        <v>-0.3538</v>
      </c>
      <c r="E202" s="86">
        <f>VLOOKUP($A202,'Data shares'!$C:$FA,74)</f>
        <v>18333600</v>
      </c>
      <c r="F202" s="86">
        <f>VLOOKUP($A202,'Data shares'!$C:$FA,76)</f>
        <v>-730800</v>
      </c>
      <c r="G202" s="87">
        <f>VLOOKUP(A202,'Data shares'!$C$2:$CA$216,77,0)</f>
        <v>-3.8300000000000001E-2</v>
      </c>
      <c r="H202" s="86">
        <f>VLOOKUP($A202,'Data shares'!$C:$FA,90)</f>
        <v>2473200</v>
      </c>
      <c r="I202" s="86">
        <f>VLOOKUP($A202,'Data shares'!$C:$FA,92)</f>
        <v>-7488000</v>
      </c>
      <c r="J202" s="87">
        <f>VLOOKUP($A202,'Data shares'!$C:$FA,93)</f>
        <v>-0.75170000000000003</v>
      </c>
      <c r="K202" s="86">
        <f>VLOOKUP($A202,'Data shares'!$C:$FA,94)</f>
        <v>1987800</v>
      </c>
      <c r="L202" s="86">
        <f>VLOOKUP($A202,'Data shares'!$C:$FA,96)</f>
        <v>-4263600</v>
      </c>
      <c r="M202" s="87">
        <f>VLOOKUP($A202,'Data shares'!$C:$FA,97)</f>
        <v>-0.68200000000000005</v>
      </c>
      <c r="N202" s="86">
        <f>VLOOKUP($A202,'Data shares'!$C:$FA,78)</f>
        <v>1281000</v>
      </c>
      <c r="O202" s="87">
        <f>VLOOKUP($A202,'Data shares'!$C:$FA,81)</f>
        <v>-0.55159999999999998</v>
      </c>
    </row>
    <row r="203" spans="1:15" x14ac:dyDescent="0.25">
      <c r="A203" s="100" t="str">
        <f>'Data Vlaue (Cr)'!C198</f>
        <v>TIINDIA</v>
      </c>
      <c r="B203" s="82">
        <f>VLOOKUP(A203,'Data shares'!$C$2:$CV$216,98,0)</f>
        <v>2470000</v>
      </c>
      <c r="C203" s="82">
        <f>VLOOKUP(A203,'Data shares'!$C$2:$CX$216,100,0)</f>
        <v>-984800</v>
      </c>
      <c r="D203" s="141">
        <f>VLOOKUP(A203,'Data shares'!$C$2:$CY$539,101,0)</f>
        <v>-0.28510000000000002</v>
      </c>
      <c r="E203" s="86">
        <f>VLOOKUP($A203,'Data shares'!$C:$FA,74)</f>
        <v>2237400</v>
      </c>
      <c r="F203" s="86">
        <f>VLOOKUP($A203,'Data shares'!$C:$FA,76)</f>
        <v>-55400</v>
      </c>
      <c r="G203" s="87">
        <f>VLOOKUP(A203,'Data shares'!$C$2:$CA$216,77,0)</f>
        <v>-2.4199999999999999E-2</v>
      </c>
      <c r="H203" s="86">
        <f>VLOOKUP($A203,'Data shares'!$C:$FA,90)</f>
        <v>130000</v>
      </c>
      <c r="I203" s="86">
        <f>VLOOKUP($A203,'Data shares'!$C:$FA,92)</f>
        <v>-591000</v>
      </c>
      <c r="J203" s="87">
        <f>VLOOKUP($A203,'Data shares'!$C:$FA,93)</f>
        <v>-0.81969999999999998</v>
      </c>
      <c r="K203" s="86">
        <f>VLOOKUP($A203,'Data shares'!$C:$FA,94)</f>
        <v>102600</v>
      </c>
      <c r="L203" s="86">
        <f>VLOOKUP($A203,'Data shares'!$C:$FA,96)</f>
        <v>-338400</v>
      </c>
      <c r="M203" s="87">
        <f>VLOOKUP($A203,'Data shares'!$C:$FA,97)</f>
        <v>-0.76729999999999998</v>
      </c>
      <c r="N203" s="86">
        <f>VLOOKUP($A203,'Data shares'!$C:$FA,78)</f>
        <v>44800</v>
      </c>
      <c r="O203" s="87">
        <f>VLOOKUP($A203,'Data shares'!$C:$FA,81)</f>
        <v>-0.50770000000000004</v>
      </c>
    </row>
    <row r="204" spans="1:15" x14ac:dyDescent="0.25">
      <c r="A204" s="100" t="str">
        <f>'Data Vlaue (Cr)'!C199</f>
        <v>TITAN</v>
      </c>
      <c r="B204" s="82">
        <f>VLOOKUP(A204,'Data shares'!$C$2:$CV$216,98,0)</f>
        <v>10336025</v>
      </c>
      <c r="C204" s="82">
        <f>VLOOKUP(A204,'Data shares'!$C$2:$CX$216,100,0)</f>
        <v>-6554800</v>
      </c>
      <c r="D204" s="141">
        <f>VLOOKUP(A204,'Data shares'!$C$2:$CY$539,101,0)</f>
        <v>-0.3881</v>
      </c>
      <c r="E204" s="86">
        <f>VLOOKUP($A204,'Data shares'!$C:$FA,74)</f>
        <v>7994875</v>
      </c>
      <c r="F204" s="86">
        <f>VLOOKUP($A204,'Data shares'!$C:$FA,76)</f>
        <v>-640500</v>
      </c>
      <c r="G204" s="87">
        <f>VLOOKUP(A204,'Data shares'!$C$2:$CA$216,77,0)</f>
        <v>-7.4200000000000002E-2</v>
      </c>
      <c r="H204" s="86">
        <f>VLOOKUP($A204,'Data shares'!$C:$FA,90)</f>
        <v>1330000</v>
      </c>
      <c r="I204" s="86">
        <f>VLOOKUP($A204,'Data shares'!$C:$FA,92)</f>
        <v>-3914750</v>
      </c>
      <c r="J204" s="87">
        <f>VLOOKUP($A204,'Data shares'!$C:$FA,93)</f>
        <v>-0.74639999999999995</v>
      </c>
      <c r="K204" s="86">
        <f>VLOOKUP($A204,'Data shares'!$C:$FA,94)</f>
        <v>1011150</v>
      </c>
      <c r="L204" s="86">
        <f>VLOOKUP($A204,'Data shares'!$C:$FA,96)</f>
        <v>-1999550</v>
      </c>
      <c r="M204" s="87">
        <f>VLOOKUP($A204,'Data shares'!$C:$FA,97)</f>
        <v>-0.66410000000000002</v>
      </c>
      <c r="N204" s="86">
        <f>VLOOKUP($A204,'Data shares'!$C:$FA,78)</f>
        <v>730800</v>
      </c>
      <c r="O204" s="87">
        <f>VLOOKUP($A204,'Data shares'!$C:$FA,81)</f>
        <v>-0.49780000000000002</v>
      </c>
    </row>
    <row r="205" spans="1:15" x14ac:dyDescent="0.25">
      <c r="A205" s="100" t="str">
        <f>'Data Vlaue (Cr)'!C200</f>
        <v>TMPV</v>
      </c>
      <c r="B205" s="82">
        <f>VLOOKUP(A205,'Data shares'!$C$2:$CV$216,98,0)</f>
        <v>104730400</v>
      </c>
      <c r="C205" s="82">
        <f>VLOOKUP(A205,'Data shares'!$C$2:$CX$216,100,0)</f>
        <v>-63079200</v>
      </c>
      <c r="D205" s="141">
        <f>VLOOKUP(A205,'Data shares'!$C$2:$CY$539,101,0)</f>
        <v>-0.37590000000000001</v>
      </c>
      <c r="E205" s="86">
        <f>VLOOKUP($A205,'Data shares'!$C:$FA,74)</f>
        <v>79480000</v>
      </c>
      <c r="F205" s="86">
        <f>VLOOKUP($A205,'Data shares'!$C:$FA,76)</f>
        <v>-10795200</v>
      </c>
      <c r="G205" s="87">
        <f>VLOOKUP(A205,'Data shares'!$C$2:$CA$216,77,0)</f>
        <v>-0.1196</v>
      </c>
      <c r="H205" s="86">
        <f>VLOOKUP($A205,'Data shares'!$C:$FA,90)</f>
        <v>14167200</v>
      </c>
      <c r="I205" s="86">
        <f>VLOOKUP($A205,'Data shares'!$C:$FA,92)</f>
        <v>-32819200</v>
      </c>
      <c r="J205" s="87">
        <f>VLOOKUP($A205,'Data shares'!$C:$FA,93)</f>
        <v>-0.69850000000000001</v>
      </c>
      <c r="K205" s="86">
        <f>VLOOKUP($A205,'Data shares'!$C:$FA,94)</f>
        <v>11083200</v>
      </c>
      <c r="L205" s="86">
        <f>VLOOKUP($A205,'Data shares'!$C:$FA,96)</f>
        <v>-19464800</v>
      </c>
      <c r="M205" s="87">
        <f>VLOOKUP($A205,'Data shares'!$C:$FA,97)</f>
        <v>-0.63719999999999999</v>
      </c>
      <c r="N205" s="86">
        <f>VLOOKUP($A205,'Data shares'!$C:$FA,78)</f>
        <v>18059200</v>
      </c>
      <c r="O205" s="87">
        <f>VLOOKUP($A205,'Data shares'!$C:$FA,81)</f>
        <v>6.6699999999999995E-2</v>
      </c>
    </row>
    <row r="206" spans="1:15" x14ac:dyDescent="0.25">
      <c r="A206" s="100" t="str">
        <f>'Data Vlaue (Cr)'!C201</f>
        <v>TORNTPHARM</v>
      </c>
      <c r="B206" s="82">
        <f>VLOOKUP(A206,'Data shares'!$C$2:$CV$216,98,0)</f>
        <v>4029250</v>
      </c>
      <c r="C206" s="82">
        <f>VLOOKUP(A206,'Data shares'!$C$2:$CX$216,100,0)</f>
        <v>-912500</v>
      </c>
      <c r="D206" s="141">
        <f>VLOOKUP(A206,'Data shares'!$C$2:$CY$539,101,0)</f>
        <v>-0.1847</v>
      </c>
      <c r="E206" s="86">
        <f>VLOOKUP($A206,'Data shares'!$C:$FA,74)</f>
        <v>3233875</v>
      </c>
      <c r="F206" s="86">
        <f>VLOOKUP($A206,'Data shares'!$C:$FA,76)</f>
        <v>-86500</v>
      </c>
      <c r="G206" s="87">
        <f>VLOOKUP(A206,'Data shares'!$C$2:$CA$216,77,0)</f>
        <v>-2.6100000000000002E-2</v>
      </c>
      <c r="H206" s="86">
        <f>VLOOKUP($A206,'Data shares'!$C:$FA,90)</f>
        <v>520375</v>
      </c>
      <c r="I206" s="86">
        <f>VLOOKUP($A206,'Data shares'!$C:$FA,92)</f>
        <v>-398875</v>
      </c>
      <c r="J206" s="87">
        <f>VLOOKUP($A206,'Data shares'!$C:$FA,93)</f>
        <v>-0.43390000000000001</v>
      </c>
      <c r="K206" s="86">
        <f>VLOOKUP($A206,'Data shares'!$C:$FA,94)</f>
        <v>275000</v>
      </c>
      <c r="L206" s="86">
        <f>VLOOKUP($A206,'Data shares'!$C:$FA,96)</f>
        <v>-427125</v>
      </c>
      <c r="M206" s="87">
        <f>VLOOKUP($A206,'Data shares'!$C:$FA,97)</f>
        <v>-0.60829999999999995</v>
      </c>
      <c r="N206" s="86">
        <f>VLOOKUP($A206,'Data shares'!$C:$FA,78)</f>
        <v>59625</v>
      </c>
      <c r="O206" s="87">
        <f>VLOOKUP($A206,'Data shares'!$C:$FA,81)</f>
        <v>-0.75990000000000002</v>
      </c>
    </row>
    <row r="207" spans="1:15" x14ac:dyDescent="0.25">
      <c r="A207" s="100" t="str">
        <f>'Data Vlaue (Cr)'!C202</f>
        <v>TRENT</v>
      </c>
      <c r="B207" s="82">
        <f>VLOOKUP(A207,'Data shares'!$C$2:$CV$216,98,0)</f>
        <v>7873300</v>
      </c>
      <c r="C207" s="82">
        <f>VLOOKUP(A207,'Data shares'!$C$2:$CX$216,100,0)</f>
        <v>-3675600</v>
      </c>
      <c r="D207" s="141">
        <f>VLOOKUP(A207,'Data shares'!$C$2:$CY$539,101,0)</f>
        <v>-0.31830000000000003</v>
      </c>
      <c r="E207" s="86">
        <f>VLOOKUP($A207,'Data shares'!$C:$FA,74)</f>
        <v>6240250</v>
      </c>
      <c r="F207" s="86">
        <f>VLOOKUP($A207,'Data shares'!$C:$FA,76)</f>
        <v>-780300</v>
      </c>
      <c r="G207" s="87">
        <f>VLOOKUP(A207,'Data shares'!$C$2:$CA$216,77,0)</f>
        <v>-0.1111</v>
      </c>
      <c r="H207" s="86">
        <f>VLOOKUP($A207,'Data shares'!$C:$FA,90)</f>
        <v>999150</v>
      </c>
      <c r="I207" s="86">
        <f>VLOOKUP($A207,'Data shares'!$C:$FA,92)</f>
        <v>-1981400</v>
      </c>
      <c r="J207" s="87">
        <f>VLOOKUP($A207,'Data shares'!$C:$FA,93)</f>
        <v>-0.66479999999999995</v>
      </c>
      <c r="K207" s="86">
        <f>VLOOKUP($A207,'Data shares'!$C:$FA,94)</f>
        <v>633900</v>
      </c>
      <c r="L207" s="86">
        <f>VLOOKUP($A207,'Data shares'!$C:$FA,96)</f>
        <v>-913900</v>
      </c>
      <c r="M207" s="87">
        <f>VLOOKUP($A207,'Data shares'!$C:$FA,97)</f>
        <v>-0.59050000000000002</v>
      </c>
      <c r="N207" s="86">
        <f>VLOOKUP($A207,'Data shares'!$C:$FA,78)</f>
        <v>453800</v>
      </c>
      <c r="O207" s="87">
        <f>VLOOKUP($A207,'Data shares'!$C:$FA,81)</f>
        <v>-0.48039999999999999</v>
      </c>
    </row>
    <row r="208" spans="1:15" x14ac:dyDescent="0.25">
      <c r="A208" s="100" t="str">
        <f>'Data Vlaue (Cr)'!C203</f>
        <v>TVSMOTOR</v>
      </c>
      <c r="B208" s="82">
        <f>VLOOKUP(A208,'Data shares'!$C$2:$CV$216,98,0)</f>
        <v>10791025</v>
      </c>
      <c r="C208" s="82">
        <f>VLOOKUP(A208,'Data shares'!$C$2:$CX$216,100,0)</f>
        <v>-3433325</v>
      </c>
      <c r="D208" s="141">
        <f>VLOOKUP(A208,'Data shares'!$C$2:$CY$539,101,0)</f>
        <v>-0.2414</v>
      </c>
      <c r="E208" s="86">
        <f>VLOOKUP($A208,'Data shares'!$C:$FA,74)</f>
        <v>9531900</v>
      </c>
      <c r="F208" s="86">
        <f>VLOOKUP($A208,'Data shares'!$C:$FA,76)</f>
        <v>-515550</v>
      </c>
      <c r="G208" s="87">
        <f>VLOOKUP(A208,'Data shares'!$C$2:$CA$216,77,0)</f>
        <v>-5.1299999999999998E-2</v>
      </c>
      <c r="H208" s="86">
        <f>VLOOKUP($A208,'Data shares'!$C:$FA,90)</f>
        <v>616700</v>
      </c>
      <c r="I208" s="86">
        <f>VLOOKUP($A208,'Data shares'!$C:$FA,92)</f>
        <v>-1805650</v>
      </c>
      <c r="J208" s="87">
        <f>VLOOKUP($A208,'Data shares'!$C:$FA,93)</f>
        <v>-0.74539999999999995</v>
      </c>
      <c r="K208" s="86">
        <f>VLOOKUP($A208,'Data shares'!$C:$FA,94)</f>
        <v>642425</v>
      </c>
      <c r="L208" s="86">
        <f>VLOOKUP($A208,'Data shares'!$C:$FA,96)</f>
        <v>-1112125</v>
      </c>
      <c r="M208" s="87">
        <f>VLOOKUP($A208,'Data shares'!$C:$FA,97)</f>
        <v>-0.63390000000000002</v>
      </c>
      <c r="N208" s="86">
        <f>VLOOKUP($A208,'Data shares'!$C:$FA,78)</f>
        <v>561575</v>
      </c>
      <c r="O208" s="87">
        <f>VLOOKUP($A208,'Data shares'!$C:$FA,81)</f>
        <v>-0.54810000000000003</v>
      </c>
    </row>
    <row r="209" spans="1:15" x14ac:dyDescent="0.25">
      <c r="A209" s="100" t="str">
        <f>'Data Vlaue (Cr)'!C204</f>
        <v>ULTRACEMCO</v>
      </c>
      <c r="B209" s="82">
        <f>VLOOKUP(A209,'Data shares'!$C$2:$CV$216,98,0)</f>
        <v>2763400</v>
      </c>
      <c r="C209" s="82">
        <f>VLOOKUP(A209,'Data shares'!$C$2:$CX$216,100,0)</f>
        <v>-1558650</v>
      </c>
      <c r="D209" s="141">
        <f>VLOOKUP(A209,'Data shares'!$C$2:$CY$539,101,0)</f>
        <v>-0.36059999999999998</v>
      </c>
      <c r="E209" s="86">
        <f>VLOOKUP($A209,'Data shares'!$C:$FA,74)</f>
        <v>2471850</v>
      </c>
      <c r="F209" s="86">
        <f>VLOOKUP($A209,'Data shares'!$C:$FA,76)</f>
        <v>-293100</v>
      </c>
      <c r="G209" s="87">
        <f>VLOOKUP(A209,'Data shares'!$C$2:$CA$216,77,0)</f>
        <v>-0.106</v>
      </c>
      <c r="H209" s="86">
        <f>VLOOKUP($A209,'Data shares'!$C:$FA,90)</f>
        <v>165600</v>
      </c>
      <c r="I209" s="86">
        <f>VLOOKUP($A209,'Data shares'!$C:$FA,92)</f>
        <v>-889000</v>
      </c>
      <c r="J209" s="87">
        <f>VLOOKUP($A209,'Data shares'!$C:$FA,93)</f>
        <v>-0.84299999999999997</v>
      </c>
      <c r="K209" s="86">
        <f>VLOOKUP($A209,'Data shares'!$C:$FA,94)</f>
        <v>125950</v>
      </c>
      <c r="L209" s="86">
        <f>VLOOKUP($A209,'Data shares'!$C:$FA,96)</f>
        <v>-376550</v>
      </c>
      <c r="M209" s="87">
        <f>VLOOKUP($A209,'Data shares'!$C:$FA,97)</f>
        <v>-0.74939999999999996</v>
      </c>
      <c r="N209" s="86">
        <f>VLOOKUP($A209,'Data shares'!$C:$FA,78)</f>
        <v>288550</v>
      </c>
      <c r="O209" s="87">
        <f>VLOOKUP($A209,'Data shares'!$C:$FA,81)</f>
        <v>-0.35909999999999997</v>
      </c>
    </row>
    <row r="210" spans="1:15" x14ac:dyDescent="0.25">
      <c r="A210" s="100" t="str">
        <f>'Data Vlaue (Cr)'!C205</f>
        <v>UNIONBANK</v>
      </c>
      <c r="B210" s="82">
        <f>VLOOKUP(A210,'Data shares'!$C$2:$CV$216,98,0)</f>
        <v>156406050</v>
      </c>
      <c r="C210" s="82">
        <f>VLOOKUP(A210,'Data shares'!$C$2:$CX$216,100,0)</f>
        <v>-53498250</v>
      </c>
      <c r="D210" s="141">
        <f>VLOOKUP(A210,'Data shares'!$C$2:$CY$539,101,0)</f>
        <v>-0.25490000000000002</v>
      </c>
      <c r="E210" s="86">
        <f>VLOOKUP($A210,'Data shares'!$C:$FA,74)</f>
        <v>123041550</v>
      </c>
      <c r="F210" s="86">
        <f>VLOOKUP($A210,'Data shares'!$C:$FA,76)</f>
        <v>-5385225</v>
      </c>
      <c r="G210" s="87">
        <f>VLOOKUP(A210,'Data shares'!$C$2:$CA$216,77,0)</f>
        <v>-4.19E-2</v>
      </c>
      <c r="H210" s="86">
        <f>VLOOKUP($A210,'Data shares'!$C:$FA,90)</f>
        <v>18633675</v>
      </c>
      <c r="I210" s="86">
        <f>VLOOKUP($A210,'Data shares'!$C:$FA,92)</f>
        <v>-32753850</v>
      </c>
      <c r="J210" s="87">
        <f>VLOOKUP($A210,'Data shares'!$C:$FA,93)</f>
        <v>-0.63739999999999997</v>
      </c>
      <c r="K210" s="86">
        <f>VLOOKUP($A210,'Data shares'!$C:$FA,94)</f>
        <v>14730825</v>
      </c>
      <c r="L210" s="86">
        <f>VLOOKUP($A210,'Data shares'!$C:$FA,96)</f>
        <v>-15359175</v>
      </c>
      <c r="M210" s="87">
        <f>VLOOKUP($A210,'Data shares'!$C:$FA,97)</f>
        <v>-0.51039999999999996</v>
      </c>
      <c r="N210" s="86">
        <f>VLOOKUP($A210,'Data shares'!$C:$FA,78)</f>
        <v>8947350</v>
      </c>
      <c r="O210" s="87">
        <f>VLOOKUP($A210,'Data shares'!$C:$FA,81)</f>
        <v>-0.59789999999999999</v>
      </c>
    </row>
    <row r="211" spans="1:15" x14ac:dyDescent="0.25">
      <c r="A211" s="100" t="str">
        <f>'Data Vlaue (Cr)'!C206</f>
        <v>UNITDSPR</v>
      </c>
      <c r="B211" s="82">
        <f>VLOOKUP(A211,'Data shares'!$C$2:$CV$216,98,0)</f>
        <v>13460000</v>
      </c>
      <c r="C211" s="82">
        <f>VLOOKUP(A211,'Data shares'!$C$2:$CX$216,100,0)</f>
        <v>-6774000</v>
      </c>
      <c r="D211" s="141">
        <f>VLOOKUP(A211,'Data shares'!$C$2:$CY$539,101,0)</f>
        <v>-0.33479999999999999</v>
      </c>
      <c r="E211" s="86">
        <f>VLOOKUP($A211,'Data shares'!$C:$FA,74)</f>
        <v>10488800</v>
      </c>
      <c r="F211" s="86">
        <f>VLOOKUP($A211,'Data shares'!$C:$FA,76)</f>
        <v>-2676400</v>
      </c>
      <c r="G211" s="87">
        <f>VLOOKUP(A211,'Data shares'!$C$2:$CA$216,77,0)</f>
        <v>-0.20330000000000001</v>
      </c>
      <c r="H211" s="86">
        <f>VLOOKUP($A211,'Data shares'!$C:$FA,90)</f>
        <v>1571600</v>
      </c>
      <c r="I211" s="86">
        <f>VLOOKUP($A211,'Data shares'!$C:$FA,92)</f>
        <v>-2333600</v>
      </c>
      <c r="J211" s="87">
        <f>VLOOKUP($A211,'Data shares'!$C:$FA,93)</f>
        <v>-0.59760000000000002</v>
      </c>
      <c r="K211" s="86">
        <f>VLOOKUP($A211,'Data shares'!$C:$FA,94)</f>
        <v>1399600</v>
      </c>
      <c r="L211" s="86">
        <f>VLOOKUP($A211,'Data shares'!$C:$FA,96)</f>
        <v>-1764000</v>
      </c>
      <c r="M211" s="87">
        <f>VLOOKUP($A211,'Data shares'!$C:$FA,97)</f>
        <v>-0.55759999999999998</v>
      </c>
      <c r="N211" s="86">
        <f>VLOOKUP($A211,'Data shares'!$C:$FA,78)</f>
        <v>2655200</v>
      </c>
      <c r="O211" s="87">
        <f>VLOOKUP($A211,'Data shares'!$C:$FA,81)</f>
        <v>-0.31259999999999999</v>
      </c>
    </row>
    <row r="212" spans="1:15" x14ac:dyDescent="0.25">
      <c r="A212" s="100" t="str">
        <f>'Data Vlaue (Cr)'!C207</f>
        <v>UNOMINDA</v>
      </c>
      <c r="B212" s="82">
        <f>VLOOKUP(A212,'Data shares'!$C$2:$CV$216,98,0)</f>
        <v>4903250</v>
      </c>
      <c r="C212" s="82">
        <f>VLOOKUP(A212,'Data shares'!$C$2:$CX$216,100,0)</f>
        <v>-3498000</v>
      </c>
      <c r="D212" s="141">
        <f>VLOOKUP(A212,'Data shares'!$C$2:$CY$539,101,0)</f>
        <v>-0.41639999999999999</v>
      </c>
      <c r="E212" s="86">
        <f>VLOOKUP($A212,'Data shares'!$C:$FA,74)</f>
        <v>4383500</v>
      </c>
      <c r="F212" s="86">
        <f>VLOOKUP($A212,'Data shares'!$C:$FA,76)</f>
        <v>-85800</v>
      </c>
      <c r="G212" s="87">
        <f>VLOOKUP(A212,'Data shares'!$C$2:$CA$216,77,0)</f>
        <v>-1.9199999999999998E-2</v>
      </c>
      <c r="H212" s="86">
        <f>VLOOKUP($A212,'Data shares'!$C:$FA,90)</f>
        <v>280500</v>
      </c>
      <c r="I212" s="86">
        <f>VLOOKUP($A212,'Data shares'!$C:$FA,92)</f>
        <v>-2093850</v>
      </c>
      <c r="J212" s="87">
        <f>VLOOKUP($A212,'Data shares'!$C:$FA,93)</f>
        <v>-0.88190000000000002</v>
      </c>
      <c r="K212" s="86">
        <f>VLOOKUP($A212,'Data shares'!$C:$FA,94)</f>
        <v>239250</v>
      </c>
      <c r="L212" s="86">
        <f>VLOOKUP($A212,'Data shares'!$C:$FA,96)</f>
        <v>-1318350</v>
      </c>
      <c r="M212" s="87">
        <f>VLOOKUP($A212,'Data shares'!$C:$FA,97)</f>
        <v>-0.84640000000000004</v>
      </c>
      <c r="N212" s="86">
        <f>VLOOKUP($A212,'Data shares'!$C:$FA,78)</f>
        <v>189200</v>
      </c>
      <c r="O212" s="87">
        <f>VLOOKUP($A212,'Data shares'!$C:$FA,81)</f>
        <v>-0.54259999999999997</v>
      </c>
    </row>
    <row r="213" spans="1:15" x14ac:dyDescent="0.25">
      <c r="A213" s="100" t="str">
        <f>'Data Vlaue (Cr)'!C208</f>
        <v>UPL</v>
      </c>
      <c r="B213" s="82">
        <f>VLOOKUP(A213,'Data shares'!$C$2:$CV$216,98,0)</f>
        <v>32022715</v>
      </c>
      <c r="C213" s="82">
        <f>VLOOKUP(A213,'Data shares'!$C$2:$CX$216,100,0)</f>
        <v>-14152975</v>
      </c>
      <c r="D213" s="141">
        <f>VLOOKUP(A213,'Data shares'!$C$2:$CY$539,101,0)</f>
        <v>-0.30649999999999999</v>
      </c>
      <c r="E213" s="86">
        <f>VLOOKUP($A213,'Data shares'!$C:$FA,74)</f>
        <v>25921150</v>
      </c>
      <c r="F213" s="86">
        <f>VLOOKUP($A213,'Data shares'!$C:$FA,76)</f>
        <v>-4466080</v>
      </c>
      <c r="G213" s="87">
        <f>VLOOKUP(A213,'Data shares'!$C$2:$CA$216,77,0)</f>
        <v>-0.14699999999999999</v>
      </c>
      <c r="H213" s="86">
        <f>VLOOKUP($A213,'Data shares'!$C:$FA,90)</f>
        <v>3249290</v>
      </c>
      <c r="I213" s="86">
        <f>VLOOKUP($A213,'Data shares'!$C:$FA,92)</f>
        <v>-6173380</v>
      </c>
      <c r="J213" s="87">
        <f>VLOOKUP($A213,'Data shares'!$C:$FA,93)</f>
        <v>-0.6552</v>
      </c>
      <c r="K213" s="86">
        <f>VLOOKUP($A213,'Data shares'!$C:$FA,94)</f>
        <v>2852275</v>
      </c>
      <c r="L213" s="86">
        <f>VLOOKUP($A213,'Data shares'!$C:$FA,96)</f>
        <v>-3513515</v>
      </c>
      <c r="M213" s="87">
        <f>VLOOKUP($A213,'Data shares'!$C:$FA,97)</f>
        <v>-0.55189999999999995</v>
      </c>
      <c r="N213" s="86">
        <f>VLOOKUP($A213,'Data shares'!$C:$FA,78)</f>
        <v>3825165</v>
      </c>
      <c r="O213" s="87">
        <f>VLOOKUP($A213,'Data shares'!$C:$FA,81)</f>
        <v>-0.59599999999999997</v>
      </c>
    </row>
    <row r="214" spans="1:15" x14ac:dyDescent="0.25">
      <c r="A214" s="100" t="str">
        <f>'Data Vlaue (Cr)'!C209</f>
        <v>VBL</v>
      </c>
      <c r="B214" s="82">
        <f>VLOOKUP(A214,'Data shares'!$C$2:$CV$216,98,0)</f>
        <v>57585975</v>
      </c>
      <c r="C214" s="82">
        <f>VLOOKUP(A214,'Data shares'!$C$2:$CX$216,100,0)</f>
        <v>-17328975</v>
      </c>
      <c r="D214" s="141">
        <f>VLOOKUP(A214,'Data shares'!$C$2:$CY$539,101,0)</f>
        <v>-0.23130000000000001</v>
      </c>
      <c r="E214" s="86">
        <f>VLOOKUP($A214,'Data shares'!$C:$FA,74)</f>
        <v>48761325</v>
      </c>
      <c r="F214" s="86">
        <f>VLOOKUP($A214,'Data shares'!$C:$FA,76)</f>
        <v>-4296975</v>
      </c>
      <c r="G214" s="87">
        <f>VLOOKUP(A214,'Data shares'!$C$2:$CA$216,77,0)</f>
        <v>-8.1000000000000003E-2</v>
      </c>
      <c r="H214" s="86">
        <f>VLOOKUP($A214,'Data shares'!$C:$FA,90)</f>
        <v>5940000</v>
      </c>
      <c r="I214" s="86">
        <f>VLOOKUP($A214,'Data shares'!$C:$FA,92)</f>
        <v>-7843500</v>
      </c>
      <c r="J214" s="87">
        <f>VLOOKUP($A214,'Data shares'!$C:$FA,93)</f>
        <v>-0.56899999999999995</v>
      </c>
      <c r="K214" s="86">
        <f>VLOOKUP($A214,'Data shares'!$C:$FA,94)</f>
        <v>2884650</v>
      </c>
      <c r="L214" s="86">
        <f>VLOOKUP($A214,'Data shares'!$C:$FA,96)</f>
        <v>-5188500</v>
      </c>
      <c r="M214" s="87">
        <f>VLOOKUP($A214,'Data shares'!$C:$FA,97)</f>
        <v>-0.64270000000000005</v>
      </c>
      <c r="N214" s="86">
        <f>VLOOKUP($A214,'Data shares'!$C:$FA,78)</f>
        <v>3461625</v>
      </c>
      <c r="O214" s="87">
        <f>VLOOKUP($A214,'Data shares'!$C:$FA,81)</f>
        <v>-0.60399999999999998</v>
      </c>
    </row>
    <row r="215" spans="1:15" x14ac:dyDescent="0.25">
      <c r="A215" s="100" t="str">
        <f>'Data Vlaue (Cr)'!C210</f>
        <v>VEDL</v>
      </c>
      <c r="B215" s="82">
        <f>VLOOKUP(A215,'Data shares'!$C$2:$CV$216,98,0)</f>
        <v>67396900</v>
      </c>
      <c r="C215" s="82">
        <f>VLOOKUP(A215,'Data shares'!$C$2:$CX$216,100,0)</f>
        <v>-41021650</v>
      </c>
      <c r="D215" s="141">
        <f>VLOOKUP(A215,'Data shares'!$C$2:$CY$539,101,0)</f>
        <v>-0.37840000000000001</v>
      </c>
      <c r="E215" s="86">
        <f>VLOOKUP($A215,'Data shares'!$C:$FA,74)</f>
        <v>39591050</v>
      </c>
      <c r="F215" s="86">
        <f>VLOOKUP($A215,'Data shares'!$C:$FA,76)</f>
        <v>-5302650</v>
      </c>
      <c r="G215" s="87">
        <f>VLOOKUP(A215,'Data shares'!$C$2:$CA$216,77,0)</f>
        <v>-0.1181</v>
      </c>
      <c r="H215" s="86">
        <f>VLOOKUP($A215,'Data shares'!$C:$FA,90)</f>
        <v>16992400</v>
      </c>
      <c r="I215" s="86">
        <f>VLOOKUP($A215,'Data shares'!$C:$FA,92)</f>
        <v>-18797900</v>
      </c>
      <c r="J215" s="87">
        <f>VLOOKUP($A215,'Data shares'!$C:$FA,93)</f>
        <v>-0.5252</v>
      </c>
      <c r="K215" s="86">
        <f>VLOOKUP($A215,'Data shares'!$C:$FA,94)</f>
        <v>10813450</v>
      </c>
      <c r="L215" s="86">
        <f>VLOOKUP($A215,'Data shares'!$C:$FA,96)</f>
        <v>-16921100</v>
      </c>
      <c r="M215" s="87">
        <f>VLOOKUP($A215,'Data shares'!$C:$FA,97)</f>
        <v>-0.61009999999999998</v>
      </c>
      <c r="N215" s="86">
        <f>VLOOKUP($A215,'Data shares'!$C:$FA,78)</f>
        <v>6647000</v>
      </c>
      <c r="O215" s="87">
        <f>VLOOKUP($A215,'Data shares'!$C:$FA,81)</f>
        <v>-0.33260000000000001</v>
      </c>
    </row>
    <row r="216" spans="1:15" s="89" customFormat="1" ht="16.5" customHeight="1" x14ac:dyDescent="0.2">
      <c r="A216" s="100" t="str">
        <f>'Data Vlaue (Cr)'!C211</f>
        <v>VMM</v>
      </c>
      <c r="B216" s="82">
        <f>VLOOKUP(A216,'Data shares'!$C$2:$CV$216,98,0)</f>
        <v>34250700</v>
      </c>
      <c r="C216" s="82">
        <f>VLOOKUP(A216,'Data shares'!$C$2:$CX$216,100,0)</f>
        <v>-11426600</v>
      </c>
      <c r="D216" s="141">
        <f>VLOOKUP(A216,'Data shares'!$C$2:$CY$539,101,0)</f>
        <v>-0.25019999999999998</v>
      </c>
      <c r="E216" s="86">
        <f>VLOOKUP($A216,'Data shares'!$C:$FA,74)</f>
        <v>31224300</v>
      </c>
      <c r="F216" s="86">
        <f>VLOOKUP($A216,'Data shares'!$C:$FA,76)</f>
        <v>-426800</v>
      </c>
      <c r="G216" s="87">
        <f>VLOOKUP(A216,'Data shares'!$C$2:$CA$216,77,0)</f>
        <v>-1.35E-2</v>
      </c>
      <c r="H216" s="86">
        <f>VLOOKUP($A216,'Data shares'!$C:$FA,90)</f>
        <v>1115500</v>
      </c>
      <c r="I216" s="86">
        <f>VLOOKUP($A216,'Data shares'!$C:$FA,92)</f>
        <v>-7207100</v>
      </c>
      <c r="J216" s="87">
        <f>VLOOKUP($A216,'Data shares'!$C:$FA,93)</f>
        <v>-0.86599999999999999</v>
      </c>
      <c r="K216" s="86">
        <f>VLOOKUP($A216,'Data shares'!$C:$FA,94)</f>
        <v>1910900</v>
      </c>
      <c r="L216" s="86">
        <f>VLOOKUP($A216,'Data shares'!$C:$FA,96)</f>
        <v>-3792700</v>
      </c>
      <c r="M216" s="87">
        <f>VLOOKUP($A216,'Data shares'!$C:$FA,97)</f>
        <v>-0.66500000000000004</v>
      </c>
      <c r="N216" s="86">
        <f>VLOOKUP($A216,'Data shares'!$C:$FA,78)</f>
        <v>1338600</v>
      </c>
      <c r="O216" s="87">
        <f>VLOOKUP($A216,'Data shares'!$C:$FA,81)</f>
        <v>-0.61770000000000003</v>
      </c>
    </row>
    <row r="217" spans="1:15" s="89" customFormat="1" ht="16.5" customHeight="1" x14ac:dyDescent="0.2">
      <c r="A217" s="100" t="str">
        <f>'Data Vlaue (Cr)'!C212</f>
        <v>VOLTAS</v>
      </c>
      <c r="B217" s="82">
        <f>VLOOKUP(A217,'Data shares'!$C$2:$CV$216,98,0)</f>
        <v>14063625</v>
      </c>
      <c r="C217" s="82">
        <f>VLOOKUP(A217,'Data shares'!$C$2:$CX$216,100,0)</f>
        <v>-7619250</v>
      </c>
      <c r="D217" s="141">
        <f>VLOOKUP(A217,'Data shares'!$C$2:$CY$539,101,0)</f>
        <v>-0.35139999999999999</v>
      </c>
      <c r="E217" s="86">
        <f>VLOOKUP($A217,'Data shares'!$C:$FA,74)</f>
        <v>10027125</v>
      </c>
      <c r="F217" s="86">
        <f>VLOOKUP($A217,'Data shares'!$C:$FA,76)</f>
        <v>-1003500</v>
      </c>
      <c r="G217" s="87">
        <f>VLOOKUP(A217,'Data shares'!$C$2:$CA$216,77,0)</f>
        <v>-9.0999999999999998E-2</v>
      </c>
      <c r="H217" s="86">
        <f>VLOOKUP($A217,'Data shares'!$C:$FA,90)</f>
        <v>2271750</v>
      </c>
      <c r="I217" s="86">
        <f>VLOOKUP($A217,'Data shares'!$C:$FA,92)</f>
        <v>-4168500</v>
      </c>
      <c r="J217" s="87">
        <f>VLOOKUP($A217,'Data shares'!$C:$FA,93)</f>
        <v>-0.64729999999999999</v>
      </c>
      <c r="K217" s="86">
        <f>VLOOKUP($A217,'Data shares'!$C:$FA,94)</f>
        <v>1764750</v>
      </c>
      <c r="L217" s="86">
        <f>VLOOKUP($A217,'Data shares'!$C:$FA,96)</f>
        <v>-2447250</v>
      </c>
      <c r="M217" s="87">
        <f>VLOOKUP($A217,'Data shares'!$C:$FA,97)</f>
        <v>-0.58099999999999996</v>
      </c>
      <c r="N217" s="86">
        <f>VLOOKUP($A217,'Data shares'!$C:$FA,78)</f>
        <v>1053000</v>
      </c>
      <c r="O217" s="87">
        <f>VLOOKUP($A217,'Data shares'!$C:$FA,81)</f>
        <v>-0.50019999999999998</v>
      </c>
    </row>
    <row r="218" spans="1:15" x14ac:dyDescent="0.25">
      <c r="A218" s="100" t="str">
        <f>'Data Vlaue (Cr)'!C213</f>
        <v>WAAREEENER</v>
      </c>
      <c r="B218" s="82">
        <f>VLOOKUP(A218,'Data shares'!$C$2:$CV$216,98,0)</f>
        <v>7369425</v>
      </c>
      <c r="C218" s="82">
        <f>VLOOKUP(A218,'Data shares'!$C$2:$CX$216,100,0)</f>
        <v>-5135200</v>
      </c>
      <c r="D218" s="141">
        <f>VLOOKUP(A218,'Data shares'!$C$2:$CY$539,101,0)</f>
        <v>-0.41070000000000001</v>
      </c>
      <c r="E218" s="86">
        <f>VLOOKUP($A218,'Data shares'!$C:$FA,74)</f>
        <v>5532450</v>
      </c>
      <c r="F218" s="86">
        <f>VLOOKUP($A218,'Data shares'!$C:$FA,76)</f>
        <v>-726250</v>
      </c>
      <c r="G218" s="87">
        <f>VLOOKUP(A218,'Data shares'!$C$2:$CA$216,77,0)</f>
        <v>-0.11600000000000001</v>
      </c>
      <c r="H218" s="86">
        <f>VLOOKUP($A218,'Data shares'!$C:$FA,90)</f>
        <v>1081850</v>
      </c>
      <c r="I218" s="86">
        <f>VLOOKUP($A218,'Data shares'!$C:$FA,92)</f>
        <v>-3255000</v>
      </c>
      <c r="J218" s="87">
        <f>VLOOKUP($A218,'Data shares'!$C:$FA,93)</f>
        <v>-0.75049999999999994</v>
      </c>
      <c r="K218" s="86">
        <f>VLOOKUP($A218,'Data shares'!$C:$FA,94)</f>
        <v>755125</v>
      </c>
      <c r="L218" s="86">
        <f>VLOOKUP($A218,'Data shares'!$C:$FA,96)</f>
        <v>-1153950</v>
      </c>
      <c r="M218" s="87">
        <f>VLOOKUP($A218,'Data shares'!$C:$FA,97)</f>
        <v>-0.60450000000000004</v>
      </c>
      <c r="N218" s="86">
        <f>VLOOKUP($A218,'Data shares'!$C:$FA,78)</f>
        <v>460075</v>
      </c>
      <c r="O218" s="87">
        <f>VLOOKUP($A218,'Data shares'!$C:$FA,81)</f>
        <v>-0.67520000000000002</v>
      </c>
    </row>
    <row r="219" spans="1:15" x14ac:dyDescent="0.25">
      <c r="A219" s="100" t="str">
        <f>'Data Vlaue (Cr)'!C214</f>
        <v>WIPRO</v>
      </c>
      <c r="B219" s="82">
        <f>VLOOKUP(A219,'Data shares'!$C$2:$CV$216,98,0)</f>
        <v>480396000</v>
      </c>
      <c r="C219" s="82">
        <f>VLOOKUP(A219,'Data shares'!$C$2:$CX$216,100,0)</f>
        <v>-135813000</v>
      </c>
      <c r="D219" s="141">
        <f>VLOOKUP(A219,'Data shares'!$C$2:$CY$539,101,0)</f>
        <v>-0.22040000000000001</v>
      </c>
      <c r="E219" s="86">
        <f>VLOOKUP($A219,'Data shares'!$C:$FA,74)</f>
        <v>270330000</v>
      </c>
      <c r="F219" s="86">
        <f>VLOOKUP($A219,'Data shares'!$C:$FA,76)</f>
        <v>-65673000</v>
      </c>
      <c r="G219" s="87">
        <f>VLOOKUP(A219,'Data shares'!$C$2:$CA$216,77,0)</f>
        <v>-0.19550000000000001</v>
      </c>
      <c r="H219" s="86">
        <f>VLOOKUP($A219,'Data shares'!$C:$FA,90)</f>
        <v>126810000</v>
      </c>
      <c r="I219" s="86">
        <f>VLOOKUP($A219,'Data shares'!$C:$FA,92)</f>
        <v>-47922000</v>
      </c>
      <c r="J219" s="87">
        <f>VLOOKUP($A219,'Data shares'!$C:$FA,93)</f>
        <v>-0.27429999999999999</v>
      </c>
      <c r="K219" s="86">
        <f>VLOOKUP($A219,'Data shares'!$C:$FA,94)</f>
        <v>83256000</v>
      </c>
      <c r="L219" s="86">
        <f>VLOOKUP($A219,'Data shares'!$C:$FA,96)</f>
        <v>-22218000</v>
      </c>
      <c r="M219" s="87">
        <f>VLOOKUP($A219,'Data shares'!$C:$FA,97)</f>
        <v>-0.21060000000000001</v>
      </c>
      <c r="N219" s="86">
        <f>VLOOKUP($A219,'Data shares'!$C:$FA,78)</f>
        <v>48522000</v>
      </c>
      <c r="O219" s="87">
        <f>VLOOKUP($A219,'Data shares'!$C:$FA,81)</f>
        <v>-0.43030000000000002</v>
      </c>
    </row>
    <row r="220" spans="1:15" x14ac:dyDescent="0.25">
      <c r="A220" s="100" t="str">
        <f>'Data Vlaue (Cr)'!C215</f>
        <v>YESBANK</v>
      </c>
      <c r="B220" s="82">
        <f>VLOOKUP(A220,'Data shares'!$C$2:$CV$216,98,0)</f>
        <v>1507603600</v>
      </c>
      <c r="C220" s="82">
        <f>VLOOKUP(A220,'Data shares'!$C$2:$CX$216,100,0)</f>
        <v>-398235500</v>
      </c>
      <c r="D220" s="141">
        <f>VLOOKUP(A220,'Data shares'!$C$2:$CY$539,101,0)</f>
        <v>-0.20899999999999999</v>
      </c>
      <c r="E220" s="86">
        <f>VLOOKUP($A220,'Data shares'!$C:$FA,74)</f>
        <v>1217720500</v>
      </c>
      <c r="F220" s="86">
        <f>VLOOKUP($A220,'Data shares'!$C:$FA,76)</f>
        <v>-16203100</v>
      </c>
      <c r="G220" s="87">
        <f>VLOOKUP(A220,'Data shares'!$C$2:$CA$216,77,0)</f>
        <v>-1.3100000000000001E-2</v>
      </c>
      <c r="H220" s="86">
        <f>VLOOKUP($A220,'Data shares'!$C:$FA,90)</f>
        <v>175932700</v>
      </c>
      <c r="I220" s="86">
        <f>VLOOKUP($A220,'Data shares'!$C:$FA,92)</f>
        <v>-233529900</v>
      </c>
      <c r="J220" s="87">
        <f>VLOOKUP($A220,'Data shares'!$C:$FA,93)</f>
        <v>-0.57030000000000003</v>
      </c>
      <c r="K220" s="86">
        <f>VLOOKUP($A220,'Data shares'!$C:$FA,94)</f>
        <v>113950400</v>
      </c>
      <c r="L220" s="86">
        <f>VLOOKUP($A220,'Data shares'!$C:$FA,96)</f>
        <v>-148502500</v>
      </c>
      <c r="M220" s="87">
        <f>VLOOKUP($A220,'Data shares'!$C:$FA,97)</f>
        <v>-0.56579999999999997</v>
      </c>
      <c r="N220" s="86">
        <f>VLOOKUP($A220,'Data shares'!$C:$FA,78)</f>
        <v>34987500</v>
      </c>
      <c r="O220" s="87">
        <f>VLOOKUP($A220,'Data shares'!$C:$FA,81)</f>
        <v>-0.84589999999999999</v>
      </c>
    </row>
    <row r="221" spans="1:15" x14ac:dyDescent="0.25">
      <c r="A221" s="100" t="str">
        <f>'Data Vlaue (Cr)'!C216</f>
        <v>ZYDUSLIFE</v>
      </c>
      <c r="B221" s="82">
        <f>VLOOKUP(A221,'Data shares'!$C$2:$CV$216,98,0)</f>
        <v>15024600</v>
      </c>
      <c r="C221" s="82">
        <f>VLOOKUP(A221,'Data shares'!$C$2:$CX$216,100,0)</f>
        <v>-9732600</v>
      </c>
      <c r="D221" s="141">
        <f>VLOOKUP(A221,'Data shares'!$C$2:$CY$539,101,0)</f>
        <v>-0.3931</v>
      </c>
      <c r="E221" s="86">
        <f>VLOOKUP($A221,'Data shares'!$C:$FA,74)</f>
        <v>10690200</v>
      </c>
      <c r="F221" s="86">
        <f>VLOOKUP($A221,'Data shares'!$C:$FA,76)</f>
        <v>-1673100</v>
      </c>
      <c r="G221" s="87">
        <f>VLOOKUP(A221,'Data shares'!$C$2:$CA$216,77,0)</f>
        <v>-0.1353</v>
      </c>
      <c r="H221" s="86">
        <f>VLOOKUP($A221,'Data shares'!$C:$FA,90)</f>
        <v>2673900</v>
      </c>
      <c r="I221" s="86">
        <f>VLOOKUP($A221,'Data shares'!$C:$FA,92)</f>
        <v>-4794300</v>
      </c>
      <c r="J221" s="87">
        <f>VLOOKUP($A221,'Data shares'!$C:$FA,93)</f>
        <v>-0.64200000000000002</v>
      </c>
      <c r="K221" s="86">
        <f>VLOOKUP($A221,'Data shares'!$C:$FA,94)</f>
        <v>1660500</v>
      </c>
      <c r="L221" s="86">
        <f>VLOOKUP($A221,'Data shares'!$C:$FA,96)</f>
        <v>-3265200</v>
      </c>
      <c r="M221" s="87">
        <f>VLOOKUP($A221,'Data shares'!$C:$FA,97)</f>
        <v>-0.66290000000000004</v>
      </c>
      <c r="N221" s="86">
        <f>VLOOKUP($A221,'Data shares'!$C:$FA,78)</f>
        <v>968400</v>
      </c>
      <c r="O221" s="87">
        <f>VLOOKUP($A221,'Data shares'!$C:$FA,81)</f>
        <v>-0.53320000000000001</v>
      </c>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82"/>
      <c r="C227" s="82"/>
      <c r="D227" s="141"/>
      <c r="E227" s="86"/>
      <c r="F227" s="86"/>
      <c r="G227" s="87"/>
      <c r="H227" s="86"/>
      <c r="I227" s="86"/>
      <c r="J227" s="87"/>
      <c r="K227" s="86"/>
      <c r="L227" s="86"/>
      <c r="M227" s="87"/>
      <c r="N227" s="86"/>
      <c r="O227" s="87"/>
    </row>
    <row r="228" spans="1:15" x14ac:dyDescent="0.25">
      <c r="A228" s="100"/>
      <c r="B228" s="82"/>
      <c r="C228" s="82"/>
      <c r="D228" s="141"/>
      <c r="E228" s="86"/>
      <c r="F228" s="86"/>
      <c r="G228" s="87"/>
      <c r="H228" s="86"/>
      <c r="I228" s="86"/>
      <c r="J228" s="87"/>
      <c r="K228" s="86"/>
      <c r="L228" s="86"/>
      <c r="M228" s="87"/>
      <c r="N228" s="86"/>
      <c r="O228" s="87"/>
    </row>
    <row r="229" spans="1:15" x14ac:dyDescent="0.25">
      <c r="A229" s="100"/>
      <c r="B229" s="82"/>
      <c r="C229" s="82"/>
      <c r="D229" s="141"/>
      <c r="E229" s="86"/>
      <c r="F229" s="86"/>
      <c r="G229" s="87"/>
      <c r="H229" s="86"/>
      <c r="I229" s="86"/>
      <c r="J229" s="87"/>
      <c r="K229" s="86"/>
      <c r="L229" s="86"/>
      <c r="M229" s="87"/>
      <c r="N229" s="86"/>
      <c r="O229" s="87"/>
    </row>
    <row r="230" spans="1:15" x14ac:dyDescent="0.25">
      <c r="A230" s="100"/>
      <c r="B230" s="82"/>
      <c r="C230" s="82"/>
      <c r="D230" s="141"/>
      <c r="E230" s="86"/>
      <c r="F230" s="86"/>
      <c r="G230" s="87"/>
      <c r="H230" s="86"/>
      <c r="I230" s="86"/>
      <c r="J230" s="87"/>
      <c r="K230" s="86"/>
      <c r="L230" s="86"/>
      <c r="M230" s="87"/>
      <c r="N230" s="86"/>
      <c r="O230" s="87"/>
    </row>
    <row r="231" spans="1:15" x14ac:dyDescent="0.25">
      <c r="A231" s="100"/>
      <c r="B231" s="82"/>
      <c r="C231" s="82"/>
      <c r="D231" s="141"/>
      <c r="E231" s="86"/>
      <c r="F231" s="86"/>
      <c r="G231" s="87"/>
      <c r="H231" s="86"/>
      <c r="I231" s="86"/>
      <c r="J231" s="87"/>
      <c r="K231" s="86"/>
      <c r="L231" s="86"/>
      <c r="M231" s="87"/>
      <c r="N231" s="86"/>
      <c r="O231" s="87"/>
    </row>
    <row r="232" spans="1:15" x14ac:dyDescent="0.25">
      <c r="A232" s="100"/>
      <c r="B232" s="17"/>
      <c r="C232" s="17"/>
      <c r="D232" s="17"/>
      <c r="E232" s="17"/>
      <c r="F232" s="17"/>
      <c r="G232" s="17"/>
      <c r="H232" s="17"/>
      <c r="I232" s="17"/>
      <c r="J232" s="17"/>
      <c r="K232" s="17"/>
      <c r="L232" s="17"/>
      <c r="M232" s="17"/>
      <c r="N232" s="17"/>
      <c r="O232" s="17"/>
    </row>
    <row r="233" spans="1:15" x14ac:dyDescent="0.25">
      <c r="A233" s="98"/>
      <c r="B233" s="17"/>
      <c r="C233" s="17"/>
      <c r="D233" s="17"/>
      <c r="E233" s="17"/>
      <c r="F233" s="17"/>
      <c r="G233" s="17"/>
      <c r="H233" s="17"/>
      <c r="I233" s="17"/>
      <c r="J233" s="17"/>
      <c r="K233" s="17"/>
      <c r="L233" s="17"/>
      <c r="M233" s="17"/>
      <c r="N233" s="17"/>
      <c r="O233" s="17"/>
    </row>
    <row r="234" spans="1:15" x14ac:dyDescent="0.25">
      <c r="A234" s="118" t="s">
        <v>391</v>
      </c>
      <c r="B234" s="119">
        <f>SUM(B7:B227)</f>
        <v>21341804562</v>
      </c>
      <c r="C234" s="119">
        <f>SUM(C7:C227)</f>
        <v>-6460679519</v>
      </c>
      <c r="D234" s="120">
        <f>C234*100/(B234-C234)</f>
        <v>-23.237777963211489</v>
      </c>
      <c r="E234" s="119">
        <f>SUM(E7:E227)</f>
        <v>16016218132</v>
      </c>
      <c r="F234" s="119">
        <f>SUM(F7:F227)</f>
        <v>-829380929</v>
      </c>
      <c r="G234" s="120">
        <f>F234*100/(E234-F234)</f>
        <v>-4.9234279291386969</v>
      </c>
      <c r="H234" s="119">
        <f>SUM(H7:H227)</f>
        <v>3224958180</v>
      </c>
      <c r="I234" s="119">
        <f>SUM(I7:I227)</f>
        <v>-3358655934</v>
      </c>
      <c r="J234" s="120">
        <f>I234*100/(H234-I234)</f>
        <v>-51.015382673444464</v>
      </c>
      <c r="K234" s="119">
        <f>SUM(K7:K227)</f>
        <v>2100628250</v>
      </c>
      <c r="L234" s="119">
        <f>SUM(L7:L227)</f>
        <v>-2272642656</v>
      </c>
      <c r="M234" s="120">
        <f>L234*100/(K234-L234)</f>
        <v>-51.966656190495783</v>
      </c>
      <c r="N234" s="119">
        <f>SUM(N7:N227)</f>
        <v>986033231</v>
      </c>
      <c r="O234" s="120">
        <f>(N234-FII!V3)/N234*100</f>
        <v>-203.60522038024499</v>
      </c>
    </row>
    <row r="235" spans="1:15" x14ac:dyDescent="0.25">
      <c r="A235" s="118" t="s">
        <v>409</v>
      </c>
      <c r="B235" s="121">
        <f>B234/10000000</f>
        <v>2134.1804562000002</v>
      </c>
      <c r="C235" s="121">
        <f>C234/10000000</f>
        <v>-646.06795190000003</v>
      </c>
      <c r="D235" s="120">
        <f>D234</f>
        <v>-23.237777963211489</v>
      </c>
      <c r="E235" s="121">
        <f>E234/10000000</f>
        <v>1601.6218131999999</v>
      </c>
      <c r="F235" s="121">
        <f>F234/10000000</f>
        <v>-82.938092900000001</v>
      </c>
      <c r="G235" s="120">
        <f>G234</f>
        <v>-4.9234279291386969</v>
      </c>
      <c r="H235" s="121">
        <f>H234/10000000</f>
        <v>322.49581799999999</v>
      </c>
      <c r="I235" s="121">
        <f>I234/10000000</f>
        <v>-335.86559340000002</v>
      </c>
      <c r="J235" s="120">
        <f>J234</f>
        <v>-51.015382673444464</v>
      </c>
      <c r="K235" s="121">
        <f>K234/10000000</f>
        <v>210.062825</v>
      </c>
      <c r="L235" s="121">
        <f>L234/10000000</f>
        <v>-227.26426559999999</v>
      </c>
      <c r="M235" s="120">
        <f>M234</f>
        <v>-51.966656190495783</v>
      </c>
      <c r="N235" s="121">
        <f>N234/10000000</f>
        <v>98.603323099999997</v>
      </c>
      <c r="O235" s="120">
        <f>O234</f>
        <v>-203.60522038024499</v>
      </c>
    </row>
    <row r="243" spans="1:4" x14ac:dyDescent="0.25">
      <c r="A243" s="274" t="s">
        <v>410</v>
      </c>
      <c r="B243" s="274"/>
      <c r="C243" s="274"/>
      <c r="D243" s="274"/>
    </row>
    <row r="244" spans="1:4" x14ac:dyDescent="0.25">
      <c r="A244" s="35" t="s">
        <v>401</v>
      </c>
      <c r="B244" s="35" t="s">
        <v>402</v>
      </c>
      <c r="C244" s="35" t="s">
        <v>369</v>
      </c>
      <c r="D244" s="35" t="s">
        <v>407</v>
      </c>
    </row>
    <row r="245" spans="1:4" x14ac:dyDescent="0.25">
      <c r="A245" s="36" t="s">
        <v>403</v>
      </c>
      <c r="B245" s="37">
        <f>E235</f>
        <v>1601.6218131999999</v>
      </c>
      <c r="C245" s="37">
        <f>F235</f>
        <v>-82.938092900000001</v>
      </c>
      <c r="D245" s="39">
        <f>C245/B245</f>
        <v>-5.1783818262497179E-2</v>
      </c>
    </row>
    <row r="246" spans="1:4" x14ac:dyDescent="0.25">
      <c r="A246" s="36" t="s">
        <v>404</v>
      </c>
      <c r="B246" s="37">
        <f>H235</f>
        <v>322.49581799999999</v>
      </c>
      <c r="C246" s="37">
        <f>I235</f>
        <v>-335.86559340000002</v>
      </c>
      <c r="D246" s="39">
        <f>C246/B246</f>
        <v>-1.0414572055008788</v>
      </c>
    </row>
    <row r="247" spans="1:4" x14ac:dyDescent="0.25">
      <c r="A247" s="36" t="s">
        <v>405</v>
      </c>
      <c r="B247" s="37">
        <f>K235</f>
        <v>210.062825</v>
      </c>
      <c r="C247" s="37">
        <f>L235</f>
        <v>-227.26426559999999</v>
      </c>
      <c r="D247" s="39">
        <f>C247/B247</f>
        <v>-1.0818871240068297</v>
      </c>
    </row>
    <row r="248" spans="1:4" x14ac:dyDescent="0.25">
      <c r="A248" s="36" t="s">
        <v>406</v>
      </c>
      <c r="B248" s="40">
        <f>SUM(B245:B247)</f>
        <v>2134.1804561999998</v>
      </c>
      <c r="C248" s="40">
        <f>SUM(C245:C247)</f>
        <v>-646.06795190000003</v>
      </c>
      <c r="D248" s="41">
        <f>C248/B248</f>
        <v>-0.30272414407277998</v>
      </c>
    </row>
  </sheetData>
  <mergeCells count="9">
    <mergeCell ref="A243:D243"/>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workbookViewId="0">
      <pane ySplit="6" topLeftCell="A190" activePane="bottomLeft" state="frozen"/>
      <selection pane="bottomLeft" activeCell="R196" sqref="R196"/>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0" t="s">
        <v>334</v>
      </c>
      <c r="B3" s="281"/>
      <c r="C3" s="281"/>
      <c r="D3" s="282"/>
      <c r="E3" s="283"/>
      <c r="F3" s="283"/>
      <c r="G3" s="283"/>
      <c r="H3" s="283"/>
      <c r="I3" s="283"/>
      <c r="J3" s="283"/>
      <c r="K3" s="283"/>
      <c r="L3" s="283"/>
      <c r="M3" s="283"/>
      <c r="N3" s="283"/>
      <c r="O3" s="284"/>
    </row>
    <row r="4" spans="1:15" x14ac:dyDescent="0.25">
      <c r="A4" s="285" t="s">
        <v>330</v>
      </c>
      <c r="B4" s="287" t="s">
        <v>309</v>
      </c>
      <c r="C4" s="288"/>
      <c r="D4" s="288"/>
      <c r="E4" s="288"/>
      <c r="F4" s="288"/>
      <c r="G4" s="288"/>
      <c r="H4" s="288"/>
      <c r="I4" s="288"/>
      <c r="J4" s="288"/>
      <c r="K4" s="288"/>
      <c r="L4" s="288"/>
      <c r="M4" s="288"/>
      <c r="N4" s="288"/>
      <c r="O4" s="289"/>
    </row>
    <row r="5" spans="1:15" x14ac:dyDescent="0.25">
      <c r="A5" s="286"/>
      <c r="B5" s="290" t="s">
        <v>314</v>
      </c>
      <c r="C5" s="290"/>
      <c r="D5" s="291"/>
      <c r="E5" s="290" t="s">
        <v>335</v>
      </c>
      <c r="F5" s="290"/>
      <c r="G5" s="291"/>
      <c r="H5" s="290" t="s">
        <v>336</v>
      </c>
      <c r="I5" s="290"/>
      <c r="J5" s="291"/>
      <c r="K5" s="290" t="s">
        <v>337</v>
      </c>
      <c r="L5" s="290"/>
      <c r="M5" s="291"/>
      <c r="N5" s="290" t="s">
        <v>338</v>
      </c>
      <c r="O5" s="291"/>
    </row>
    <row r="6" spans="1:15" x14ac:dyDescent="0.25">
      <c r="A6" s="3" t="s">
        <v>318</v>
      </c>
      <c r="B6" s="3">
        <f>'Sectorwise OI'!D6</f>
        <v>46168</v>
      </c>
      <c r="C6" s="76" t="s">
        <v>333</v>
      </c>
      <c r="D6" s="76" t="s">
        <v>328</v>
      </c>
      <c r="E6" s="3">
        <f>B6</f>
        <v>46168</v>
      </c>
      <c r="F6" s="76" t="s">
        <v>333</v>
      </c>
      <c r="G6" s="76" t="s">
        <v>328</v>
      </c>
      <c r="H6" s="3">
        <f>E6</f>
        <v>46168</v>
      </c>
      <c r="I6" s="76" t="s">
        <v>333</v>
      </c>
      <c r="J6" s="76" t="s">
        <v>328</v>
      </c>
      <c r="K6" s="3">
        <f>E6</f>
        <v>46168</v>
      </c>
      <c r="L6" s="76" t="s">
        <v>333</v>
      </c>
      <c r="M6" s="76" t="s">
        <v>328</v>
      </c>
      <c r="N6" s="76" t="s">
        <v>339</v>
      </c>
      <c r="O6" s="76" t="s">
        <v>328</v>
      </c>
    </row>
    <row r="7" spans="1:15" x14ac:dyDescent="0.25">
      <c r="A7" s="97" t="str">
        <f>'Data Vlaue (Cr)'!C2</f>
        <v>360ONE</v>
      </c>
      <c r="B7" s="142">
        <f>VLOOKUP(A7,'Data Vlaue (Cr)'!C2:CW216,99,0)</f>
        <v>603</v>
      </c>
      <c r="C7" s="90">
        <f>VLOOKUP(A7,'Data Vlaue (Cr)'!C2:CY216,101,0)</f>
        <v>-211</v>
      </c>
      <c r="D7" s="139">
        <f>VLOOKUP(A7,'Data Vlaue (Cr)'!C2:CZ216,102,0)</f>
        <v>-0.25900000000000001</v>
      </c>
      <c r="E7" s="91">
        <f>VLOOKUP($A7,'Data Vlaue (Cr)'!$C:$FB,75)</f>
        <v>540</v>
      </c>
      <c r="F7" s="91">
        <f>VLOOKUP($A7,'Data Vlaue (Cr)'!$C:$FB,77)</f>
        <v>-67</v>
      </c>
      <c r="G7" s="92">
        <f>VLOOKUP(A7,'Data Vlaue (Cr)'!C2:CB216,78,0)</f>
        <v>-0.1101</v>
      </c>
      <c r="H7" s="91">
        <f>VLOOKUP($A7,'Data Vlaue (Cr)'!$C:$FB,91)</f>
        <v>43</v>
      </c>
      <c r="I7" s="91">
        <f>VLOOKUP($A7,'Data Vlaue (Cr)'!$C:$FB,93)</f>
        <v>-62</v>
      </c>
      <c r="J7" s="92">
        <f>VLOOKUP($A7,'Data Vlaue (Cr)'!$C:$FB,94)</f>
        <v>-0.58779999999999999</v>
      </c>
      <c r="K7" s="91">
        <f>VLOOKUP($A7,'Data Vlaue (Cr)'!$C:$FB,95)</f>
        <v>20</v>
      </c>
      <c r="L7" s="91">
        <f>VLOOKUP($A7,'Data Vlaue (Cr)'!$C:$FB,97)</f>
        <v>-83</v>
      </c>
      <c r="M7" s="92">
        <f>VLOOKUP($A7,'Data Vlaue (Cr)'!$C:$FB,98)</f>
        <v>-0.8014</v>
      </c>
      <c r="N7" s="91">
        <f>VLOOKUP($A7,'Data Vlaue (Cr)'!$C:$FB,79)</f>
        <v>17</v>
      </c>
      <c r="O7" s="92">
        <f>VLOOKUP($A7,'Data Vlaue (Cr)'!$C:$FB,82)</f>
        <v>-0.84919999999999995</v>
      </c>
    </row>
    <row r="8" spans="1:15" x14ac:dyDescent="0.25">
      <c r="A8" s="97" t="str">
        <f>'Data Vlaue (Cr)'!C3</f>
        <v>ABB</v>
      </c>
      <c r="B8" s="142">
        <f>VLOOKUP(A8,'Data Vlaue (Cr)'!C3:CW217,99,0)</f>
        <v>2376</v>
      </c>
      <c r="C8" s="90">
        <f>VLOOKUP(A8,'Data Vlaue (Cr)'!C3:CY217,101,0)</f>
        <v>-1616</v>
      </c>
      <c r="D8" s="139">
        <f>VLOOKUP(A8,'Data Vlaue (Cr)'!C3:CZ217,102,0)</f>
        <v>-0.40479999999999999</v>
      </c>
      <c r="E8" s="91">
        <f>VLOOKUP($A8,'Data Vlaue (Cr)'!$C:$FB,75)</f>
        <v>1692</v>
      </c>
      <c r="F8" s="91">
        <f>VLOOKUP($A8,'Data Vlaue (Cr)'!$C:$FB,77)</f>
        <v>-271</v>
      </c>
      <c r="G8" s="92">
        <f>VLOOKUP(A8,'Data Vlaue (Cr)'!C3:CB217,78,0)</f>
        <v>-0.1381</v>
      </c>
      <c r="H8" s="91">
        <f>VLOOKUP($A8,'Data Vlaue (Cr)'!$C:$FB,91)</f>
        <v>364</v>
      </c>
      <c r="I8" s="91">
        <f>VLOOKUP($A8,'Data Vlaue (Cr)'!$C:$FB,93)</f>
        <v>-886</v>
      </c>
      <c r="J8" s="92">
        <f>VLOOKUP($A8,'Data Vlaue (Cr)'!$C:$FB,94)</f>
        <v>-0.70860000000000001</v>
      </c>
      <c r="K8" s="91">
        <f>VLOOKUP($A8,'Data Vlaue (Cr)'!$C:$FB,95)</f>
        <v>320</v>
      </c>
      <c r="L8" s="91">
        <f>VLOOKUP($A8,'Data Vlaue (Cr)'!$C:$FB,97)</f>
        <v>-459</v>
      </c>
      <c r="M8" s="92">
        <f>VLOOKUP($A8,'Data Vlaue (Cr)'!$C:$FB,98)</f>
        <v>-0.58950000000000002</v>
      </c>
      <c r="N8" s="91">
        <f>VLOOKUP($A8,'Data Vlaue (Cr)'!$C:$FB,79)</f>
        <v>232</v>
      </c>
      <c r="O8" s="92">
        <f>VLOOKUP($A8,'Data Vlaue (Cr)'!$C:$FB,82)</f>
        <v>-0.2114</v>
      </c>
    </row>
    <row r="9" spans="1:15" x14ac:dyDescent="0.25">
      <c r="A9" s="97" t="str">
        <f>'Data Vlaue (Cr)'!C4</f>
        <v>ABCAPITAL</v>
      </c>
      <c r="B9" s="142">
        <f>VLOOKUP(A9,'Data Vlaue (Cr)'!C4:CW218,99,0)</f>
        <v>2431</v>
      </c>
      <c r="C9" s="90">
        <f>VLOOKUP(A9,'Data Vlaue (Cr)'!C4:CY218,101,0)</f>
        <v>-753</v>
      </c>
      <c r="D9" s="139">
        <f>VLOOKUP(A9,'Data Vlaue (Cr)'!C4:CZ218,102,0)</f>
        <v>-0.2364</v>
      </c>
      <c r="E9" s="91">
        <f>VLOOKUP($A9,'Data Vlaue (Cr)'!$C:$FB,75)</f>
        <v>2042</v>
      </c>
      <c r="F9" s="91">
        <f>VLOOKUP($A9,'Data Vlaue (Cr)'!$C:$FB,77)</f>
        <v>-96</v>
      </c>
      <c r="G9" s="92">
        <f>VLOOKUP(A9,'Data Vlaue (Cr)'!C4:CB218,78,0)</f>
        <v>-4.4699999999999997E-2</v>
      </c>
      <c r="H9" s="91">
        <f>VLOOKUP($A9,'Data Vlaue (Cr)'!$C:$FB,91)</f>
        <v>209</v>
      </c>
      <c r="I9" s="91">
        <f>VLOOKUP($A9,'Data Vlaue (Cr)'!$C:$FB,93)</f>
        <v>-371</v>
      </c>
      <c r="J9" s="92">
        <f>VLOOKUP($A9,'Data Vlaue (Cr)'!$C:$FB,94)</f>
        <v>-0.63990000000000002</v>
      </c>
      <c r="K9" s="91">
        <f>VLOOKUP($A9,'Data Vlaue (Cr)'!$C:$FB,95)</f>
        <v>180</v>
      </c>
      <c r="L9" s="91">
        <f>VLOOKUP($A9,'Data Vlaue (Cr)'!$C:$FB,97)</f>
        <v>-286</v>
      </c>
      <c r="M9" s="92">
        <f>VLOOKUP($A9,'Data Vlaue (Cr)'!$C:$FB,98)</f>
        <v>-0.61380000000000001</v>
      </c>
      <c r="N9" s="91">
        <f>VLOOKUP($A9,'Data Vlaue (Cr)'!$C:$FB,79)</f>
        <v>34</v>
      </c>
      <c r="O9" s="92">
        <f>VLOOKUP($A9,'Data Vlaue (Cr)'!$C:$FB,82)</f>
        <v>-0.87609999999999999</v>
      </c>
    </row>
    <row r="10" spans="1:15" x14ac:dyDescent="0.25">
      <c r="A10" s="97" t="str">
        <f>'Data Vlaue (Cr)'!C5</f>
        <v>ADANIENSOL</v>
      </c>
      <c r="B10" s="142">
        <f>VLOOKUP(A10,'Data Vlaue (Cr)'!C5:CW219,99,0)</f>
        <v>3575</v>
      </c>
      <c r="C10" s="90">
        <f>VLOOKUP(A10,'Data Vlaue (Cr)'!C5:CY219,101,0)</f>
        <v>-1023</v>
      </c>
      <c r="D10" s="139">
        <f>VLOOKUP(A10,'Data Vlaue (Cr)'!C5:CZ219,102,0)</f>
        <v>-0.22239999999999999</v>
      </c>
      <c r="E10" s="91">
        <f>VLOOKUP($A10,'Data Vlaue (Cr)'!$C:$FB,75)</f>
        <v>2919</v>
      </c>
      <c r="F10" s="91">
        <f>VLOOKUP($A10,'Data Vlaue (Cr)'!$C:$FB,77)</f>
        <v>-156</v>
      </c>
      <c r="G10" s="92">
        <f>VLOOKUP(A10,'Data Vlaue (Cr)'!C5:CB219,78,0)</f>
        <v>-5.0700000000000002E-2</v>
      </c>
      <c r="H10" s="91">
        <f>VLOOKUP($A10,'Data Vlaue (Cr)'!$C:$FB,91)</f>
        <v>387</v>
      </c>
      <c r="I10" s="91">
        <f>VLOOKUP($A10,'Data Vlaue (Cr)'!$C:$FB,93)</f>
        <v>-577</v>
      </c>
      <c r="J10" s="92">
        <f>VLOOKUP($A10,'Data Vlaue (Cr)'!$C:$FB,94)</f>
        <v>-0.59840000000000004</v>
      </c>
      <c r="K10" s="91">
        <f>VLOOKUP($A10,'Data Vlaue (Cr)'!$C:$FB,95)</f>
        <v>268</v>
      </c>
      <c r="L10" s="91">
        <f>VLOOKUP($A10,'Data Vlaue (Cr)'!$C:$FB,97)</f>
        <v>-289</v>
      </c>
      <c r="M10" s="92">
        <f>VLOOKUP($A10,'Data Vlaue (Cr)'!$C:$FB,98)</f>
        <v>-0.51910000000000001</v>
      </c>
      <c r="N10" s="91">
        <f>VLOOKUP($A10,'Data Vlaue (Cr)'!$C:$FB,79)</f>
        <v>306</v>
      </c>
      <c r="O10" s="92">
        <f>VLOOKUP($A10,'Data Vlaue (Cr)'!$C:$FB,82)</f>
        <v>-0.35649999999999998</v>
      </c>
    </row>
    <row r="11" spans="1:15" x14ac:dyDescent="0.25">
      <c r="A11" s="97" t="str">
        <f>'Data Vlaue (Cr)'!C6</f>
        <v>ADANIENT</v>
      </c>
      <c r="B11" s="142">
        <f>VLOOKUP(A11,'Data Vlaue (Cr)'!C6:CW220,99,0)</f>
        <v>8485</v>
      </c>
      <c r="C11" s="90">
        <f>VLOOKUP(A11,'Data Vlaue (Cr)'!C6:CY220,101,0)</f>
        <v>-3309</v>
      </c>
      <c r="D11" s="139">
        <f>VLOOKUP(A11,'Data Vlaue (Cr)'!C6:CZ220,102,0)</f>
        <v>-0.28060000000000002</v>
      </c>
      <c r="E11" s="91">
        <f>VLOOKUP($A11,'Data Vlaue (Cr)'!$C:$FB,75)</f>
        <v>5962</v>
      </c>
      <c r="F11" s="91">
        <f>VLOOKUP($A11,'Data Vlaue (Cr)'!$C:$FB,77)</f>
        <v>-123</v>
      </c>
      <c r="G11" s="92">
        <f>VLOOKUP(A11,'Data Vlaue (Cr)'!C6:CB220,78,0)</f>
        <v>-2.0299999999999999E-2</v>
      </c>
      <c r="H11" s="91">
        <f>VLOOKUP($A11,'Data Vlaue (Cr)'!$C:$FB,91)</f>
        <v>1330</v>
      </c>
      <c r="I11" s="91">
        <f>VLOOKUP($A11,'Data Vlaue (Cr)'!$C:$FB,93)</f>
        <v>-1744</v>
      </c>
      <c r="J11" s="92">
        <f>VLOOKUP($A11,'Data Vlaue (Cr)'!$C:$FB,94)</f>
        <v>-0.56730000000000003</v>
      </c>
      <c r="K11" s="91">
        <f>VLOOKUP($A11,'Data Vlaue (Cr)'!$C:$FB,95)</f>
        <v>1193</v>
      </c>
      <c r="L11" s="91">
        <f>VLOOKUP($A11,'Data Vlaue (Cr)'!$C:$FB,97)</f>
        <v>-1441</v>
      </c>
      <c r="M11" s="92">
        <f>VLOOKUP($A11,'Data Vlaue (Cr)'!$C:$FB,98)</f>
        <v>-0.54720000000000002</v>
      </c>
      <c r="N11" s="91">
        <f>VLOOKUP($A11,'Data Vlaue (Cr)'!$C:$FB,79)</f>
        <v>542</v>
      </c>
      <c r="O11" s="92">
        <f>VLOOKUP($A11,'Data Vlaue (Cr)'!$C:$FB,82)</f>
        <v>-0.55420000000000003</v>
      </c>
    </row>
    <row r="12" spans="1:15" x14ac:dyDescent="0.25">
      <c r="A12" s="97" t="str">
        <f>'Data Vlaue (Cr)'!C7</f>
        <v>ADANIGREEN</v>
      </c>
      <c r="B12" s="142">
        <f>VLOOKUP(A12,'Data Vlaue (Cr)'!C7:CW221,99,0)</f>
        <v>4140</v>
      </c>
      <c r="C12" s="90">
        <f>VLOOKUP(A12,'Data Vlaue (Cr)'!C7:CY221,101,0)</f>
        <v>-1815</v>
      </c>
      <c r="D12" s="139">
        <f>VLOOKUP(A12,'Data Vlaue (Cr)'!C7:CZ221,102,0)</f>
        <v>-0.30480000000000002</v>
      </c>
      <c r="E12" s="91">
        <f>VLOOKUP($A12,'Data Vlaue (Cr)'!$C:$FB,75)</f>
        <v>3122</v>
      </c>
      <c r="F12" s="91">
        <f>VLOOKUP($A12,'Data Vlaue (Cr)'!$C:$FB,77)</f>
        <v>-247</v>
      </c>
      <c r="G12" s="92">
        <f>VLOOKUP(A12,'Data Vlaue (Cr)'!C7:CB221,78,0)</f>
        <v>-7.3400000000000007E-2</v>
      </c>
      <c r="H12" s="91">
        <f>VLOOKUP($A12,'Data Vlaue (Cr)'!$C:$FB,91)</f>
        <v>593</v>
      </c>
      <c r="I12" s="91">
        <f>VLOOKUP($A12,'Data Vlaue (Cr)'!$C:$FB,93)</f>
        <v>-852</v>
      </c>
      <c r="J12" s="92">
        <f>VLOOKUP($A12,'Data Vlaue (Cr)'!$C:$FB,94)</f>
        <v>-0.58950000000000002</v>
      </c>
      <c r="K12" s="91">
        <f>VLOOKUP($A12,'Data Vlaue (Cr)'!$C:$FB,95)</f>
        <v>425</v>
      </c>
      <c r="L12" s="91">
        <f>VLOOKUP($A12,'Data Vlaue (Cr)'!$C:$FB,97)</f>
        <v>-716</v>
      </c>
      <c r="M12" s="92">
        <f>VLOOKUP($A12,'Data Vlaue (Cr)'!$C:$FB,98)</f>
        <v>-0.62749999999999995</v>
      </c>
      <c r="N12" s="91">
        <f>VLOOKUP($A12,'Data Vlaue (Cr)'!$C:$FB,79)</f>
        <v>223</v>
      </c>
      <c r="O12" s="92">
        <f>VLOOKUP($A12,'Data Vlaue (Cr)'!$C:$FB,82)</f>
        <v>-0.74209999999999998</v>
      </c>
    </row>
    <row r="13" spans="1:15" x14ac:dyDescent="0.25">
      <c r="A13" s="97" t="str">
        <f>'Data Vlaue (Cr)'!C8</f>
        <v>ADANIPORTS</v>
      </c>
      <c r="B13" s="142">
        <f>VLOOKUP(A13,'Data Vlaue (Cr)'!C8:CW222,99,0)</f>
        <v>4961</v>
      </c>
      <c r="C13" s="90">
        <f>VLOOKUP(A13,'Data Vlaue (Cr)'!C8:CY222,101,0)</f>
        <v>-2489</v>
      </c>
      <c r="D13" s="139">
        <f>VLOOKUP(A13,'Data Vlaue (Cr)'!C8:CZ222,102,0)</f>
        <v>-0.33410000000000001</v>
      </c>
      <c r="E13" s="91">
        <f>VLOOKUP($A13,'Data Vlaue (Cr)'!$C:$FB,75)</f>
        <v>3919</v>
      </c>
      <c r="F13" s="91">
        <f>VLOOKUP($A13,'Data Vlaue (Cr)'!$C:$FB,77)</f>
        <v>-571</v>
      </c>
      <c r="G13" s="92">
        <f>VLOOKUP(A13,'Data Vlaue (Cr)'!C8:CB222,78,0)</f>
        <v>-0.12720000000000001</v>
      </c>
      <c r="H13" s="91">
        <f>VLOOKUP($A13,'Data Vlaue (Cr)'!$C:$FB,91)</f>
        <v>680</v>
      </c>
      <c r="I13" s="91">
        <f>VLOOKUP($A13,'Data Vlaue (Cr)'!$C:$FB,93)</f>
        <v>-1038</v>
      </c>
      <c r="J13" s="92">
        <f>VLOOKUP($A13,'Data Vlaue (Cr)'!$C:$FB,94)</f>
        <v>-0.60409999999999997</v>
      </c>
      <c r="K13" s="91">
        <f>VLOOKUP($A13,'Data Vlaue (Cr)'!$C:$FB,95)</f>
        <v>362</v>
      </c>
      <c r="L13" s="91">
        <f>VLOOKUP($A13,'Data Vlaue (Cr)'!$C:$FB,97)</f>
        <v>-880</v>
      </c>
      <c r="M13" s="92">
        <f>VLOOKUP($A13,'Data Vlaue (Cr)'!$C:$FB,98)</f>
        <v>-0.70860000000000001</v>
      </c>
      <c r="N13" s="91">
        <f>VLOOKUP($A13,'Data Vlaue (Cr)'!$C:$FB,79)</f>
        <v>578</v>
      </c>
      <c r="O13" s="92">
        <f>VLOOKUP($A13,'Data Vlaue (Cr)'!$C:$FB,82)</f>
        <v>-0.3362</v>
      </c>
    </row>
    <row r="14" spans="1:15" x14ac:dyDescent="0.25">
      <c r="A14" s="97" t="str">
        <f>'Data Vlaue (Cr)'!C9</f>
        <v>ADANIPOWER</v>
      </c>
      <c r="B14" s="142">
        <f>VLOOKUP(A14,'Data Vlaue (Cr)'!C9:CW223,99,0)</f>
        <v>3445</v>
      </c>
      <c r="C14" s="90">
        <f>VLOOKUP(A14,'Data Vlaue (Cr)'!C9:CY223,101,0)</f>
        <v>-710</v>
      </c>
      <c r="D14" s="139">
        <f>VLOOKUP(A14,'Data Vlaue (Cr)'!C9:CZ223,102,0)</f>
        <v>-0.1709</v>
      </c>
      <c r="E14" s="91">
        <f>VLOOKUP($A14,'Data Vlaue (Cr)'!$C:$FB,75)</f>
        <v>2491</v>
      </c>
      <c r="F14" s="91">
        <f>VLOOKUP($A14,'Data Vlaue (Cr)'!$C:$FB,77)</f>
        <v>-15</v>
      </c>
      <c r="G14" s="92">
        <f>VLOOKUP(A14,'Data Vlaue (Cr)'!C9:CB223,78,0)</f>
        <v>-6.1999999999999998E-3</v>
      </c>
      <c r="H14" s="91">
        <f>VLOOKUP($A14,'Data Vlaue (Cr)'!$C:$FB,91)</f>
        <v>558</v>
      </c>
      <c r="I14" s="91">
        <f>VLOOKUP($A14,'Data Vlaue (Cr)'!$C:$FB,93)</f>
        <v>-456</v>
      </c>
      <c r="J14" s="92">
        <f>VLOOKUP($A14,'Data Vlaue (Cr)'!$C:$FB,94)</f>
        <v>-0.44979999999999998</v>
      </c>
      <c r="K14" s="91">
        <f>VLOOKUP($A14,'Data Vlaue (Cr)'!$C:$FB,95)</f>
        <v>396</v>
      </c>
      <c r="L14" s="91">
        <f>VLOOKUP($A14,'Data Vlaue (Cr)'!$C:$FB,97)</f>
        <v>-238</v>
      </c>
      <c r="M14" s="92">
        <f>VLOOKUP($A14,'Data Vlaue (Cr)'!$C:$FB,98)</f>
        <v>-0.37580000000000002</v>
      </c>
      <c r="N14" s="91">
        <f>VLOOKUP($A14,'Data Vlaue (Cr)'!$C:$FB,79)</f>
        <v>72</v>
      </c>
      <c r="O14" s="92">
        <f>VLOOKUP($A14,'Data Vlaue (Cr)'!$C:$FB,82)</f>
        <v>-0.82089999999999996</v>
      </c>
    </row>
    <row r="15" spans="1:15" x14ac:dyDescent="0.25">
      <c r="A15" s="97" t="str">
        <f>'Data Vlaue (Cr)'!C10</f>
        <v>ALKEM</v>
      </c>
      <c r="B15" s="142">
        <f>VLOOKUP(A15,'Data Vlaue (Cr)'!C10:CW224,99,0)</f>
        <v>774</v>
      </c>
      <c r="C15" s="90">
        <f>VLOOKUP(A15,'Data Vlaue (Cr)'!C10:CY224,101,0)</f>
        <v>-240</v>
      </c>
      <c r="D15" s="139">
        <f>VLOOKUP(A15,'Data Vlaue (Cr)'!C10:CZ224,102,0)</f>
        <v>-0.2366</v>
      </c>
      <c r="E15" s="91">
        <f>VLOOKUP($A15,'Data Vlaue (Cr)'!$C:$FB,75)</f>
        <v>667</v>
      </c>
      <c r="F15" s="91">
        <f>VLOOKUP($A15,'Data Vlaue (Cr)'!$C:$FB,77)</f>
        <v>-18</v>
      </c>
      <c r="G15" s="92">
        <f>VLOOKUP(A15,'Data Vlaue (Cr)'!C10:CB224,78,0)</f>
        <v>-2.6200000000000001E-2</v>
      </c>
      <c r="H15" s="91">
        <f>VLOOKUP($A15,'Data Vlaue (Cr)'!$C:$FB,91)</f>
        <v>60</v>
      </c>
      <c r="I15" s="91">
        <f>VLOOKUP($A15,'Data Vlaue (Cr)'!$C:$FB,93)</f>
        <v>-157</v>
      </c>
      <c r="J15" s="92">
        <f>VLOOKUP($A15,'Data Vlaue (Cr)'!$C:$FB,94)</f>
        <v>-0.72519999999999996</v>
      </c>
      <c r="K15" s="91">
        <f>VLOOKUP($A15,'Data Vlaue (Cr)'!$C:$FB,95)</f>
        <v>47</v>
      </c>
      <c r="L15" s="91">
        <f>VLOOKUP($A15,'Data Vlaue (Cr)'!$C:$FB,97)</f>
        <v>-65</v>
      </c>
      <c r="M15" s="92">
        <f>VLOOKUP($A15,'Data Vlaue (Cr)'!$C:$FB,98)</f>
        <v>-0.58050000000000002</v>
      </c>
      <c r="N15" s="91">
        <f>VLOOKUP($A15,'Data Vlaue (Cr)'!$C:$FB,79)</f>
        <v>13</v>
      </c>
      <c r="O15" s="92">
        <f>VLOOKUP($A15,'Data Vlaue (Cr)'!$C:$FB,82)</f>
        <v>-0.72240000000000004</v>
      </c>
    </row>
    <row r="16" spans="1:15" x14ac:dyDescent="0.25">
      <c r="A16" s="97" t="str">
        <f>'Data Vlaue (Cr)'!C11</f>
        <v>AMBER</v>
      </c>
      <c r="B16" s="142">
        <f>VLOOKUP(A16,'Data Vlaue (Cr)'!C11:CW225,99,0)</f>
        <v>3662</v>
      </c>
      <c r="C16" s="90">
        <f>VLOOKUP(A16,'Data Vlaue (Cr)'!C11:CY225,101,0)</f>
        <v>-2420</v>
      </c>
      <c r="D16" s="139">
        <f>VLOOKUP(A16,'Data Vlaue (Cr)'!C11:CZ225,102,0)</f>
        <v>-0.39789999999999998</v>
      </c>
      <c r="E16" s="91">
        <f>VLOOKUP($A16,'Data Vlaue (Cr)'!$C:$FB,75)</f>
        <v>2014</v>
      </c>
      <c r="F16" s="91">
        <f>VLOOKUP($A16,'Data Vlaue (Cr)'!$C:$FB,77)</f>
        <v>-126</v>
      </c>
      <c r="G16" s="92">
        <f>VLOOKUP(A16,'Data Vlaue (Cr)'!C11:CB225,78,0)</f>
        <v>-5.8999999999999997E-2</v>
      </c>
      <c r="H16" s="91">
        <f>VLOOKUP($A16,'Data Vlaue (Cr)'!$C:$FB,91)</f>
        <v>836</v>
      </c>
      <c r="I16" s="91">
        <f>VLOOKUP($A16,'Data Vlaue (Cr)'!$C:$FB,93)</f>
        <v>-1660</v>
      </c>
      <c r="J16" s="92">
        <f>VLOOKUP($A16,'Data Vlaue (Cr)'!$C:$FB,94)</f>
        <v>-0.66490000000000005</v>
      </c>
      <c r="K16" s="91">
        <f>VLOOKUP($A16,'Data Vlaue (Cr)'!$C:$FB,95)</f>
        <v>812</v>
      </c>
      <c r="L16" s="91">
        <f>VLOOKUP($A16,'Data Vlaue (Cr)'!$C:$FB,97)</f>
        <v>-634</v>
      </c>
      <c r="M16" s="92">
        <f>VLOOKUP($A16,'Data Vlaue (Cr)'!$C:$FB,98)</f>
        <v>-0.43840000000000001</v>
      </c>
      <c r="N16" s="91">
        <f>VLOOKUP($A16,'Data Vlaue (Cr)'!$C:$FB,79)</f>
        <v>203</v>
      </c>
      <c r="O16" s="92">
        <f>VLOOKUP($A16,'Data Vlaue (Cr)'!$C:$FB,82)</f>
        <v>-0.57250000000000001</v>
      </c>
    </row>
    <row r="17" spans="1:15" x14ac:dyDescent="0.25">
      <c r="A17" s="97" t="str">
        <f>'Data Vlaue (Cr)'!C12</f>
        <v>AMBUJACEM</v>
      </c>
      <c r="B17" s="142">
        <f>VLOOKUP(A17,'Data Vlaue (Cr)'!C12:CW226,99,0)</f>
        <v>3922</v>
      </c>
      <c r="C17" s="90">
        <f>VLOOKUP(A17,'Data Vlaue (Cr)'!C12:CY226,101,0)</f>
        <v>-713</v>
      </c>
      <c r="D17" s="139">
        <f>VLOOKUP(A17,'Data Vlaue (Cr)'!C12:CZ226,102,0)</f>
        <v>-0.15390000000000001</v>
      </c>
      <c r="E17" s="91">
        <f>VLOOKUP($A17,'Data Vlaue (Cr)'!$C:$FB,75)</f>
        <v>3263</v>
      </c>
      <c r="F17" s="91">
        <f>VLOOKUP($A17,'Data Vlaue (Cr)'!$C:$FB,77)</f>
        <v>-102</v>
      </c>
      <c r="G17" s="92">
        <f>VLOOKUP(A17,'Data Vlaue (Cr)'!C12:CB226,78,0)</f>
        <v>-3.04E-2</v>
      </c>
      <c r="H17" s="91">
        <f>VLOOKUP($A17,'Data Vlaue (Cr)'!$C:$FB,91)</f>
        <v>335</v>
      </c>
      <c r="I17" s="91">
        <f>VLOOKUP($A17,'Data Vlaue (Cr)'!$C:$FB,93)</f>
        <v>-444</v>
      </c>
      <c r="J17" s="92">
        <f>VLOOKUP($A17,'Data Vlaue (Cr)'!$C:$FB,94)</f>
        <v>-0.57010000000000005</v>
      </c>
      <c r="K17" s="91">
        <f>VLOOKUP($A17,'Data Vlaue (Cr)'!$C:$FB,95)</f>
        <v>325</v>
      </c>
      <c r="L17" s="91">
        <f>VLOOKUP($A17,'Data Vlaue (Cr)'!$C:$FB,97)</f>
        <v>-167</v>
      </c>
      <c r="M17" s="92">
        <f>VLOOKUP($A17,'Data Vlaue (Cr)'!$C:$FB,98)</f>
        <v>-0.3397</v>
      </c>
      <c r="N17" s="91">
        <f>VLOOKUP($A17,'Data Vlaue (Cr)'!$C:$FB,79)</f>
        <v>229</v>
      </c>
      <c r="O17" s="92">
        <f>VLOOKUP($A17,'Data Vlaue (Cr)'!$C:$FB,82)</f>
        <v>-0.5302</v>
      </c>
    </row>
    <row r="18" spans="1:15" x14ac:dyDescent="0.25">
      <c r="A18" s="97" t="str">
        <f>'Data Vlaue (Cr)'!C13</f>
        <v>ANGELONE</v>
      </c>
      <c r="B18" s="142">
        <f>VLOOKUP(A18,'Data Vlaue (Cr)'!C13:CW227,99,0)</f>
        <v>1344</v>
      </c>
      <c r="C18" s="90">
        <f>VLOOKUP(A18,'Data Vlaue (Cr)'!C13:CY227,101,0)</f>
        <v>-1057</v>
      </c>
      <c r="D18" s="139">
        <f>VLOOKUP(A18,'Data Vlaue (Cr)'!C13:CZ227,102,0)</f>
        <v>-0.44019999999999998</v>
      </c>
      <c r="E18" s="91">
        <f>VLOOKUP($A18,'Data Vlaue (Cr)'!$C:$FB,75)</f>
        <v>734</v>
      </c>
      <c r="F18" s="91">
        <f>VLOOKUP($A18,'Data Vlaue (Cr)'!$C:$FB,77)</f>
        <v>-295</v>
      </c>
      <c r="G18" s="92">
        <f>VLOOKUP(A18,'Data Vlaue (Cr)'!C13:CB227,78,0)</f>
        <v>-0.28639999999999999</v>
      </c>
      <c r="H18" s="91">
        <f>VLOOKUP($A18,'Data Vlaue (Cr)'!$C:$FB,91)</f>
        <v>323</v>
      </c>
      <c r="I18" s="91">
        <f>VLOOKUP($A18,'Data Vlaue (Cr)'!$C:$FB,93)</f>
        <v>-397</v>
      </c>
      <c r="J18" s="92">
        <f>VLOOKUP($A18,'Data Vlaue (Cr)'!$C:$FB,94)</f>
        <v>-0.55169999999999997</v>
      </c>
      <c r="K18" s="91">
        <f>VLOOKUP($A18,'Data Vlaue (Cr)'!$C:$FB,95)</f>
        <v>287</v>
      </c>
      <c r="L18" s="91">
        <f>VLOOKUP($A18,'Data Vlaue (Cr)'!$C:$FB,97)</f>
        <v>-365</v>
      </c>
      <c r="M18" s="92">
        <f>VLOOKUP($A18,'Data Vlaue (Cr)'!$C:$FB,98)</f>
        <v>-0.55930000000000002</v>
      </c>
      <c r="N18" s="91">
        <f>VLOOKUP($A18,'Data Vlaue (Cr)'!$C:$FB,79)</f>
        <v>219</v>
      </c>
      <c r="O18" s="92">
        <f>VLOOKUP($A18,'Data Vlaue (Cr)'!$C:$FB,82)</f>
        <v>-0.37940000000000002</v>
      </c>
    </row>
    <row r="19" spans="1:15" x14ac:dyDescent="0.25">
      <c r="A19" s="97" t="str">
        <f>'Data Vlaue (Cr)'!C14</f>
        <v>APLAPOLLO</v>
      </c>
      <c r="B19" s="142">
        <f>VLOOKUP(A19,'Data Vlaue (Cr)'!C14:CW228,99,0)</f>
        <v>1217</v>
      </c>
      <c r="C19" s="90">
        <f>VLOOKUP(A19,'Data Vlaue (Cr)'!C14:CY228,101,0)</f>
        <v>-464</v>
      </c>
      <c r="D19" s="139">
        <f>VLOOKUP(A19,'Data Vlaue (Cr)'!C14:CZ228,102,0)</f>
        <v>-0.2762</v>
      </c>
      <c r="E19" s="91">
        <f>VLOOKUP($A19,'Data Vlaue (Cr)'!$C:$FB,75)</f>
        <v>1038</v>
      </c>
      <c r="F19" s="91">
        <f>VLOOKUP($A19,'Data Vlaue (Cr)'!$C:$FB,77)</f>
        <v>-38</v>
      </c>
      <c r="G19" s="92">
        <f>VLOOKUP(A19,'Data Vlaue (Cr)'!C14:CB228,78,0)</f>
        <v>-3.5099999999999999E-2</v>
      </c>
      <c r="H19" s="91">
        <f>VLOOKUP($A19,'Data Vlaue (Cr)'!$C:$FB,91)</f>
        <v>82</v>
      </c>
      <c r="I19" s="91">
        <f>VLOOKUP($A19,'Data Vlaue (Cr)'!$C:$FB,93)</f>
        <v>-297</v>
      </c>
      <c r="J19" s="92">
        <f>VLOOKUP($A19,'Data Vlaue (Cr)'!$C:$FB,94)</f>
        <v>-0.78269999999999995</v>
      </c>
      <c r="K19" s="91">
        <f>VLOOKUP($A19,'Data Vlaue (Cr)'!$C:$FB,95)</f>
        <v>97</v>
      </c>
      <c r="L19" s="91">
        <f>VLOOKUP($A19,'Data Vlaue (Cr)'!$C:$FB,97)</f>
        <v>-130</v>
      </c>
      <c r="M19" s="92">
        <f>VLOOKUP($A19,'Data Vlaue (Cr)'!$C:$FB,98)</f>
        <v>-0.57210000000000005</v>
      </c>
      <c r="N19" s="91">
        <f>VLOOKUP($A19,'Data Vlaue (Cr)'!$C:$FB,79)</f>
        <v>49</v>
      </c>
      <c r="O19" s="92">
        <f>VLOOKUP($A19,'Data Vlaue (Cr)'!$C:$FB,82)</f>
        <v>-0.62460000000000004</v>
      </c>
    </row>
    <row r="20" spans="1:15" x14ac:dyDescent="0.25">
      <c r="A20" s="97" t="str">
        <f>'Data Vlaue (Cr)'!C15</f>
        <v>APOLLOHOSP</v>
      </c>
      <c r="B20" s="142">
        <f>VLOOKUP(A20,'Data Vlaue (Cr)'!C15:CW229,99,0)</f>
        <v>2273</v>
      </c>
      <c r="C20" s="90">
        <f>VLOOKUP(A20,'Data Vlaue (Cr)'!C15:CY229,101,0)</f>
        <v>-1789</v>
      </c>
      <c r="D20" s="139">
        <f>VLOOKUP(A20,'Data Vlaue (Cr)'!C15:CZ229,102,0)</f>
        <v>-0.4405</v>
      </c>
      <c r="E20" s="91">
        <f>VLOOKUP($A20,'Data Vlaue (Cr)'!$C:$FB,75)</f>
        <v>1540</v>
      </c>
      <c r="F20" s="91">
        <f>VLOOKUP($A20,'Data Vlaue (Cr)'!$C:$FB,77)</f>
        <v>-311</v>
      </c>
      <c r="G20" s="92">
        <f>VLOOKUP(A20,'Data Vlaue (Cr)'!C15:CB229,78,0)</f>
        <v>-0.16800000000000001</v>
      </c>
      <c r="H20" s="91">
        <f>VLOOKUP($A20,'Data Vlaue (Cr)'!$C:$FB,91)</f>
        <v>451</v>
      </c>
      <c r="I20" s="91">
        <f>VLOOKUP($A20,'Data Vlaue (Cr)'!$C:$FB,93)</f>
        <v>-612</v>
      </c>
      <c r="J20" s="92">
        <f>VLOOKUP($A20,'Data Vlaue (Cr)'!$C:$FB,94)</f>
        <v>-0.57599999999999996</v>
      </c>
      <c r="K20" s="91">
        <f>VLOOKUP($A20,'Data Vlaue (Cr)'!$C:$FB,95)</f>
        <v>282</v>
      </c>
      <c r="L20" s="91">
        <f>VLOOKUP($A20,'Data Vlaue (Cr)'!$C:$FB,97)</f>
        <v>-866</v>
      </c>
      <c r="M20" s="92">
        <f>VLOOKUP($A20,'Data Vlaue (Cr)'!$C:$FB,98)</f>
        <v>-0.75429999999999997</v>
      </c>
      <c r="N20" s="91">
        <f>VLOOKUP($A20,'Data Vlaue (Cr)'!$C:$FB,79)</f>
        <v>253</v>
      </c>
      <c r="O20" s="92">
        <f>VLOOKUP($A20,'Data Vlaue (Cr)'!$C:$FB,82)</f>
        <v>-0.18559999999999999</v>
      </c>
    </row>
    <row r="21" spans="1:15" x14ac:dyDescent="0.25">
      <c r="A21" s="97" t="str">
        <f>'Data Vlaue (Cr)'!C16</f>
        <v>ASHOKLEY</v>
      </c>
      <c r="B21" s="142">
        <f>VLOOKUP(A21,'Data Vlaue (Cr)'!C16:CW230,99,0)</f>
        <v>4231</v>
      </c>
      <c r="C21" s="90">
        <f>VLOOKUP(A21,'Data Vlaue (Cr)'!C16:CY230,101,0)</f>
        <v>-1609</v>
      </c>
      <c r="D21" s="139">
        <f>VLOOKUP(A21,'Data Vlaue (Cr)'!C16:CZ230,102,0)</f>
        <v>-0.27550000000000002</v>
      </c>
      <c r="E21" s="91">
        <f>VLOOKUP($A21,'Data Vlaue (Cr)'!$C:$FB,75)</f>
        <v>2790</v>
      </c>
      <c r="F21" s="91">
        <f>VLOOKUP($A21,'Data Vlaue (Cr)'!$C:$FB,77)</f>
        <v>-202</v>
      </c>
      <c r="G21" s="92">
        <f>VLOOKUP(A21,'Data Vlaue (Cr)'!C16:CB230,78,0)</f>
        <v>-6.7599999999999993E-2</v>
      </c>
      <c r="H21" s="91">
        <f>VLOOKUP($A21,'Data Vlaue (Cr)'!$C:$FB,91)</f>
        <v>759</v>
      </c>
      <c r="I21" s="91">
        <f>VLOOKUP($A21,'Data Vlaue (Cr)'!$C:$FB,93)</f>
        <v>-870</v>
      </c>
      <c r="J21" s="92">
        <f>VLOOKUP($A21,'Data Vlaue (Cr)'!$C:$FB,94)</f>
        <v>-0.53410000000000002</v>
      </c>
      <c r="K21" s="91">
        <f>VLOOKUP($A21,'Data Vlaue (Cr)'!$C:$FB,95)</f>
        <v>682</v>
      </c>
      <c r="L21" s="91">
        <f>VLOOKUP($A21,'Data Vlaue (Cr)'!$C:$FB,97)</f>
        <v>-536</v>
      </c>
      <c r="M21" s="92">
        <f>VLOOKUP($A21,'Data Vlaue (Cr)'!$C:$FB,98)</f>
        <v>-0.44040000000000001</v>
      </c>
      <c r="N21" s="91">
        <f>VLOOKUP($A21,'Data Vlaue (Cr)'!$C:$FB,79)</f>
        <v>270</v>
      </c>
      <c r="O21" s="92">
        <f>VLOOKUP($A21,'Data Vlaue (Cr)'!$C:$FB,82)</f>
        <v>-0.56069999999999998</v>
      </c>
    </row>
    <row r="22" spans="1:15" x14ac:dyDescent="0.25">
      <c r="A22" s="97" t="str">
        <f>'Data Vlaue (Cr)'!C17</f>
        <v>ASIANPAINT</v>
      </c>
      <c r="B22" s="142">
        <f>VLOOKUP(A22,'Data Vlaue (Cr)'!C17:CW231,99,0)</f>
        <v>3795</v>
      </c>
      <c r="C22" s="90">
        <f>VLOOKUP(A22,'Data Vlaue (Cr)'!C17:CY231,101,0)</f>
        <v>-2896</v>
      </c>
      <c r="D22" s="139">
        <f>VLOOKUP(A22,'Data Vlaue (Cr)'!C17:CZ231,102,0)</f>
        <v>-0.43280000000000002</v>
      </c>
      <c r="E22" s="91">
        <f>VLOOKUP($A22,'Data Vlaue (Cr)'!$C:$FB,75)</f>
        <v>2973</v>
      </c>
      <c r="F22" s="91">
        <f>VLOOKUP($A22,'Data Vlaue (Cr)'!$C:$FB,77)</f>
        <v>-522</v>
      </c>
      <c r="G22" s="92">
        <f>VLOOKUP(A22,'Data Vlaue (Cr)'!C17:CB231,78,0)</f>
        <v>-0.14940000000000001</v>
      </c>
      <c r="H22" s="91">
        <f>VLOOKUP($A22,'Data Vlaue (Cr)'!$C:$FB,91)</f>
        <v>488</v>
      </c>
      <c r="I22" s="91">
        <f>VLOOKUP($A22,'Data Vlaue (Cr)'!$C:$FB,93)</f>
        <v>-1459</v>
      </c>
      <c r="J22" s="92">
        <f>VLOOKUP($A22,'Data Vlaue (Cr)'!$C:$FB,94)</f>
        <v>-0.74950000000000006</v>
      </c>
      <c r="K22" s="91">
        <f>VLOOKUP($A22,'Data Vlaue (Cr)'!$C:$FB,95)</f>
        <v>334</v>
      </c>
      <c r="L22" s="91">
        <f>VLOOKUP($A22,'Data Vlaue (Cr)'!$C:$FB,97)</f>
        <v>-915</v>
      </c>
      <c r="M22" s="92">
        <f>VLOOKUP($A22,'Data Vlaue (Cr)'!$C:$FB,98)</f>
        <v>-0.73250000000000004</v>
      </c>
      <c r="N22" s="91">
        <f>VLOOKUP($A22,'Data Vlaue (Cr)'!$C:$FB,79)</f>
        <v>669</v>
      </c>
      <c r="O22" s="92">
        <f>VLOOKUP($A22,'Data Vlaue (Cr)'!$C:$FB,82)</f>
        <v>-0.2369</v>
      </c>
    </row>
    <row r="23" spans="1:15" x14ac:dyDescent="0.25">
      <c r="A23" s="97" t="str">
        <f>'Data Vlaue (Cr)'!C18</f>
        <v>ASTRAL</v>
      </c>
      <c r="B23" s="142">
        <f>VLOOKUP(A23,'Data Vlaue (Cr)'!C18:CW232,99,0)</f>
        <v>1482</v>
      </c>
      <c r="C23" s="90">
        <f>VLOOKUP(A23,'Data Vlaue (Cr)'!C18:CY232,101,0)</f>
        <v>-797</v>
      </c>
      <c r="D23" s="139">
        <f>VLOOKUP(A23,'Data Vlaue (Cr)'!C18:CZ232,102,0)</f>
        <v>-0.3498</v>
      </c>
      <c r="E23" s="91">
        <f>VLOOKUP($A23,'Data Vlaue (Cr)'!$C:$FB,75)</f>
        <v>1135</v>
      </c>
      <c r="F23" s="91">
        <f>VLOOKUP($A23,'Data Vlaue (Cr)'!$C:$FB,77)</f>
        <v>-297</v>
      </c>
      <c r="G23" s="92">
        <f>VLOOKUP(A23,'Data Vlaue (Cr)'!C18:CB232,78,0)</f>
        <v>-0.2074</v>
      </c>
      <c r="H23" s="91">
        <f>VLOOKUP($A23,'Data Vlaue (Cr)'!$C:$FB,91)</f>
        <v>221</v>
      </c>
      <c r="I23" s="91">
        <f>VLOOKUP($A23,'Data Vlaue (Cr)'!$C:$FB,93)</f>
        <v>-251</v>
      </c>
      <c r="J23" s="92">
        <f>VLOOKUP($A23,'Data Vlaue (Cr)'!$C:$FB,94)</f>
        <v>-0.53159999999999996</v>
      </c>
      <c r="K23" s="91">
        <f>VLOOKUP($A23,'Data Vlaue (Cr)'!$C:$FB,95)</f>
        <v>126</v>
      </c>
      <c r="L23" s="91">
        <f>VLOOKUP($A23,'Data Vlaue (Cr)'!$C:$FB,97)</f>
        <v>-249</v>
      </c>
      <c r="M23" s="92">
        <f>VLOOKUP($A23,'Data Vlaue (Cr)'!$C:$FB,98)</f>
        <v>-0.66459999999999997</v>
      </c>
      <c r="N23" s="91">
        <f>VLOOKUP($A23,'Data Vlaue (Cr)'!$C:$FB,79)</f>
        <v>185</v>
      </c>
      <c r="O23" s="92">
        <f>VLOOKUP($A23,'Data Vlaue (Cr)'!$C:$FB,82)</f>
        <v>-0.35139999999999999</v>
      </c>
    </row>
    <row r="24" spans="1:15" x14ac:dyDescent="0.25">
      <c r="A24" s="97" t="str">
        <f>'Data Vlaue (Cr)'!C19</f>
        <v>AUBANK</v>
      </c>
      <c r="B24" s="142">
        <f>VLOOKUP(A24,'Data Vlaue (Cr)'!C19:CW233,99,0)</f>
        <v>3038</v>
      </c>
      <c r="C24" s="90">
        <f>VLOOKUP(A24,'Data Vlaue (Cr)'!C19:CY233,101,0)</f>
        <v>-996</v>
      </c>
      <c r="D24" s="139">
        <f>VLOOKUP(A24,'Data Vlaue (Cr)'!C19:CZ233,102,0)</f>
        <v>-0.24679999999999999</v>
      </c>
      <c r="E24" s="91">
        <f>VLOOKUP($A24,'Data Vlaue (Cr)'!$C:$FB,75)</f>
        <v>2579</v>
      </c>
      <c r="F24" s="91">
        <f>VLOOKUP($A24,'Data Vlaue (Cr)'!$C:$FB,77)</f>
        <v>-84</v>
      </c>
      <c r="G24" s="92">
        <f>VLOOKUP(A24,'Data Vlaue (Cr)'!C19:CB233,78,0)</f>
        <v>-3.1399999999999997E-2</v>
      </c>
      <c r="H24" s="91">
        <f>VLOOKUP($A24,'Data Vlaue (Cr)'!$C:$FB,91)</f>
        <v>224</v>
      </c>
      <c r="I24" s="91">
        <f>VLOOKUP($A24,'Data Vlaue (Cr)'!$C:$FB,93)</f>
        <v>-512</v>
      </c>
      <c r="J24" s="92">
        <f>VLOOKUP($A24,'Data Vlaue (Cr)'!$C:$FB,94)</f>
        <v>-0.69550000000000001</v>
      </c>
      <c r="K24" s="91">
        <f>VLOOKUP($A24,'Data Vlaue (Cr)'!$C:$FB,95)</f>
        <v>234</v>
      </c>
      <c r="L24" s="91">
        <f>VLOOKUP($A24,'Data Vlaue (Cr)'!$C:$FB,97)</f>
        <v>-400</v>
      </c>
      <c r="M24" s="92">
        <f>VLOOKUP($A24,'Data Vlaue (Cr)'!$C:$FB,98)</f>
        <v>-0.63049999999999995</v>
      </c>
      <c r="N24" s="91">
        <f>VLOOKUP($A24,'Data Vlaue (Cr)'!$C:$FB,79)</f>
        <v>113</v>
      </c>
      <c r="O24" s="92">
        <f>VLOOKUP($A24,'Data Vlaue (Cr)'!$C:$FB,82)</f>
        <v>-0.66190000000000004</v>
      </c>
    </row>
    <row r="25" spans="1:15" x14ac:dyDescent="0.25">
      <c r="A25" s="97" t="str">
        <f>'Data Vlaue (Cr)'!C20</f>
        <v>AUROPHARMA</v>
      </c>
      <c r="B25" s="142">
        <f>VLOOKUP(A25,'Data Vlaue (Cr)'!C20:CW234,99,0)</f>
        <v>3301</v>
      </c>
      <c r="C25" s="90">
        <f>VLOOKUP(A25,'Data Vlaue (Cr)'!C20:CY234,101,0)</f>
        <v>-842</v>
      </c>
      <c r="D25" s="139">
        <f>VLOOKUP(A25,'Data Vlaue (Cr)'!C20:CZ234,102,0)</f>
        <v>-0.20319999999999999</v>
      </c>
      <c r="E25" s="91">
        <f>VLOOKUP($A25,'Data Vlaue (Cr)'!$C:$FB,75)</f>
        <v>2661</v>
      </c>
      <c r="F25" s="91">
        <f>VLOOKUP($A25,'Data Vlaue (Cr)'!$C:$FB,77)</f>
        <v>-210</v>
      </c>
      <c r="G25" s="92">
        <f>VLOOKUP(A25,'Data Vlaue (Cr)'!C20:CB234,78,0)</f>
        <v>-7.3099999999999998E-2</v>
      </c>
      <c r="H25" s="91">
        <f>VLOOKUP($A25,'Data Vlaue (Cr)'!$C:$FB,91)</f>
        <v>417</v>
      </c>
      <c r="I25" s="91">
        <f>VLOOKUP($A25,'Data Vlaue (Cr)'!$C:$FB,93)</f>
        <v>-356</v>
      </c>
      <c r="J25" s="92">
        <f>VLOOKUP($A25,'Data Vlaue (Cr)'!$C:$FB,94)</f>
        <v>-0.46060000000000001</v>
      </c>
      <c r="K25" s="91">
        <f>VLOOKUP($A25,'Data Vlaue (Cr)'!$C:$FB,95)</f>
        <v>223</v>
      </c>
      <c r="L25" s="91">
        <f>VLOOKUP($A25,'Data Vlaue (Cr)'!$C:$FB,97)</f>
        <v>-276</v>
      </c>
      <c r="M25" s="92">
        <f>VLOOKUP($A25,'Data Vlaue (Cr)'!$C:$FB,98)</f>
        <v>-0.5534</v>
      </c>
      <c r="N25" s="91">
        <f>VLOOKUP($A25,'Data Vlaue (Cr)'!$C:$FB,79)</f>
        <v>247</v>
      </c>
      <c r="O25" s="92">
        <f>VLOOKUP($A25,'Data Vlaue (Cr)'!$C:$FB,82)</f>
        <v>-0.31030000000000002</v>
      </c>
    </row>
    <row r="26" spans="1:15" x14ac:dyDescent="0.25">
      <c r="A26" s="97" t="str">
        <f>'Data Vlaue (Cr)'!C21</f>
        <v>AXISBANK</v>
      </c>
      <c r="B26" s="142">
        <f>VLOOKUP(A26,'Data Vlaue (Cr)'!C21:CW235,99,0)</f>
        <v>9847</v>
      </c>
      <c r="C26" s="90">
        <f>VLOOKUP(A26,'Data Vlaue (Cr)'!C21:CY235,101,0)</f>
        <v>-3659</v>
      </c>
      <c r="D26" s="139">
        <f>VLOOKUP(A26,'Data Vlaue (Cr)'!C21:CZ235,102,0)</f>
        <v>-0.27089999999999997</v>
      </c>
      <c r="E26" s="91">
        <f>VLOOKUP($A26,'Data Vlaue (Cr)'!$C:$FB,75)</f>
        <v>8691</v>
      </c>
      <c r="F26" s="91">
        <f>VLOOKUP($A26,'Data Vlaue (Cr)'!$C:$FB,77)</f>
        <v>-658</v>
      </c>
      <c r="G26" s="92">
        <f>VLOOKUP(A26,'Data Vlaue (Cr)'!C21:CB235,78,0)</f>
        <v>-7.0400000000000004E-2</v>
      </c>
      <c r="H26" s="91">
        <f>VLOOKUP($A26,'Data Vlaue (Cr)'!$C:$FB,91)</f>
        <v>625</v>
      </c>
      <c r="I26" s="91">
        <f>VLOOKUP($A26,'Data Vlaue (Cr)'!$C:$FB,93)</f>
        <v>-1777</v>
      </c>
      <c r="J26" s="92">
        <f>VLOOKUP($A26,'Data Vlaue (Cr)'!$C:$FB,94)</f>
        <v>-0.7399</v>
      </c>
      <c r="K26" s="91">
        <f>VLOOKUP($A26,'Data Vlaue (Cr)'!$C:$FB,95)</f>
        <v>531</v>
      </c>
      <c r="L26" s="91">
        <f>VLOOKUP($A26,'Data Vlaue (Cr)'!$C:$FB,97)</f>
        <v>-1224</v>
      </c>
      <c r="M26" s="92">
        <f>VLOOKUP($A26,'Data Vlaue (Cr)'!$C:$FB,98)</f>
        <v>-0.69740000000000002</v>
      </c>
      <c r="N26" s="91">
        <f>VLOOKUP($A26,'Data Vlaue (Cr)'!$C:$FB,79)</f>
        <v>875</v>
      </c>
      <c r="O26" s="92">
        <f>VLOOKUP($A26,'Data Vlaue (Cr)'!$C:$FB,82)</f>
        <v>-0.21510000000000001</v>
      </c>
    </row>
    <row r="27" spans="1:15" x14ac:dyDescent="0.25">
      <c r="A27" s="97" t="str">
        <f>'Data Vlaue (Cr)'!C22</f>
        <v>BAJAJ-AUTO</v>
      </c>
      <c r="B27" s="142">
        <f>VLOOKUP(A27,'Data Vlaue (Cr)'!C22:CW236,99,0)</f>
        <v>3724</v>
      </c>
      <c r="C27" s="90">
        <f>VLOOKUP(A27,'Data Vlaue (Cr)'!C22:CY236,101,0)</f>
        <v>-2817</v>
      </c>
      <c r="D27" s="139">
        <f>VLOOKUP(A27,'Data Vlaue (Cr)'!C22:CZ236,102,0)</f>
        <v>-0.43070000000000003</v>
      </c>
      <c r="E27" s="91">
        <f>VLOOKUP($A27,'Data Vlaue (Cr)'!$C:$FB,75)</f>
        <v>2481</v>
      </c>
      <c r="F27" s="91">
        <f>VLOOKUP($A27,'Data Vlaue (Cr)'!$C:$FB,77)</f>
        <v>-361</v>
      </c>
      <c r="G27" s="92">
        <f>VLOOKUP(A27,'Data Vlaue (Cr)'!C22:CB236,78,0)</f>
        <v>-0.12709999999999999</v>
      </c>
      <c r="H27" s="91">
        <f>VLOOKUP($A27,'Data Vlaue (Cr)'!$C:$FB,91)</f>
        <v>851</v>
      </c>
      <c r="I27" s="91">
        <f>VLOOKUP($A27,'Data Vlaue (Cr)'!$C:$FB,93)</f>
        <v>-1457</v>
      </c>
      <c r="J27" s="92">
        <f>VLOOKUP($A27,'Data Vlaue (Cr)'!$C:$FB,94)</f>
        <v>-0.63139999999999996</v>
      </c>
      <c r="K27" s="91">
        <f>VLOOKUP($A27,'Data Vlaue (Cr)'!$C:$FB,95)</f>
        <v>392</v>
      </c>
      <c r="L27" s="91">
        <f>VLOOKUP($A27,'Data Vlaue (Cr)'!$C:$FB,97)</f>
        <v>-999</v>
      </c>
      <c r="M27" s="92">
        <f>VLOOKUP($A27,'Data Vlaue (Cr)'!$C:$FB,98)</f>
        <v>-0.71809999999999996</v>
      </c>
      <c r="N27" s="91">
        <f>VLOOKUP($A27,'Data Vlaue (Cr)'!$C:$FB,79)</f>
        <v>484</v>
      </c>
      <c r="O27" s="92">
        <f>VLOOKUP($A27,'Data Vlaue (Cr)'!$C:$FB,82)</f>
        <v>-0.37259999999999999</v>
      </c>
    </row>
    <row r="28" spans="1:15" x14ac:dyDescent="0.25">
      <c r="A28" s="97" t="str">
        <f>'Data Vlaue (Cr)'!C23</f>
        <v>BAJAJFINSV</v>
      </c>
      <c r="B28" s="142">
        <f>VLOOKUP(A28,'Data Vlaue (Cr)'!C23:CW237,99,0)</f>
        <v>2547</v>
      </c>
      <c r="C28" s="90">
        <f>VLOOKUP(A28,'Data Vlaue (Cr)'!C23:CY237,101,0)</f>
        <v>-1429</v>
      </c>
      <c r="D28" s="139">
        <f>VLOOKUP(A28,'Data Vlaue (Cr)'!C23:CZ237,102,0)</f>
        <v>-0.3594</v>
      </c>
      <c r="E28" s="91">
        <f>VLOOKUP($A28,'Data Vlaue (Cr)'!$C:$FB,75)</f>
        <v>1997</v>
      </c>
      <c r="F28" s="91">
        <f>VLOOKUP($A28,'Data Vlaue (Cr)'!$C:$FB,77)</f>
        <v>-190</v>
      </c>
      <c r="G28" s="92">
        <f>VLOOKUP(A28,'Data Vlaue (Cr)'!C23:CB237,78,0)</f>
        <v>-8.6900000000000005E-2</v>
      </c>
      <c r="H28" s="91">
        <f>VLOOKUP($A28,'Data Vlaue (Cr)'!$C:$FB,91)</f>
        <v>257</v>
      </c>
      <c r="I28" s="91">
        <f>VLOOKUP($A28,'Data Vlaue (Cr)'!$C:$FB,93)</f>
        <v>-874</v>
      </c>
      <c r="J28" s="92">
        <f>VLOOKUP($A28,'Data Vlaue (Cr)'!$C:$FB,94)</f>
        <v>-0.77280000000000004</v>
      </c>
      <c r="K28" s="91">
        <f>VLOOKUP($A28,'Data Vlaue (Cr)'!$C:$FB,95)</f>
        <v>293</v>
      </c>
      <c r="L28" s="91">
        <f>VLOOKUP($A28,'Data Vlaue (Cr)'!$C:$FB,97)</f>
        <v>-365</v>
      </c>
      <c r="M28" s="92">
        <f>VLOOKUP($A28,'Data Vlaue (Cr)'!$C:$FB,98)</f>
        <v>-0.55479999999999996</v>
      </c>
      <c r="N28" s="91">
        <f>VLOOKUP($A28,'Data Vlaue (Cr)'!$C:$FB,79)</f>
        <v>292</v>
      </c>
      <c r="O28" s="92">
        <f>VLOOKUP($A28,'Data Vlaue (Cr)'!$C:$FB,82)</f>
        <v>-5.8400000000000001E-2</v>
      </c>
    </row>
    <row r="29" spans="1:15" x14ac:dyDescent="0.25">
      <c r="A29" s="97" t="str">
        <f>'Data Vlaue (Cr)'!C24</f>
        <v>BAJAJHLDNG</v>
      </c>
      <c r="B29" s="142">
        <f>VLOOKUP(A29,'Data Vlaue (Cr)'!C24:CW238,99,0)</f>
        <v>323</v>
      </c>
      <c r="C29" s="90">
        <f>VLOOKUP(A29,'Data Vlaue (Cr)'!C24:CY238,101,0)</f>
        <v>-144</v>
      </c>
      <c r="D29" s="139">
        <f>VLOOKUP(A29,'Data Vlaue (Cr)'!C24:CZ238,102,0)</f>
        <v>-0.30819999999999997</v>
      </c>
      <c r="E29" s="91">
        <f>VLOOKUP($A29,'Data Vlaue (Cr)'!$C:$FB,75)</f>
        <v>291</v>
      </c>
      <c r="F29" s="91">
        <f>VLOOKUP($A29,'Data Vlaue (Cr)'!$C:$FB,77)</f>
        <v>-31</v>
      </c>
      <c r="G29" s="92">
        <f>VLOOKUP(A29,'Data Vlaue (Cr)'!C24:CB238,78,0)</f>
        <v>-9.5899999999999999E-2</v>
      </c>
      <c r="H29" s="91">
        <f>VLOOKUP($A29,'Data Vlaue (Cr)'!$C:$FB,91)</f>
        <v>19</v>
      </c>
      <c r="I29" s="91">
        <f>VLOOKUP($A29,'Data Vlaue (Cr)'!$C:$FB,93)</f>
        <v>-72</v>
      </c>
      <c r="J29" s="92">
        <f>VLOOKUP($A29,'Data Vlaue (Cr)'!$C:$FB,94)</f>
        <v>-0.79490000000000005</v>
      </c>
      <c r="K29" s="91">
        <f>VLOOKUP($A29,'Data Vlaue (Cr)'!$C:$FB,95)</f>
        <v>13</v>
      </c>
      <c r="L29" s="91">
        <f>VLOOKUP($A29,'Data Vlaue (Cr)'!$C:$FB,97)</f>
        <v>-41</v>
      </c>
      <c r="M29" s="92">
        <f>VLOOKUP($A29,'Data Vlaue (Cr)'!$C:$FB,98)</f>
        <v>-0.75609999999999999</v>
      </c>
      <c r="N29" s="91">
        <f>VLOOKUP($A29,'Data Vlaue (Cr)'!$C:$FB,79)</f>
        <v>45</v>
      </c>
      <c r="O29" s="92">
        <f>VLOOKUP($A29,'Data Vlaue (Cr)'!$C:$FB,82)</f>
        <v>-0.34</v>
      </c>
    </row>
    <row r="30" spans="1:15" x14ac:dyDescent="0.25">
      <c r="A30" s="97" t="str">
        <f>'Data Vlaue (Cr)'!C25</f>
        <v>BAJFINANCE</v>
      </c>
      <c r="B30" s="142">
        <f>VLOOKUP(A30,'Data Vlaue (Cr)'!C25:CW239,99,0)</f>
        <v>8216</v>
      </c>
      <c r="C30" s="90">
        <f>VLOOKUP(A30,'Data Vlaue (Cr)'!C25:CY239,101,0)</f>
        <v>-1408</v>
      </c>
      <c r="D30" s="139">
        <f>VLOOKUP(A30,'Data Vlaue (Cr)'!C25:CZ239,102,0)</f>
        <v>-0.14630000000000001</v>
      </c>
      <c r="E30" s="91">
        <f>VLOOKUP($A30,'Data Vlaue (Cr)'!$C:$FB,75)</f>
        <v>6808</v>
      </c>
      <c r="F30" s="91">
        <f>VLOOKUP($A30,'Data Vlaue (Cr)'!$C:$FB,77)</f>
        <v>43</v>
      </c>
      <c r="G30" s="92">
        <f>VLOOKUP(A30,'Data Vlaue (Cr)'!C25:CB239,78,0)</f>
        <v>6.3E-3</v>
      </c>
      <c r="H30" s="91">
        <f>VLOOKUP($A30,'Data Vlaue (Cr)'!$C:$FB,91)</f>
        <v>740</v>
      </c>
      <c r="I30" s="91">
        <f>VLOOKUP($A30,'Data Vlaue (Cr)'!$C:$FB,93)</f>
        <v>-899</v>
      </c>
      <c r="J30" s="92">
        <f>VLOOKUP($A30,'Data Vlaue (Cr)'!$C:$FB,94)</f>
        <v>-0.54859999999999998</v>
      </c>
      <c r="K30" s="91">
        <f>VLOOKUP($A30,'Data Vlaue (Cr)'!$C:$FB,95)</f>
        <v>669</v>
      </c>
      <c r="L30" s="91">
        <f>VLOOKUP($A30,'Data Vlaue (Cr)'!$C:$FB,97)</f>
        <v>-552</v>
      </c>
      <c r="M30" s="92">
        <f>VLOOKUP($A30,'Data Vlaue (Cr)'!$C:$FB,98)</f>
        <v>-0.45219999999999999</v>
      </c>
      <c r="N30" s="91">
        <f>VLOOKUP($A30,'Data Vlaue (Cr)'!$C:$FB,79)</f>
        <v>111</v>
      </c>
      <c r="O30" s="92">
        <f>VLOOKUP($A30,'Data Vlaue (Cr)'!$C:$FB,82)</f>
        <v>-0.53979999999999995</v>
      </c>
    </row>
    <row r="31" spans="1:15" x14ac:dyDescent="0.25">
      <c r="A31" s="97" t="str">
        <f>'Data Vlaue (Cr)'!C26</f>
        <v>BANDHANBNK</v>
      </c>
      <c r="B31" s="142">
        <f>VLOOKUP(A31,'Data Vlaue (Cr)'!C26:CW240,99,0)</f>
        <v>2692</v>
      </c>
      <c r="C31" s="90">
        <f>VLOOKUP(A31,'Data Vlaue (Cr)'!C26:CY240,101,0)</f>
        <v>-615</v>
      </c>
      <c r="D31" s="139">
        <f>VLOOKUP(A31,'Data Vlaue (Cr)'!C26:CZ240,102,0)</f>
        <v>-0.18590000000000001</v>
      </c>
      <c r="E31" s="91">
        <f>VLOOKUP($A31,'Data Vlaue (Cr)'!$C:$FB,75)</f>
        <v>2093</v>
      </c>
      <c r="F31" s="91">
        <f>VLOOKUP($A31,'Data Vlaue (Cr)'!$C:$FB,77)</f>
        <v>41</v>
      </c>
      <c r="G31" s="92">
        <f>VLOOKUP(A31,'Data Vlaue (Cr)'!C26:CB240,78,0)</f>
        <v>2.01E-2</v>
      </c>
      <c r="H31" s="91">
        <f>VLOOKUP($A31,'Data Vlaue (Cr)'!$C:$FB,91)</f>
        <v>373</v>
      </c>
      <c r="I31" s="91">
        <f>VLOOKUP($A31,'Data Vlaue (Cr)'!$C:$FB,93)</f>
        <v>-385</v>
      </c>
      <c r="J31" s="92">
        <f>VLOOKUP($A31,'Data Vlaue (Cr)'!$C:$FB,94)</f>
        <v>-0.50749999999999995</v>
      </c>
      <c r="K31" s="91">
        <f>VLOOKUP($A31,'Data Vlaue (Cr)'!$C:$FB,95)</f>
        <v>226</v>
      </c>
      <c r="L31" s="91">
        <f>VLOOKUP($A31,'Data Vlaue (Cr)'!$C:$FB,97)</f>
        <v>-271</v>
      </c>
      <c r="M31" s="92">
        <f>VLOOKUP($A31,'Data Vlaue (Cr)'!$C:$FB,98)</f>
        <v>-0.54569999999999996</v>
      </c>
      <c r="N31" s="91">
        <f>VLOOKUP($A31,'Data Vlaue (Cr)'!$C:$FB,79)</f>
        <v>69</v>
      </c>
      <c r="O31" s="92">
        <f>VLOOKUP($A31,'Data Vlaue (Cr)'!$C:$FB,82)</f>
        <v>-0.68759999999999999</v>
      </c>
    </row>
    <row r="32" spans="1:15" x14ac:dyDescent="0.25">
      <c r="A32" s="97" t="str">
        <f>'Data Vlaue (Cr)'!C27</f>
        <v>BANKBARODA</v>
      </c>
      <c r="B32" s="142">
        <f>VLOOKUP(A32,'Data Vlaue (Cr)'!C27:CW241,99,0)</f>
        <v>4275</v>
      </c>
      <c r="C32" s="90">
        <f>VLOOKUP(A32,'Data Vlaue (Cr)'!C27:CY241,101,0)</f>
        <v>-1600</v>
      </c>
      <c r="D32" s="139">
        <f>VLOOKUP(A32,'Data Vlaue (Cr)'!C27:CZ241,102,0)</f>
        <v>-0.27229999999999999</v>
      </c>
      <c r="E32" s="91">
        <f>VLOOKUP($A32,'Data Vlaue (Cr)'!$C:$FB,75)</f>
        <v>3243</v>
      </c>
      <c r="F32" s="91">
        <f>VLOOKUP($A32,'Data Vlaue (Cr)'!$C:$FB,77)</f>
        <v>-351</v>
      </c>
      <c r="G32" s="92">
        <f>VLOOKUP(A32,'Data Vlaue (Cr)'!C27:CB241,78,0)</f>
        <v>-9.7600000000000006E-2</v>
      </c>
      <c r="H32" s="91">
        <f>VLOOKUP($A32,'Data Vlaue (Cr)'!$C:$FB,91)</f>
        <v>461</v>
      </c>
      <c r="I32" s="91">
        <f>VLOOKUP($A32,'Data Vlaue (Cr)'!$C:$FB,93)</f>
        <v>-743</v>
      </c>
      <c r="J32" s="92">
        <f>VLOOKUP($A32,'Data Vlaue (Cr)'!$C:$FB,94)</f>
        <v>-0.61739999999999995</v>
      </c>
      <c r="K32" s="91">
        <f>VLOOKUP($A32,'Data Vlaue (Cr)'!$C:$FB,95)</f>
        <v>572</v>
      </c>
      <c r="L32" s="91">
        <f>VLOOKUP($A32,'Data Vlaue (Cr)'!$C:$FB,97)</f>
        <v>-506</v>
      </c>
      <c r="M32" s="92">
        <f>VLOOKUP($A32,'Data Vlaue (Cr)'!$C:$FB,98)</f>
        <v>-0.46960000000000002</v>
      </c>
      <c r="N32" s="91">
        <f>VLOOKUP($A32,'Data Vlaue (Cr)'!$C:$FB,79)</f>
        <v>391</v>
      </c>
      <c r="O32" s="92">
        <f>VLOOKUP($A32,'Data Vlaue (Cr)'!$C:$FB,82)</f>
        <v>-0.43459999999999999</v>
      </c>
    </row>
    <row r="33" spans="1:15" x14ac:dyDescent="0.25">
      <c r="A33" s="97" t="str">
        <f>'Data Vlaue (Cr)'!C28</f>
        <v>BANKINDIA</v>
      </c>
      <c r="B33" s="142">
        <f>VLOOKUP(A33,'Data Vlaue (Cr)'!C28:CW242,99,0)</f>
        <v>1186</v>
      </c>
      <c r="C33" s="90">
        <f>VLOOKUP(A33,'Data Vlaue (Cr)'!C28:CY242,101,0)</f>
        <v>-578</v>
      </c>
      <c r="D33" s="139">
        <f>VLOOKUP(A33,'Data Vlaue (Cr)'!C28:CZ242,102,0)</f>
        <v>-0.32769999999999999</v>
      </c>
      <c r="E33" s="91">
        <f>VLOOKUP($A33,'Data Vlaue (Cr)'!$C:$FB,75)</f>
        <v>913</v>
      </c>
      <c r="F33" s="91">
        <f>VLOOKUP($A33,'Data Vlaue (Cr)'!$C:$FB,77)</f>
        <v>-178</v>
      </c>
      <c r="G33" s="92">
        <f>VLOOKUP(A33,'Data Vlaue (Cr)'!C28:CB242,78,0)</f>
        <v>-0.16339999999999999</v>
      </c>
      <c r="H33" s="91">
        <f>VLOOKUP($A33,'Data Vlaue (Cr)'!$C:$FB,91)</f>
        <v>146</v>
      </c>
      <c r="I33" s="91">
        <f>VLOOKUP($A33,'Data Vlaue (Cr)'!$C:$FB,93)</f>
        <v>-255</v>
      </c>
      <c r="J33" s="92">
        <f>VLOOKUP($A33,'Data Vlaue (Cr)'!$C:$FB,94)</f>
        <v>-0.63600000000000001</v>
      </c>
      <c r="K33" s="91">
        <f>VLOOKUP($A33,'Data Vlaue (Cr)'!$C:$FB,95)</f>
        <v>127</v>
      </c>
      <c r="L33" s="91">
        <f>VLOOKUP($A33,'Data Vlaue (Cr)'!$C:$FB,97)</f>
        <v>-145</v>
      </c>
      <c r="M33" s="92">
        <f>VLOOKUP($A33,'Data Vlaue (Cr)'!$C:$FB,98)</f>
        <v>-0.53210000000000002</v>
      </c>
      <c r="N33" s="91">
        <f>VLOOKUP($A33,'Data Vlaue (Cr)'!$C:$FB,79)</f>
        <v>137</v>
      </c>
      <c r="O33" s="92">
        <f>VLOOKUP($A33,'Data Vlaue (Cr)'!$C:$FB,82)</f>
        <v>-0.45179999999999998</v>
      </c>
    </row>
    <row r="34" spans="1:15" x14ac:dyDescent="0.25">
      <c r="A34" s="97" t="str">
        <f>'Data Vlaue (Cr)'!C29</f>
        <v>BANKNIFTY</v>
      </c>
      <c r="B34" s="142">
        <f>VLOOKUP(A34,'Data Vlaue (Cr)'!C29:CW243,99,0)</f>
        <v>116494</v>
      </c>
      <c r="C34" s="90">
        <f>VLOOKUP(A34,'Data Vlaue (Cr)'!C29:CY243,101,0)</f>
        <v>-185581</v>
      </c>
      <c r="D34" s="139">
        <f>VLOOKUP(A34,'Data Vlaue (Cr)'!C29:CZ243,102,0)</f>
        <v>-0.61439999999999995</v>
      </c>
      <c r="E34" s="91">
        <f>VLOOKUP($A34,'Data Vlaue (Cr)'!$C:$FB,75)</f>
        <v>14021</v>
      </c>
      <c r="F34" s="91">
        <f>VLOOKUP($A34,'Data Vlaue (Cr)'!$C:$FB,77)</f>
        <v>-3485</v>
      </c>
      <c r="G34" s="92">
        <f>VLOOKUP(A34,'Data Vlaue (Cr)'!C29:CB243,78,0)</f>
        <v>-0.1991</v>
      </c>
      <c r="H34" s="91">
        <f>VLOOKUP($A34,'Data Vlaue (Cr)'!$C:$FB,91)</f>
        <v>51654</v>
      </c>
      <c r="I34" s="91">
        <f>VLOOKUP($A34,'Data Vlaue (Cr)'!$C:$FB,93)</f>
        <v>-91531</v>
      </c>
      <c r="J34" s="92">
        <f>VLOOKUP($A34,'Data Vlaue (Cr)'!$C:$FB,94)</f>
        <v>-0.63929999999999998</v>
      </c>
      <c r="K34" s="91">
        <f>VLOOKUP($A34,'Data Vlaue (Cr)'!$C:$FB,95)</f>
        <v>50819</v>
      </c>
      <c r="L34" s="91">
        <f>VLOOKUP($A34,'Data Vlaue (Cr)'!$C:$FB,97)</f>
        <v>-90565</v>
      </c>
      <c r="M34" s="92">
        <f>VLOOKUP($A34,'Data Vlaue (Cr)'!$C:$FB,98)</f>
        <v>-0.64059999999999995</v>
      </c>
      <c r="N34" s="91">
        <f>VLOOKUP($A34,'Data Vlaue (Cr)'!$C:$FB,79)</f>
        <v>4589</v>
      </c>
      <c r="O34" s="92">
        <f>VLOOKUP($A34,'Data Vlaue (Cr)'!$C:$FB,82)</f>
        <v>-0.27950000000000003</v>
      </c>
    </row>
    <row r="35" spans="1:15" x14ac:dyDescent="0.25">
      <c r="A35" s="97" t="str">
        <f>'Data Vlaue (Cr)'!C30</f>
        <v>BDL</v>
      </c>
      <c r="B35" s="142">
        <f>VLOOKUP(A35,'Data Vlaue (Cr)'!C30:CW244,99,0)</f>
        <v>743</v>
      </c>
      <c r="C35" s="90">
        <f>VLOOKUP(A35,'Data Vlaue (Cr)'!C30:CY244,101,0)</f>
        <v>-545</v>
      </c>
      <c r="D35" s="139">
        <f>VLOOKUP(A35,'Data Vlaue (Cr)'!C30:CZ244,102,0)</f>
        <v>-0.42280000000000001</v>
      </c>
      <c r="E35" s="91">
        <f>VLOOKUP($A35,'Data Vlaue (Cr)'!$C:$FB,75)</f>
        <v>439</v>
      </c>
      <c r="F35" s="91">
        <f>VLOOKUP($A35,'Data Vlaue (Cr)'!$C:$FB,77)</f>
        <v>-69</v>
      </c>
      <c r="G35" s="92">
        <f>VLOOKUP(A35,'Data Vlaue (Cr)'!C30:CB244,78,0)</f>
        <v>-0.1351</v>
      </c>
      <c r="H35" s="91">
        <f>VLOOKUP($A35,'Data Vlaue (Cr)'!$C:$FB,91)</f>
        <v>175</v>
      </c>
      <c r="I35" s="91">
        <f>VLOOKUP($A35,'Data Vlaue (Cr)'!$C:$FB,93)</f>
        <v>-332</v>
      </c>
      <c r="J35" s="92">
        <f>VLOOKUP($A35,'Data Vlaue (Cr)'!$C:$FB,94)</f>
        <v>-0.65510000000000002</v>
      </c>
      <c r="K35" s="91">
        <f>VLOOKUP($A35,'Data Vlaue (Cr)'!$C:$FB,95)</f>
        <v>130</v>
      </c>
      <c r="L35" s="91">
        <f>VLOOKUP($A35,'Data Vlaue (Cr)'!$C:$FB,97)</f>
        <v>-144</v>
      </c>
      <c r="M35" s="92">
        <f>VLOOKUP($A35,'Data Vlaue (Cr)'!$C:$FB,98)</f>
        <v>-0.52629999999999999</v>
      </c>
      <c r="N35" s="91">
        <f>VLOOKUP($A35,'Data Vlaue (Cr)'!$C:$FB,79)</f>
        <v>54</v>
      </c>
      <c r="O35" s="92">
        <f>VLOOKUP($A35,'Data Vlaue (Cr)'!$C:$FB,82)</f>
        <v>-0.4854</v>
      </c>
    </row>
    <row r="36" spans="1:15" x14ac:dyDescent="0.25">
      <c r="A36" s="97" t="str">
        <f>'Data Vlaue (Cr)'!C31</f>
        <v>BEL</v>
      </c>
      <c r="B36" s="142">
        <f>VLOOKUP(A36,'Data Vlaue (Cr)'!C31:CW245,99,0)</f>
        <v>6478</v>
      </c>
      <c r="C36" s="90">
        <f>VLOOKUP(A36,'Data Vlaue (Cr)'!C31:CY245,101,0)</f>
        <v>-2492</v>
      </c>
      <c r="D36" s="139">
        <f>VLOOKUP(A36,'Data Vlaue (Cr)'!C31:CZ245,102,0)</f>
        <v>-0.27779999999999999</v>
      </c>
      <c r="E36" s="91">
        <f>VLOOKUP($A36,'Data Vlaue (Cr)'!$C:$FB,75)</f>
        <v>4586</v>
      </c>
      <c r="F36" s="91">
        <f>VLOOKUP($A36,'Data Vlaue (Cr)'!$C:$FB,77)</f>
        <v>-332</v>
      </c>
      <c r="G36" s="92">
        <f>VLOOKUP(A36,'Data Vlaue (Cr)'!C31:CB245,78,0)</f>
        <v>-6.7400000000000002E-2</v>
      </c>
      <c r="H36" s="91">
        <f>VLOOKUP($A36,'Data Vlaue (Cr)'!$C:$FB,91)</f>
        <v>1046</v>
      </c>
      <c r="I36" s="91">
        <f>VLOOKUP($A36,'Data Vlaue (Cr)'!$C:$FB,93)</f>
        <v>-1537</v>
      </c>
      <c r="J36" s="92">
        <f>VLOOKUP($A36,'Data Vlaue (Cr)'!$C:$FB,94)</f>
        <v>-0.59519999999999995</v>
      </c>
      <c r="K36" s="91">
        <f>VLOOKUP($A36,'Data Vlaue (Cr)'!$C:$FB,95)</f>
        <v>846</v>
      </c>
      <c r="L36" s="91">
        <f>VLOOKUP($A36,'Data Vlaue (Cr)'!$C:$FB,97)</f>
        <v>-623</v>
      </c>
      <c r="M36" s="92">
        <f>VLOOKUP($A36,'Data Vlaue (Cr)'!$C:$FB,98)</f>
        <v>-0.42409999999999998</v>
      </c>
      <c r="N36" s="91">
        <f>VLOOKUP($A36,'Data Vlaue (Cr)'!$C:$FB,79)</f>
        <v>336</v>
      </c>
      <c r="O36" s="92">
        <f>VLOOKUP($A36,'Data Vlaue (Cr)'!$C:$FB,82)</f>
        <v>-0.67430000000000001</v>
      </c>
    </row>
    <row r="37" spans="1:15" x14ac:dyDescent="0.25">
      <c r="A37" s="97" t="str">
        <f>'Data Vlaue (Cr)'!C32</f>
        <v>BHARATFORG</v>
      </c>
      <c r="B37" s="142">
        <f>VLOOKUP(A37,'Data Vlaue (Cr)'!C32:CW246,99,0)</f>
        <v>1675</v>
      </c>
      <c r="C37" s="90">
        <f>VLOOKUP(A37,'Data Vlaue (Cr)'!C32:CY246,101,0)</f>
        <v>-925</v>
      </c>
      <c r="D37" s="139">
        <f>VLOOKUP(A37,'Data Vlaue (Cr)'!C32:CZ246,102,0)</f>
        <v>-0.35580000000000001</v>
      </c>
      <c r="E37" s="91">
        <f>VLOOKUP($A37,'Data Vlaue (Cr)'!$C:$FB,75)</f>
        <v>1335</v>
      </c>
      <c r="F37" s="91">
        <f>VLOOKUP($A37,'Data Vlaue (Cr)'!$C:$FB,77)</f>
        <v>-90</v>
      </c>
      <c r="G37" s="92">
        <f>VLOOKUP(A37,'Data Vlaue (Cr)'!C32:CB246,78,0)</f>
        <v>-6.3100000000000003E-2</v>
      </c>
      <c r="H37" s="91">
        <f>VLOOKUP($A37,'Data Vlaue (Cr)'!$C:$FB,91)</f>
        <v>191</v>
      </c>
      <c r="I37" s="91">
        <f>VLOOKUP($A37,'Data Vlaue (Cr)'!$C:$FB,93)</f>
        <v>-510</v>
      </c>
      <c r="J37" s="92">
        <f>VLOOKUP($A37,'Data Vlaue (Cr)'!$C:$FB,94)</f>
        <v>-0.72709999999999997</v>
      </c>
      <c r="K37" s="91">
        <f>VLOOKUP($A37,'Data Vlaue (Cr)'!$C:$FB,95)</f>
        <v>149</v>
      </c>
      <c r="L37" s="91">
        <f>VLOOKUP($A37,'Data Vlaue (Cr)'!$C:$FB,97)</f>
        <v>-326</v>
      </c>
      <c r="M37" s="92">
        <f>VLOOKUP($A37,'Data Vlaue (Cr)'!$C:$FB,98)</f>
        <v>-0.68620000000000003</v>
      </c>
      <c r="N37" s="91">
        <f>VLOOKUP($A37,'Data Vlaue (Cr)'!$C:$FB,79)</f>
        <v>102</v>
      </c>
      <c r="O37" s="92">
        <f>VLOOKUP($A37,'Data Vlaue (Cr)'!$C:$FB,82)</f>
        <v>-0.49740000000000001</v>
      </c>
    </row>
    <row r="38" spans="1:15" x14ac:dyDescent="0.25">
      <c r="A38" s="97" t="str">
        <f>'Data Vlaue (Cr)'!C33</f>
        <v>BHARTIARTL</v>
      </c>
      <c r="B38" s="142">
        <f>VLOOKUP(A38,'Data Vlaue (Cr)'!C33:CW247,99,0)</f>
        <v>12854</v>
      </c>
      <c r="C38" s="90">
        <f>VLOOKUP(A38,'Data Vlaue (Cr)'!C33:CY247,101,0)</f>
        <v>-4643</v>
      </c>
      <c r="D38" s="139">
        <f>VLOOKUP(A38,'Data Vlaue (Cr)'!C33:CZ247,102,0)</f>
        <v>-0.26540000000000002</v>
      </c>
      <c r="E38" s="91">
        <f>VLOOKUP($A38,'Data Vlaue (Cr)'!$C:$FB,75)</f>
        <v>10727</v>
      </c>
      <c r="F38" s="91">
        <f>VLOOKUP($A38,'Data Vlaue (Cr)'!$C:$FB,77)</f>
        <v>4</v>
      </c>
      <c r="G38" s="92">
        <f>VLOOKUP(A38,'Data Vlaue (Cr)'!C33:CB247,78,0)</f>
        <v>4.0000000000000002E-4</v>
      </c>
      <c r="H38" s="91">
        <f>VLOOKUP($A38,'Data Vlaue (Cr)'!$C:$FB,91)</f>
        <v>1384</v>
      </c>
      <c r="I38" s="91">
        <f>VLOOKUP($A38,'Data Vlaue (Cr)'!$C:$FB,93)</f>
        <v>-3093</v>
      </c>
      <c r="J38" s="92">
        <f>VLOOKUP($A38,'Data Vlaue (Cr)'!$C:$FB,94)</f>
        <v>-0.69089999999999996</v>
      </c>
      <c r="K38" s="91">
        <f>VLOOKUP($A38,'Data Vlaue (Cr)'!$C:$FB,95)</f>
        <v>744</v>
      </c>
      <c r="L38" s="91">
        <f>VLOOKUP($A38,'Data Vlaue (Cr)'!$C:$FB,97)</f>
        <v>-1555</v>
      </c>
      <c r="M38" s="92">
        <f>VLOOKUP($A38,'Data Vlaue (Cr)'!$C:$FB,98)</f>
        <v>-0.67649999999999999</v>
      </c>
      <c r="N38" s="91">
        <f>VLOOKUP($A38,'Data Vlaue (Cr)'!$C:$FB,79)</f>
        <v>853</v>
      </c>
      <c r="O38" s="92">
        <f>VLOOKUP($A38,'Data Vlaue (Cr)'!$C:$FB,82)</f>
        <v>-0.13339999999999999</v>
      </c>
    </row>
    <row r="39" spans="1:15" x14ac:dyDescent="0.25">
      <c r="A39" s="97" t="str">
        <f>'Data Vlaue (Cr)'!C34</f>
        <v>BHEL</v>
      </c>
      <c r="B39" s="142">
        <f>VLOOKUP(A39,'Data Vlaue (Cr)'!C34:CW248,99,0)</f>
        <v>6662</v>
      </c>
      <c r="C39" s="90">
        <f>VLOOKUP(A39,'Data Vlaue (Cr)'!C34:CY248,101,0)</f>
        <v>-2637</v>
      </c>
      <c r="D39" s="139">
        <f>VLOOKUP(A39,'Data Vlaue (Cr)'!C34:CZ248,102,0)</f>
        <v>-0.28360000000000002</v>
      </c>
      <c r="E39" s="91">
        <f>VLOOKUP($A39,'Data Vlaue (Cr)'!$C:$FB,75)</f>
        <v>5121</v>
      </c>
      <c r="F39" s="91">
        <f>VLOOKUP($A39,'Data Vlaue (Cr)'!$C:$FB,77)</f>
        <v>-392</v>
      </c>
      <c r="G39" s="92">
        <f>VLOOKUP(A39,'Data Vlaue (Cr)'!C34:CB248,78,0)</f>
        <v>-7.1099999999999997E-2</v>
      </c>
      <c r="H39" s="91">
        <f>VLOOKUP($A39,'Data Vlaue (Cr)'!$C:$FB,91)</f>
        <v>930</v>
      </c>
      <c r="I39" s="91">
        <f>VLOOKUP($A39,'Data Vlaue (Cr)'!$C:$FB,93)</f>
        <v>-1153</v>
      </c>
      <c r="J39" s="92">
        <f>VLOOKUP($A39,'Data Vlaue (Cr)'!$C:$FB,94)</f>
        <v>-0.55349999999999999</v>
      </c>
      <c r="K39" s="91">
        <f>VLOOKUP($A39,'Data Vlaue (Cr)'!$C:$FB,95)</f>
        <v>611</v>
      </c>
      <c r="L39" s="91">
        <f>VLOOKUP($A39,'Data Vlaue (Cr)'!$C:$FB,97)</f>
        <v>-1092</v>
      </c>
      <c r="M39" s="92">
        <f>VLOOKUP($A39,'Data Vlaue (Cr)'!$C:$FB,98)</f>
        <v>-0.64119999999999999</v>
      </c>
      <c r="N39" s="91">
        <f>VLOOKUP($A39,'Data Vlaue (Cr)'!$C:$FB,79)</f>
        <v>466</v>
      </c>
      <c r="O39" s="92">
        <f>VLOOKUP($A39,'Data Vlaue (Cr)'!$C:$FB,82)</f>
        <v>-0.47349999999999998</v>
      </c>
    </row>
    <row r="40" spans="1:15" x14ac:dyDescent="0.25">
      <c r="A40" s="97" t="str">
        <f>'Data Vlaue (Cr)'!C35</f>
        <v>BIOCON</v>
      </c>
      <c r="B40" s="142">
        <f>VLOOKUP(A40,'Data Vlaue (Cr)'!C35:CW249,99,0)</f>
        <v>2477</v>
      </c>
      <c r="C40" s="90">
        <f>VLOOKUP(A40,'Data Vlaue (Cr)'!C35:CY249,101,0)</f>
        <v>-1306</v>
      </c>
      <c r="D40" s="139">
        <f>VLOOKUP(A40,'Data Vlaue (Cr)'!C35:CZ249,102,0)</f>
        <v>-0.34520000000000001</v>
      </c>
      <c r="E40" s="91">
        <f>VLOOKUP($A40,'Data Vlaue (Cr)'!$C:$FB,75)</f>
        <v>1764</v>
      </c>
      <c r="F40" s="91">
        <f>VLOOKUP($A40,'Data Vlaue (Cr)'!$C:$FB,77)</f>
        <v>-39</v>
      </c>
      <c r="G40" s="92">
        <f>VLOOKUP(A40,'Data Vlaue (Cr)'!C35:CB249,78,0)</f>
        <v>-2.18E-2</v>
      </c>
      <c r="H40" s="91">
        <f>VLOOKUP($A40,'Data Vlaue (Cr)'!$C:$FB,91)</f>
        <v>430</v>
      </c>
      <c r="I40" s="91">
        <f>VLOOKUP($A40,'Data Vlaue (Cr)'!$C:$FB,93)</f>
        <v>-647</v>
      </c>
      <c r="J40" s="92">
        <f>VLOOKUP($A40,'Data Vlaue (Cr)'!$C:$FB,94)</f>
        <v>-0.60070000000000001</v>
      </c>
      <c r="K40" s="91">
        <f>VLOOKUP($A40,'Data Vlaue (Cr)'!$C:$FB,95)</f>
        <v>282</v>
      </c>
      <c r="L40" s="91">
        <f>VLOOKUP($A40,'Data Vlaue (Cr)'!$C:$FB,97)</f>
        <v>-619</v>
      </c>
      <c r="M40" s="92">
        <f>VLOOKUP($A40,'Data Vlaue (Cr)'!$C:$FB,98)</f>
        <v>-0.68710000000000004</v>
      </c>
      <c r="N40" s="91">
        <f>VLOOKUP($A40,'Data Vlaue (Cr)'!$C:$FB,79)</f>
        <v>122</v>
      </c>
      <c r="O40" s="92">
        <f>VLOOKUP($A40,'Data Vlaue (Cr)'!$C:$FB,82)</f>
        <v>-0.5171</v>
      </c>
    </row>
    <row r="41" spans="1:15" x14ac:dyDescent="0.25">
      <c r="A41" s="97" t="str">
        <f>'Data Vlaue (Cr)'!C36</f>
        <v>BLUESTARCO</v>
      </c>
      <c r="B41" s="142">
        <f>VLOOKUP(A41,'Data Vlaue (Cr)'!C36:CW250,99,0)</f>
        <v>628</v>
      </c>
      <c r="C41" s="90">
        <f>VLOOKUP(A41,'Data Vlaue (Cr)'!C36:CY250,101,0)</f>
        <v>-560</v>
      </c>
      <c r="D41" s="139">
        <f>VLOOKUP(A41,'Data Vlaue (Cr)'!C36:CZ250,102,0)</f>
        <v>-0.47160000000000002</v>
      </c>
      <c r="E41" s="91">
        <f>VLOOKUP($A41,'Data Vlaue (Cr)'!$C:$FB,75)</f>
        <v>475</v>
      </c>
      <c r="F41" s="91">
        <f>VLOOKUP($A41,'Data Vlaue (Cr)'!$C:$FB,77)</f>
        <v>-68</v>
      </c>
      <c r="G41" s="92">
        <f>VLOOKUP(A41,'Data Vlaue (Cr)'!C36:CB250,78,0)</f>
        <v>-0.12509999999999999</v>
      </c>
      <c r="H41" s="91">
        <f>VLOOKUP($A41,'Data Vlaue (Cr)'!$C:$FB,91)</f>
        <v>87</v>
      </c>
      <c r="I41" s="91">
        <f>VLOOKUP($A41,'Data Vlaue (Cr)'!$C:$FB,93)</f>
        <v>-327</v>
      </c>
      <c r="J41" s="92">
        <f>VLOOKUP($A41,'Data Vlaue (Cr)'!$C:$FB,94)</f>
        <v>-0.78900000000000003</v>
      </c>
      <c r="K41" s="91">
        <f>VLOOKUP($A41,'Data Vlaue (Cr)'!$C:$FB,95)</f>
        <v>65</v>
      </c>
      <c r="L41" s="91">
        <f>VLOOKUP($A41,'Data Vlaue (Cr)'!$C:$FB,97)</f>
        <v>-165</v>
      </c>
      <c r="M41" s="92">
        <f>VLOOKUP($A41,'Data Vlaue (Cr)'!$C:$FB,98)</f>
        <v>-0.7177</v>
      </c>
      <c r="N41" s="91">
        <f>VLOOKUP($A41,'Data Vlaue (Cr)'!$C:$FB,79)</f>
        <v>81</v>
      </c>
      <c r="O41" s="92">
        <f>VLOOKUP($A41,'Data Vlaue (Cr)'!$C:$FB,82)</f>
        <v>-0.23469999999999999</v>
      </c>
    </row>
    <row r="42" spans="1:15" x14ac:dyDescent="0.25">
      <c r="A42" s="97" t="str">
        <f>'Data Vlaue (Cr)'!C37</f>
        <v>BOSCHLTD</v>
      </c>
      <c r="B42" s="142">
        <f>VLOOKUP(A42,'Data Vlaue (Cr)'!C37:CW251,99,0)</f>
        <v>1783</v>
      </c>
      <c r="C42" s="90">
        <f>VLOOKUP(A42,'Data Vlaue (Cr)'!C37:CY251,101,0)</f>
        <v>-1236</v>
      </c>
      <c r="D42" s="139">
        <f>VLOOKUP(A42,'Data Vlaue (Cr)'!C37:CZ251,102,0)</f>
        <v>-0.40949999999999998</v>
      </c>
      <c r="E42" s="91">
        <f>VLOOKUP($A42,'Data Vlaue (Cr)'!$C:$FB,75)</f>
        <v>1250</v>
      </c>
      <c r="F42" s="91">
        <f>VLOOKUP($A42,'Data Vlaue (Cr)'!$C:$FB,77)</f>
        <v>-61</v>
      </c>
      <c r="G42" s="92">
        <f>VLOOKUP(A42,'Data Vlaue (Cr)'!C37:CB251,78,0)</f>
        <v>-4.6399999999999997E-2</v>
      </c>
      <c r="H42" s="91">
        <f>VLOOKUP($A42,'Data Vlaue (Cr)'!$C:$FB,91)</f>
        <v>355</v>
      </c>
      <c r="I42" s="91">
        <f>VLOOKUP($A42,'Data Vlaue (Cr)'!$C:$FB,93)</f>
        <v>-848</v>
      </c>
      <c r="J42" s="92">
        <f>VLOOKUP($A42,'Data Vlaue (Cr)'!$C:$FB,94)</f>
        <v>-0.70520000000000005</v>
      </c>
      <c r="K42" s="91">
        <f>VLOOKUP($A42,'Data Vlaue (Cr)'!$C:$FB,95)</f>
        <v>178</v>
      </c>
      <c r="L42" s="91">
        <f>VLOOKUP($A42,'Data Vlaue (Cr)'!$C:$FB,97)</f>
        <v>-327</v>
      </c>
      <c r="M42" s="92">
        <f>VLOOKUP($A42,'Data Vlaue (Cr)'!$C:$FB,98)</f>
        <v>-0.64790000000000003</v>
      </c>
      <c r="N42" s="91">
        <f>VLOOKUP($A42,'Data Vlaue (Cr)'!$C:$FB,79)</f>
        <v>55</v>
      </c>
      <c r="O42" s="92">
        <f>VLOOKUP($A42,'Data Vlaue (Cr)'!$C:$FB,82)</f>
        <v>-0.60319999999999996</v>
      </c>
    </row>
    <row r="43" spans="1:15" x14ac:dyDescent="0.25">
      <c r="A43" s="97" t="str">
        <f>'Data Vlaue (Cr)'!C38</f>
        <v>BPCL</v>
      </c>
      <c r="B43" s="142">
        <f>VLOOKUP(A43,'Data Vlaue (Cr)'!C38:CW252,99,0)</f>
        <v>1959</v>
      </c>
      <c r="C43" s="90">
        <f>VLOOKUP(A43,'Data Vlaue (Cr)'!C38:CY252,101,0)</f>
        <v>-1224</v>
      </c>
      <c r="D43" s="139">
        <f>VLOOKUP(A43,'Data Vlaue (Cr)'!C38:CZ252,102,0)</f>
        <v>-0.38450000000000001</v>
      </c>
      <c r="E43" s="91">
        <f>VLOOKUP($A43,'Data Vlaue (Cr)'!$C:$FB,75)</f>
        <v>1516</v>
      </c>
      <c r="F43" s="91">
        <f>VLOOKUP($A43,'Data Vlaue (Cr)'!$C:$FB,77)</f>
        <v>-271</v>
      </c>
      <c r="G43" s="92">
        <f>VLOOKUP(A43,'Data Vlaue (Cr)'!C38:CB252,78,0)</f>
        <v>-0.1517</v>
      </c>
      <c r="H43" s="91">
        <f>VLOOKUP($A43,'Data Vlaue (Cr)'!$C:$FB,91)</f>
        <v>253</v>
      </c>
      <c r="I43" s="91">
        <f>VLOOKUP($A43,'Data Vlaue (Cr)'!$C:$FB,93)</f>
        <v>-543</v>
      </c>
      <c r="J43" s="92">
        <f>VLOOKUP($A43,'Data Vlaue (Cr)'!$C:$FB,94)</f>
        <v>-0.68230000000000002</v>
      </c>
      <c r="K43" s="91">
        <f>VLOOKUP($A43,'Data Vlaue (Cr)'!$C:$FB,95)</f>
        <v>190</v>
      </c>
      <c r="L43" s="91">
        <f>VLOOKUP($A43,'Data Vlaue (Cr)'!$C:$FB,97)</f>
        <v>-410</v>
      </c>
      <c r="M43" s="92">
        <f>VLOOKUP($A43,'Data Vlaue (Cr)'!$C:$FB,98)</f>
        <v>-0.68289999999999995</v>
      </c>
      <c r="N43" s="91">
        <f>VLOOKUP($A43,'Data Vlaue (Cr)'!$C:$FB,79)</f>
        <v>235</v>
      </c>
      <c r="O43" s="92">
        <f>VLOOKUP($A43,'Data Vlaue (Cr)'!$C:$FB,82)</f>
        <v>-0.2752</v>
      </c>
    </row>
    <row r="44" spans="1:15" x14ac:dyDescent="0.25">
      <c r="A44" s="97" t="str">
        <f>'Data Vlaue (Cr)'!C39</f>
        <v>BRITANNIA</v>
      </c>
      <c r="B44" s="142">
        <f>VLOOKUP(A44,'Data Vlaue (Cr)'!C39:CW253,99,0)</f>
        <v>1726</v>
      </c>
      <c r="C44" s="90">
        <f>VLOOKUP(A44,'Data Vlaue (Cr)'!C39:CY253,101,0)</f>
        <v>-1486</v>
      </c>
      <c r="D44" s="139">
        <f>VLOOKUP(A44,'Data Vlaue (Cr)'!C39:CZ253,102,0)</f>
        <v>-0.46260000000000001</v>
      </c>
      <c r="E44" s="91">
        <f>VLOOKUP($A44,'Data Vlaue (Cr)'!$C:$FB,75)</f>
        <v>1328</v>
      </c>
      <c r="F44" s="91">
        <f>VLOOKUP($A44,'Data Vlaue (Cr)'!$C:$FB,77)</f>
        <v>-233</v>
      </c>
      <c r="G44" s="92">
        <f>VLOOKUP(A44,'Data Vlaue (Cr)'!C39:CB253,78,0)</f>
        <v>-0.1492</v>
      </c>
      <c r="H44" s="91">
        <f>VLOOKUP($A44,'Data Vlaue (Cr)'!$C:$FB,91)</f>
        <v>202</v>
      </c>
      <c r="I44" s="91">
        <f>VLOOKUP($A44,'Data Vlaue (Cr)'!$C:$FB,93)</f>
        <v>-845</v>
      </c>
      <c r="J44" s="92">
        <f>VLOOKUP($A44,'Data Vlaue (Cr)'!$C:$FB,94)</f>
        <v>-0.80710000000000004</v>
      </c>
      <c r="K44" s="91">
        <f>VLOOKUP($A44,'Data Vlaue (Cr)'!$C:$FB,95)</f>
        <v>196</v>
      </c>
      <c r="L44" s="91">
        <f>VLOOKUP($A44,'Data Vlaue (Cr)'!$C:$FB,97)</f>
        <v>-408</v>
      </c>
      <c r="M44" s="92">
        <f>VLOOKUP($A44,'Data Vlaue (Cr)'!$C:$FB,98)</f>
        <v>-0.67549999999999999</v>
      </c>
      <c r="N44" s="91">
        <f>VLOOKUP($A44,'Data Vlaue (Cr)'!$C:$FB,79)</f>
        <v>235</v>
      </c>
      <c r="O44" s="92">
        <f>VLOOKUP($A44,'Data Vlaue (Cr)'!$C:$FB,82)</f>
        <v>-0.30349999999999999</v>
      </c>
    </row>
    <row r="45" spans="1:15" x14ac:dyDescent="0.25">
      <c r="A45" s="97" t="str">
        <f>'Data Vlaue (Cr)'!C40</f>
        <v>BSE</v>
      </c>
      <c r="B45" s="142">
        <f>VLOOKUP(A45,'Data Vlaue (Cr)'!C40:CW254,99,0)</f>
        <v>6852</v>
      </c>
      <c r="C45" s="90">
        <f>VLOOKUP(A45,'Data Vlaue (Cr)'!C40:CY254,101,0)</f>
        <v>-4040</v>
      </c>
      <c r="D45" s="139">
        <f>VLOOKUP(A45,'Data Vlaue (Cr)'!C40:CZ254,102,0)</f>
        <v>-0.37090000000000001</v>
      </c>
      <c r="E45" s="91">
        <f>VLOOKUP($A45,'Data Vlaue (Cr)'!$C:$FB,75)</f>
        <v>3366</v>
      </c>
      <c r="F45" s="91">
        <f>VLOOKUP($A45,'Data Vlaue (Cr)'!$C:$FB,77)</f>
        <v>-384</v>
      </c>
      <c r="G45" s="92">
        <f>VLOOKUP(A45,'Data Vlaue (Cr)'!C40:CB254,78,0)</f>
        <v>-0.1024</v>
      </c>
      <c r="H45" s="91">
        <f>VLOOKUP($A45,'Data Vlaue (Cr)'!$C:$FB,91)</f>
        <v>1752</v>
      </c>
      <c r="I45" s="91">
        <f>VLOOKUP($A45,'Data Vlaue (Cr)'!$C:$FB,93)</f>
        <v>-1610</v>
      </c>
      <c r="J45" s="92">
        <f>VLOOKUP($A45,'Data Vlaue (Cr)'!$C:$FB,94)</f>
        <v>-0.4788</v>
      </c>
      <c r="K45" s="91">
        <f>VLOOKUP($A45,'Data Vlaue (Cr)'!$C:$FB,95)</f>
        <v>1734</v>
      </c>
      <c r="L45" s="91">
        <f>VLOOKUP($A45,'Data Vlaue (Cr)'!$C:$FB,97)</f>
        <v>-2047</v>
      </c>
      <c r="M45" s="92">
        <f>VLOOKUP($A45,'Data Vlaue (Cr)'!$C:$FB,98)</f>
        <v>-0.54139999999999999</v>
      </c>
      <c r="N45" s="91">
        <f>VLOOKUP($A45,'Data Vlaue (Cr)'!$C:$FB,79)</f>
        <v>478</v>
      </c>
      <c r="O45" s="92">
        <f>VLOOKUP($A45,'Data Vlaue (Cr)'!$C:$FB,82)</f>
        <v>-0.39319999999999999</v>
      </c>
    </row>
    <row r="46" spans="1:15" x14ac:dyDescent="0.25">
      <c r="A46" s="97" t="str">
        <f>'Data Vlaue (Cr)'!C41</f>
        <v>CAMS</v>
      </c>
      <c r="B46" s="142">
        <f>VLOOKUP(A46,'Data Vlaue (Cr)'!C41:CW255,99,0)</f>
        <v>555</v>
      </c>
      <c r="C46" s="90">
        <f>VLOOKUP(A46,'Data Vlaue (Cr)'!C41:CY255,101,0)</f>
        <v>-510</v>
      </c>
      <c r="D46" s="139">
        <f>VLOOKUP(A46,'Data Vlaue (Cr)'!C41:CZ255,102,0)</f>
        <v>-0.4788</v>
      </c>
      <c r="E46" s="91">
        <f>VLOOKUP($A46,'Data Vlaue (Cr)'!$C:$FB,75)</f>
        <v>443</v>
      </c>
      <c r="F46" s="91">
        <f>VLOOKUP($A46,'Data Vlaue (Cr)'!$C:$FB,77)</f>
        <v>-99</v>
      </c>
      <c r="G46" s="92">
        <f>VLOOKUP(A46,'Data Vlaue (Cr)'!C41:CB255,78,0)</f>
        <v>-0.1827</v>
      </c>
      <c r="H46" s="91">
        <f>VLOOKUP($A46,'Data Vlaue (Cr)'!$C:$FB,91)</f>
        <v>66</v>
      </c>
      <c r="I46" s="91">
        <f>VLOOKUP($A46,'Data Vlaue (Cr)'!$C:$FB,93)</f>
        <v>-230</v>
      </c>
      <c r="J46" s="92">
        <f>VLOOKUP($A46,'Data Vlaue (Cr)'!$C:$FB,94)</f>
        <v>-0.77769999999999995</v>
      </c>
      <c r="K46" s="91">
        <f>VLOOKUP($A46,'Data Vlaue (Cr)'!$C:$FB,95)</f>
        <v>47</v>
      </c>
      <c r="L46" s="91">
        <f>VLOOKUP($A46,'Data Vlaue (Cr)'!$C:$FB,97)</f>
        <v>-181</v>
      </c>
      <c r="M46" s="92">
        <f>VLOOKUP($A46,'Data Vlaue (Cr)'!$C:$FB,98)</f>
        <v>-0.79500000000000004</v>
      </c>
      <c r="N46" s="91">
        <f>VLOOKUP($A46,'Data Vlaue (Cr)'!$C:$FB,79)</f>
        <v>112</v>
      </c>
      <c r="O46" s="92">
        <f>VLOOKUP($A46,'Data Vlaue (Cr)'!$C:$FB,82)</f>
        <v>-0.17180000000000001</v>
      </c>
    </row>
    <row r="47" spans="1:15" x14ac:dyDescent="0.25">
      <c r="A47" s="97" t="str">
        <f>'Data Vlaue (Cr)'!C42</f>
        <v>CANBK</v>
      </c>
      <c r="B47" s="142">
        <f>VLOOKUP(A47,'Data Vlaue (Cr)'!C42:CW256,99,0)</f>
        <v>4334</v>
      </c>
      <c r="C47" s="90">
        <f>VLOOKUP(A47,'Data Vlaue (Cr)'!C42:CY256,101,0)</f>
        <v>-1471</v>
      </c>
      <c r="D47" s="139">
        <f>VLOOKUP(A47,'Data Vlaue (Cr)'!C42:CZ256,102,0)</f>
        <v>-0.25330000000000003</v>
      </c>
      <c r="E47" s="91">
        <f>VLOOKUP($A47,'Data Vlaue (Cr)'!$C:$FB,75)</f>
        <v>3279</v>
      </c>
      <c r="F47" s="91">
        <f>VLOOKUP($A47,'Data Vlaue (Cr)'!$C:$FB,77)</f>
        <v>-109</v>
      </c>
      <c r="G47" s="92">
        <f>VLOOKUP(A47,'Data Vlaue (Cr)'!C42:CB256,78,0)</f>
        <v>-3.2199999999999999E-2</v>
      </c>
      <c r="H47" s="91">
        <f>VLOOKUP($A47,'Data Vlaue (Cr)'!$C:$FB,91)</f>
        <v>491</v>
      </c>
      <c r="I47" s="91">
        <f>VLOOKUP($A47,'Data Vlaue (Cr)'!$C:$FB,93)</f>
        <v>-827</v>
      </c>
      <c r="J47" s="92">
        <f>VLOOKUP($A47,'Data Vlaue (Cr)'!$C:$FB,94)</f>
        <v>-0.62749999999999995</v>
      </c>
      <c r="K47" s="91">
        <f>VLOOKUP($A47,'Data Vlaue (Cr)'!$C:$FB,95)</f>
        <v>564</v>
      </c>
      <c r="L47" s="91">
        <f>VLOOKUP($A47,'Data Vlaue (Cr)'!$C:$FB,97)</f>
        <v>-534</v>
      </c>
      <c r="M47" s="92">
        <f>VLOOKUP($A47,'Data Vlaue (Cr)'!$C:$FB,98)</f>
        <v>-0.48659999999999998</v>
      </c>
      <c r="N47" s="91">
        <f>VLOOKUP($A47,'Data Vlaue (Cr)'!$C:$FB,79)</f>
        <v>162</v>
      </c>
      <c r="O47" s="92">
        <f>VLOOKUP($A47,'Data Vlaue (Cr)'!$C:$FB,82)</f>
        <v>-0.76080000000000003</v>
      </c>
    </row>
    <row r="48" spans="1:15" x14ac:dyDescent="0.25">
      <c r="A48" s="97" t="str">
        <f>'Data Vlaue (Cr)'!C43</f>
        <v>CDSL</v>
      </c>
      <c r="B48" s="142">
        <f>VLOOKUP(A48,'Data Vlaue (Cr)'!C43:CW257,99,0)</f>
        <v>2390</v>
      </c>
      <c r="C48" s="90">
        <f>VLOOKUP(A48,'Data Vlaue (Cr)'!C43:CY257,101,0)</f>
        <v>-1233</v>
      </c>
      <c r="D48" s="139">
        <f>VLOOKUP(A48,'Data Vlaue (Cr)'!C43:CZ257,102,0)</f>
        <v>-0.34029999999999999</v>
      </c>
      <c r="E48" s="91">
        <f>VLOOKUP($A48,'Data Vlaue (Cr)'!$C:$FB,75)</f>
        <v>1460</v>
      </c>
      <c r="F48" s="91">
        <f>VLOOKUP($A48,'Data Vlaue (Cr)'!$C:$FB,77)</f>
        <v>-318</v>
      </c>
      <c r="G48" s="92">
        <f>VLOOKUP(A48,'Data Vlaue (Cr)'!C43:CB257,78,0)</f>
        <v>-0.17879999999999999</v>
      </c>
      <c r="H48" s="91">
        <f>VLOOKUP($A48,'Data Vlaue (Cr)'!$C:$FB,91)</f>
        <v>510</v>
      </c>
      <c r="I48" s="91">
        <f>VLOOKUP($A48,'Data Vlaue (Cr)'!$C:$FB,93)</f>
        <v>-595</v>
      </c>
      <c r="J48" s="92">
        <f>VLOOKUP($A48,'Data Vlaue (Cr)'!$C:$FB,94)</f>
        <v>-0.53820000000000001</v>
      </c>
      <c r="K48" s="91">
        <f>VLOOKUP($A48,'Data Vlaue (Cr)'!$C:$FB,95)</f>
        <v>420</v>
      </c>
      <c r="L48" s="91">
        <f>VLOOKUP($A48,'Data Vlaue (Cr)'!$C:$FB,97)</f>
        <v>-321</v>
      </c>
      <c r="M48" s="92">
        <f>VLOOKUP($A48,'Data Vlaue (Cr)'!$C:$FB,98)</f>
        <v>-0.43280000000000002</v>
      </c>
      <c r="N48" s="91">
        <f>VLOOKUP($A48,'Data Vlaue (Cr)'!$C:$FB,79)</f>
        <v>111</v>
      </c>
      <c r="O48" s="92">
        <f>VLOOKUP($A48,'Data Vlaue (Cr)'!$C:$FB,82)</f>
        <v>-0.63660000000000005</v>
      </c>
    </row>
    <row r="49" spans="1:15" x14ac:dyDescent="0.25">
      <c r="A49" s="97" t="str">
        <f>'Data Vlaue (Cr)'!C44</f>
        <v>CGPOWER</v>
      </c>
      <c r="B49" s="142">
        <f>VLOOKUP(A49,'Data Vlaue (Cr)'!C44:CW258,99,0)</f>
        <v>2150</v>
      </c>
      <c r="C49" s="90">
        <f>VLOOKUP(A49,'Data Vlaue (Cr)'!C44:CY258,101,0)</f>
        <v>-740</v>
      </c>
      <c r="D49" s="139">
        <f>VLOOKUP(A49,'Data Vlaue (Cr)'!C44:CZ258,102,0)</f>
        <v>-0.25619999999999998</v>
      </c>
      <c r="E49" s="91">
        <f>VLOOKUP($A49,'Data Vlaue (Cr)'!$C:$FB,75)</f>
        <v>1760</v>
      </c>
      <c r="F49" s="91">
        <f>VLOOKUP($A49,'Data Vlaue (Cr)'!$C:$FB,77)</f>
        <v>-124</v>
      </c>
      <c r="G49" s="92">
        <f>VLOOKUP(A49,'Data Vlaue (Cr)'!C44:CB258,78,0)</f>
        <v>-6.6000000000000003E-2</v>
      </c>
      <c r="H49" s="91">
        <f>VLOOKUP($A49,'Data Vlaue (Cr)'!$C:$FB,91)</f>
        <v>237</v>
      </c>
      <c r="I49" s="91">
        <f>VLOOKUP($A49,'Data Vlaue (Cr)'!$C:$FB,93)</f>
        <v>-302</v>
      </c>
      <c r="J49" s="92">
        <f>VLOOKUP($A49,'Data Vlaue (Cr)'!$C:$FB,94)</f>
        <v>-0.56110000000000004</v>
      </c>
      <c r="K49" s="91">
        <f>VLOOKUP($A49,'Data Vlaue (Cr)'!$C:$FB,95)</f>
        <v>153</v>
      </c>
      <c r="L49" s="91">
        <f>VLOOKUP($A49,'Data Vlaue (Cr)'!$C:$FB,97)</f>
        <v>-313</v>
      </c>
      <c r="M49" s="92">
        <f>VLOOKUP($A49,'Data Vlaue (Cr)'!$C:$FB,98)</f>
        <v>-0.6724</v>
      </c>
      <c r="N49" s="91">
        <f>VLOOKUP($A49,'Data Vlaue (Cr)'!$C:$FB,79)</f>
        <v>87</v>
      </c>
      <c r="O49" s="92">
        <f>VLOOKUP($A49,'Data Vlaue (Cr)'!$C:$FB,82)</f>
        <v>-0.57330000000000003</v>
      </c>
    </row>
    <row r="50" spans="1:15" x14ac:dyDescent="0.25">
      <c r="A50" s="97" t="str">
        <f>'Data Vlaue (Cr)'!C45</f>
        <v>CHOLAFIN</v>
      </c>
      <c r="B50" s="142">
        <f>VLOOKUP(A50,'Data Vlaue (Cr)'!C45:CW259,99,0)</f>
        <v>3131</v>
      </c>
      <c r="C50" s="90">
        <f>VLOOKUP(A50,'Data Vlaue (Cr)'!C45:CY259,101,0)</f>
        <v>-812</v>
      </c>
      <c r="D50" s="139">
        <f>VLOOKUP(A50,'Data Vlaue (Cr)'!C45:CZ259,102,0)</f>
        <v>-0.20599999999999999</v>
      </c>
      <c r="E50" s="91">
        <f>VLOOKUP($A50,'Data Vlaue (Cr)'!$C:$FB,75)</f>
        <v>2760</v>
      </c>
      <c r="F50" s="91">
        <f>VLOOKUP($A50,'Data Vlaue (Cr)'!$C:$FB,77)</f>
        <v>-198</v>
      </c>
      <c r="G50" s="92">
        <f>VLOOKUP(A50,'Data Vlaue (Cr)'!C45:CB259,78,0)</f>
        <v>-6.6900000000000001E-2</v>
      </c>
      <c r="H50" s="91">
        <f>VLOOKUP($A50,'Data Vlaue (Cr)'!$C:$FB,91)</f>
        <v>214</v>
      </c>
      <c r="I50" s="91">
        <f>VLOOKUP($A50,'Data Vlaue (Cr)'!$C:$FB,93)</f>
        <v>-360</v>
      </c>
      <c r="J50" s="92">
        <f>VLOOKUP($A50,'Data Vlaue (Cr)'!$C:$FB,94)</f>
        <v>-0.62729999999999997</v>
      </c>
      <c r="K50" s="91">
        <f>VLOOKUP($A50,'Data Vlaue (Cr)'!$C:$FB,95)</f>
        <v>157</v>
      </c>
      <c r="L50" s="91">
        <f>VLOOKUP($A50,'Data Vlaue (Cr)'!$C:$FB,97)</f>
        <v>-255</v>
      </c>
      <c r="M50" s="92">
        <f>VLOOKUP($A50,'Data Vlaue (Cr)'!$C:$FB,98)</f>
        <v>-0.61809999999999998</v>
      </c>
      <c r="N50" s="91">
        <f>VLOOKUP($A50,'Data Vlaue (Cr)'!$C:$FB,79)</f>
        <v>186</v>
      </c>
      <c r="O50" s="92">
        <f>VLOOKUP($A50,'Data Vlaue (Cr)'!$C:$FB,82)</f>
        <v>-0.42770000000000002</v>
      </c>
    </row>
    <row r="51" spans="1:15" x14ac:dyDescent="0.25">
      <c r="A51" s="97" t="str">
        <f>'Data Vlaue (Cr)'!C46</f>
        <v>CIPLA</v>
      </c>
      <c r="B51" s="142">
        <f>VLOOKUP(A51,'Data Vlaue (Cr)'!C46:CW260,99,0)</f>
        <v>2545</v>
      </c>
      <c r="C51" s="90">
        <f>VLOOKUP(A51,'Data Vlaue (Cr)'!C46:CY260,101,0)</f>
        <v>-1999</v>
      </c>
      <c r="D51" s="139">
        <f>VLOOKUP(A51,'Data Vlaue (Cr)'!C46:CZ260,102,0)</f>
        <v>-0.43990000000000001</v>
      </c>
      <c r="E51" s="91">
        <f>VLOOKUP($A51,'Data Vlaue (Cr)'!$C:$FB,75)</f>
        <v>2095</v>
      </c>
      <c r="F51" s="91">
        <f>VLOOKUP($A51,'Data Vlaue (Cr)'!$C:$FB,77)</f>
        <v>-208</v>
      </c>
      <c r="G51" s="92">
        <f>VLOOKUP(A51,'Data Vlaue (Cr)'!C46:CB260,78,0)</f>
        <v>-9.0200000000000002E-2</v>
      </c>
      <c r="H51" s="91">
        <f>VLOOKUP($A51,'Data Vlaue (Cr)'!$C:$FB,91)</f>
        <v>246</v>
      </c>
      <c r="I51" s="91">
        <f>VLOOKUP($A51,'Data Vlaue (Cr)'!$C:$FB,93)</f>
        <v>-924</v>
      </c>
      <c r="J51" s="92">
        <f>VLOOKUP($A51,'Data Vlaue (Cr)'!$C:$FB,94)</f>
        <v>-0.78949999999999998</v>
      </c>
      <c r="K51" s="91">
        <f>VLOOKUP($A51,'Data Vlaue (Cr)'!$C:$FB,95)</f>
        <v>204</v>
      </c>
      <c r="L51" s="91">
        <f>VLOOKUP($A51,'Data Vlaue (Cr)'!$C:$FB,97)</f>
        <v>-867</v>
      </c>
      <c r="M51" s="92">
        <f>VLOOKUP($A51,'Data Vlaue (Cr)'!$C:$FB,98)</f>
        <v>-0.80969999999999998</v>
      </c>
      <c r="N51" s="91">
        <f>VLOOKUP($A51,'Data Vlaue (Cr)'!$C:$FB,79)</f>
        <v>260</v>
      </c>
      <c r="O51" s="92">
        <f>VLOOKUP($A51,'Data Vlaue (Cr)'!$C:$FB,82)</f>
        <v>-0.19370000000000001</v>
      </c>
    </row>
    <row r="52" spans="1:15" x14ac:dyDescent="0.25">
      <c r="A52" s="97" t="str">
        <f>'Data Vlaue (Cr)'!C47</f>
        <v>COALINDIA</v>
      </c>
      <c r="B52" s="142">
        <f>VLOOKUP(A52,'Data Vlaue (Cr)'!C47:CW261,99,0)</f>
        <v>4367</v>
      </c>
      <c r="C52" s="90">
        <f>VLOOKUP(A52,'Data Vlaue (Cr)'!C47:CY261,101,0)</f>
        <v>-862</v>
      </c>
      <c r="D52" s="139">
        <f>VLOOKUP(A52,'Data Vlaue (Cr)'!C47:CZ261,102,0)</f>
        <v>-0.16489999999999999</v>
      </c>
      <c r="E52" s="91">
        <f>VLOOKUP($A52,'Data Vlaue (Cr)'!$C:$FB,75)</f>
        <v>2605</v>
      </c>
      <c r="F52" s="91">
        <f>VLOOKUP($A52,'Data Vlaue (Cr)'!$C:$FB,77)</f>
        <v>-48</v>
      </c>
      <c r="G52" s="92">
        <f>VLOOKUP(A52,'Data Vlaue (Cr)'!C47:CB261,78,0)</f>
        <v>-1.7899999999999999E-2</v>
      </c>
      <c r="H52" s="91">
        <f>VLOOKUP($A52,'Data Vlaue (Cr)'!$C:$FB,91)</f>
        <v>913</v>
      </c>
      <c r="I52" s="91">
        <f>VLOOKUP($A52,'Data Vlaue (Cr)'!$C:$FB,93)</f>
        <v>-708</v>
      </c>
      <c r="J52" s="92">
        <f>VLOOKUP($A52,'Data Vlaue (Cr)'!$C:$FB,94)</f>
        <v>-0.43680000000000002</v>
      </c>
      <c r="K52" s="91">
        <f>VLOOKUP($A52,'Data Vlaue (Cr)'!$C:$FB,95)</f>
        <v>849</v>
      </c>
      <c r="L52" s="91">
        <f>VLOOKUP($A52,'Data Vlaue (Cr)'!$C:$FB,97)</f>
        <v>-106</v>
      </c>
      <c r="M52" s="92">
        <f>VLOOKUP($A52,'Data Vlaue (Cr)'!$C:$FB,98)</f>
        <v>-0.1114</v>
      </c>
      <c r="N52" s="91">
        <f>VLOOKUP($A52,'Data Vlaue (Cr)'!$C:$FB,79)</f>
        <v>194</v>
      </c>
      <c r="O52" s="92">
        <f>VLOOKUP($A52,'Data Vlaue (Cr)'!$C:$FB,82)</f>
        <v>-0.3846</v>
      </c>
    </row>
    <row r="53" spans="1:15" x14ac:dyDescent="0.25">
      <c r="A53" s="97" t="str">
        <f>'Data Vlaue (Cr)'!C48</f>
        <v>COCHINSHIP</v>
      </c>
      <c r="B53" s="142">
        <f>VLOOKUP(A53,'Data Vlaue (Cr)'!C48:CW262,99,0)</f>
        <v>613</v>
      </c>
      <c r="C53" s="90">
        <f>VLOOKUP(A53,'Data Vlaue (Cr)'!C48:CY262,101,0)</f>
        <v>-377</v>
      </c>
      <c r="D53" s="139">
        <f>VLOOKUP(A53,'Data Vlaue (Cr)'!C48:CZ262,102,0)</f>
        <v>-0.38090000000000002</v>
      </c>
      <c r="E53" s="91">
        <f>VLOOKUP($A53,'Data Vlaue (Cr)'!$C:$FB,75)</f>
        <v>488</v>
      </c>
      <c r="F53" s="91">
        <f>VLOOKUP($A53,'Data Vlaue (Cr)'!$C:$FB,77)</f>
        <v>-19</v>
      </c>
      <c r="G53" s="92">
        <f>VLOOKUP(A53,'Data Vlaue (Cr)'!C48:CB262,78,0)</f>
        <v>-3.8300000000000001E-2</v>
      </c>
      <c r="H53" s="91">
        <f>VLOOKUP($A53,'Data Vlaue (Cr)'!$C:$FB,91)</f>
        <v>74</v>
      </c>
      <c r="I53" s="91">
        <f>VLOOKUP($A53,'Data Vlaue (Cr)'!$C:$FB,93)</f>
        <v>-243</v>
      </c>
      <c r="J53" s="92">
        <f>VLOOKUP($A53,'Data Vlaue (Cr)'!$C:$FB,94)</f>
        <v>-0.76770000000000005</v>
      </c>
      <c r="K53" s="91">
        <f>VLOOKUP($A53,'Data Vlaue (Cr)'!$C:$FB,95)</f>
        <v>52</v>
      </c>
      <c r="L53" s="91">
        <f>VLOOKUP($A53,'Data Vlaue (Cr)'!$C:$FB,97)</f>
        <v>-115</v>
      </c>
      <c r="M53" s="92">
        <f>VLOOKUP($A53,'Data Vlaue (Cr)'!$C:$FB,98)</f>
        <v>-0.68710000000000004</v>
      </c>
      <c r="N53" s="91">
        <f>VLOOKUP($A53,'Data Vlaue (Cr)'!$C:$FB,79)</f>
        <v>28</v>
      </c>
      <c r="O53" s="92">
        <f>VLOOKUP($A53,'Data Vlaue (Cr)'!$C:$FB,82)</f>
        <v>-0.71089999999999998</v>
      </c>
    </row>
    <row r="54" spans="1:15" x14ac:dyDescent="0.25">
      <c r="A54" s="97" t="str">
        <f>'Data Vlaue (Cr)'!C49</f>
        <v>COFORGE</v>
      </c>
      <c r="B54" s="142">
        <f>VLOOKUP(A54,'Data Vlaue (Cr)'!C49:CW263,99,0)</f>
        <v>3025</v>
      </c>
      <c r="C54" s="90">
        <f>VLOOKUP(A54,'Data Vlaue (Cr)'!C49:CY263,101,0)</f>
        <v>-2268</v>
      </c>
      <c r="D54" s="139">
        <f>VLOOKUP(A54,'Data Vlaue (Cr)'!C49:CZ263,102,0)</f>
        <v>-0.42849999999999999</v>
      </c>
      <c r="E54" s="91">
        <f>VLOOKUP($A54,'Data Vlaue (Cr)'!$C:$FB,75)</f>
        <v>2167</v>
      </c>
      <c r="F54" s="91">
        <f>VLOOKUP($A54,'Data Vlaue (Cr)'!$C:$FB,77)</f>
        <v>-395</v>
      </c>
      <c r="G54" s="92">
        <f>VLOOKUP(A54,'Data Vlaue (Cr)'!C49:CB263,78,0)</f>
        <v>-0.1542</v>
      </c>
      <c r="H54" s="91">
        <f>VLOOKUP($A54,'Data Vlaue (Cr)'!$C:$FB,91)</f>
        <v>544</v>
      </c>
      <c r="I54" s="91">
        <f>VLOOKUP($A54,'Data Vlaue (Cr)'!$C:$FB,93)</f>
        <v>-966</v>
      </c>
      <c r="J54" s="92">
        <f>VLOOKUP($A54,'Data Vlaue (Cr)'!$C:$FB,94)</f>
        <v>-0.63990000000000002</v>
      </c>
      <c r="K54" s="91">
        <f>VLOOKUP($A54,'Data Vlaue (Cr)'!$C:$FB,95)</f>
        <v>314</v>
      </c>
      <c r="L54" s="91">
        <f>VLOOKUP($A54,'Data Vlaue (Cr)'!$C:$FB,97)</f>
        <v>-907</v>
      </c>
      <c r="M54" s="92">
        <f>VLOOKUP($A54,'Data Vlaue (Cr)'!$C:$FB,98)</f>
        <v>-0.74270000000000003</v>
      </c>
      <c r="N54" s="91">
        <f>VLOOKUP($A54,'Data Vlaue (Cr)'!$C:$FB,79)</f>
        <v>488</v>
      </c>
      <c r="O54" s="92">
        <f>VLOOKUP($A54,'Data Vlaue (Cr)'!$C:$FB,82)</f>
        <v>-8.1699999999999995E-2</v>
      </c>
    </row>
    <row r="55" spans="1:15" x14ac:dyDescent="0.25">
      <c r="A55" s="97" t="str">
        <f>'Data Vlaue (Cr)'!C50</f>
        <v>COLPAL</v>
      </c>
      <c r="B55" s="142">
        <f>VLOOKUP(A55,'Data Vlaue (Cr)'!C50:CW264,99,0)</f>
        <v>1500</v>
      </c>
      <c r="C55" s="90">
        <f>VLOOKUP(A55,'Data Vlaue (Cr)'!C50:CY264,101,0)</f>
        <v>-216</v>
      </c>
      <c r="D55" s="139">
        <f>VLOOKUP(A55,'Data Vlaue (Cr)'!C50:CZ264,102,0)</f>
        <v>-0.12570000000000001</v>
      </c>
      <c r="E55" s="91">
        <f>VLOOKUP($A55,'Data Vlaue (Cr)'!$C:$FB,75)</f>
        <v>1006</v>
      </c>
      <c r="F55" s="91">
        <f>VLOOKUP($A55,'Data Vlaue (Cr)'!$C:$FB,77)</f>
        <v>-29</v>
      </c>
      <c r="G55" s="92">
        <f>VLOOKUP(A55,'Data Vlaue (Cr)'!C50:CB264,78,0)</f>
        <v>-2.8400000000000002E-2</v>
      </c>
      <c r="H55" s="91">
        <f>VLOOKUP($A55,'Data Vlaue (Cr)'!$C:$FB,91)</f>
        <v>298</v>
      </c>
      <c r="I55" s="91">
        <f>VLOOKUP($A55,'Data Vlaue (Cr)'!$C:$FB,93)</f>
        <v>-143</v>
      </c>
      <c r="J55" s="92">
        <f>VLOOKUP($A55,'Data Vlaue (Cr)'!$C:$FB,94)</f>
        <v>-0.32440000000000002</v>
      </c>
      <c r="K55" s="91">
        <f>VLOOKUP($A55,'Data Vlaue (Cr)'!$C:$FB,95)</f>
        <v>196</v>
      </c>
      <c r="L55" s="91">
        <f>VLOOKUP($A55,'Data Vlaue (Cr)'!$C:$FB,97)</f>
        <v>-43</v>
      </c>
      <c r="M55" s="92">
        <f>VLOOKUP($A55,'Data Vlaue (Cr)'!$C:$FB,98)</f>
        <v>-0.18060000000000001</v>
      </c>
      <c r="N55" s="91">
        <f>VLOOKUP($A55,'Data Vlaue (Cr)'!$C:$FB,79)</f>
        <v>38</v>
      </c>
      <c r="O55" s="92">
        <f>VLOOKUP($A55,'Data Vlaue (Cr)'!$C:$FB,82)</f>
        <v>-0.68589999999999995</v>
      </c>
    </row>
    <row r="56" spans="1:15" x14ac:dyDescent="0.25">
      <c r="A56" s="97" t="str">
        <f>'Data Vlaue (Cr)'!C51</f>
        <v>CONCOR</v>
      </c>
      <c r="B56" s="142">
        <f>VLOOKUP(A56,'Data Vlaue (Cr)'!C51:CW265,99,0)</f>
        <v>1832</v>
      </c>
      <c r="C56" s="90">
        <f>VLOOKUP(A56,'Data Vlaue (Cr)'!C51:CY265,101,0)</f>
        <v>146</v>
      </c>
      <c r="D56" s="139">
        <f>VLOOKUP(A56,'Data Vlaue (Cr)'!C51:CZ265,102,0)</f>
        <v>8.6900000000000005E-2</v>
      </c>
      <c r="E56" s="91">
        <f>VLOOKUP($A56,'Data Vlaue (Cr)'!$C:$FB,75)</f>
        <v>1171</v>
      </c>
      <c r="F56" s="91">
        <f>VLOOKUP($A56,'Data Vlaue (Cr)'!$C:$FB,77)</f>
        <v>-58</v>
      </c>
      <c r="G56" s="92">
        <f>VLOOKUP(A56,'Data Vlaue (Cr)'!C51:CB265,78,0)</f>
        <v>-4.7500000000000001E-2</v>
      </c>
      <c r="H56" s="91">
        <f>VLOOKUP($A56,'Data Vlaue (Cr)'!$C:$FB,91)</f>
        <v>381</v>
      </c>
      <c r="I56" s="91">
        <f>VLOOKUP($A56,'Data Vlaue (Cr)'!$C:$FB,93)</f>
        <v>142</v>
      </c>
      <c r="J56" s="92">
        <f>VLOOKUP($A56,'Data Vlaue (Cr)'!$C:$FB,94)</f>
        <v>0.59350000000000003</v>
      </c>
      <c r="K56" s="91">
        <f>VLOOKUP($A56,'Data Vlaue (Cr)'!$C:$FB,95)</f>
        <v>280</v>
      </c>
      <c r="L56" s="91">
        <f>VLOOKUP($A56,'Data Vlaue (Cr)'!$C:$FB,97)</f>
        <v>63</v>
      </c>
      <c r="M56" s="92">
        <f>VLOOKUP($A56,'Data Vlaue (Cr)'!$C:$FB,98)</f>
        <v>0.28920000000000001</v>
      </c>
      <c r="N56" s="91">
        <f>VLOOKUP($A56,'Data Vlaue (Cr)'!$C:$FB,79)</f>
        <v>204</v>
      </c>
      <c r="O56" s="92">
        <f>VLOOKUP($A56,'Data Vlaue (Cr)'!$C:$FB,82)</f>
        <v>-0.41449999999999998</v>
      </c>
    </row>
    <row r="57" spans="1:15" x14ac:dyDescent="0.25">
      <c r="A57" s="97" t="str">
        <f>'Data Vlaue (Cr)'!C52</f>
        <v>CROMPTON</v>
      </c>
      <c r="B57" s="142">
        <f>VLOOKUP(A57,'Data Vlaue (Cr)'!C52:CW266,99,0)</f>
        <v>1774</v>
      </c>
      <c r="C57" s="90">
        <f>VLOOKUP(A57,'Data Vlaue (Cr)'!C52:CY266,101,0)</f>
        <v>-715</v>
      </c>
      <c r="D57" s="139">
        <f>VLOOKUP(A57,'Data Vlaue (Cr)'!C52:CZ266,102,0)</f>
        <v>-0.28720000000000001</v>
      </c>
      <c r="E57" s="91">
        <f>VLOOKUP($A57,'Data Vlaue (Cr)'!$C:$FB,75)</f>
        <v>1564</v>
      </c>
      <c r="F57" s="91">
        <f>VLOOKUP($A57,'Data Vlaue (Cr)'!$C:$FB,77)</f>
        <v>-59</v>
      </c>
      <c r="G57" s="92">
        <f>VLOOKUP(A57,'Data Vlaue (Cr)'!C52:CB266,78,0)</f>
        <v>-3.6400000000000002E-2</v>
      </c>
      <c r="H57" s="91">
        <f>VLOOKUP($A57,'Data Vlaue (Cr)'!$C:$FB,91)</f>
        <v>150</v>
      </c>
      <c r="I57" s="91">
        <f>VLOOKUP($A57,'Data Vlaue (Cr)'!$C:$FB,93)</f>
        <v>-401</v>
      </c>
      <c r="J57" s="92">
        <f>VLOOKUP($A57,'Data Vlaue (Cr)'!$C:$FB,94)</f>
        <v>-0.72740000000000005</v>
      </c>
      <c r="K57" s="91">
        <f>VLOOKUP($A57,'Data Vlaue (Cr)'!$C:$FB,95)</f>
        <v>60</v>
      </c>
      <c r="L57" s="91">
        <f>VLOOKUP($A57,'Data Vlaue (Cr)'!$C:$FB,97)</f>
        <v>-255</v>
      </c>
      <c r="M57" s="92">
        <f>VLOOKUP($A57,'Data Vlaue (Cr)'!$C:$FB,98)</f>
        <v>-0.80959999999999999</v>
      </c>
      <c r="N57" s="91">
        <f>VLOOKUP($A57,'Data Vlaue (Cr)'!$C:$FB,79)</f>
        <v>46</v>
      </c>
      <c r="O57" s="92">
        <f>VLOOKUP($A57,'Data Vlaue (Cr)'!$C:$FB,82)</f>
        <v>-0.74390000000000001</v>
      </c>
    </row>
    <row r="58" spans="1:15" x14ac:dyDescent="0.25">
      <c r="A58" s="97" t="str">
        <f>'Data Vlaue (Cr)'!C53</f>
        <v>CUMMINSIND</v>
      </c>
      <c r="B58" s="142">
        <f>VLOOKUP(A58,'Data Vlaue (Cr)'!C53:CW267,99,0)</f>
        <v>2184</v>
      </c>
      <c r="C58" s="90">
        <f>VLOOKUP(A58,'Data Vlaue (Cr)'!C53:CY267,101,0)</f>
        <v>-638</v>
      </c>
      <c r="D58" s="139">
        <f>VLOOKUP(A58,'Data Vlaue (Cr)'!C53:CZ267,102,0)</f>
        <v>-0.2261</v>
      </c>
      <c r="E58" s="91">
        <f>VLOOKUP($A58,'Data Vlaue (Cr)'!$C:$FB,75)</f>
        <v>1833</v>
      </c>
      <c r="F58" s="91">
        <f>VLOOKUP($A58,'Data Vlaue (Cr)'!$C:$FB,77)</f>
        <v>-164</v>
      </c>
      <c r="G58" s="92">
        <f>VLOOKUP(A58,'Data Vlaue (Cr)'!C53:CB267,78,0)</f>
        <v>-8.2199999999999995E-2</v>
      </c>
      <c r="H58" s="91">
        <f>VLOOKUP($A58,'Data Vlaue (Cr)'!$C:$FB,91)</f>
        <v>190</v>
      </c>
      <c r="I58" s="91">
        <f>VLOOKUP($A58,'Data Vlaue (Cr)'!$C:$FB,93)</f>
        <v>-275</v>
      </c>
      <c r="J58" s="92">
        <f>VLOOKUP($A58,'Data Vlaue (Cr)'!$C:$FB,94)</f>
        <v>-0.59130000000000005</v>
      </c>
      <c r="K58" s="91">
        <f>VLOOKUP($A58,'Data Vlaue (Cr)'!$C:$FB,95)</f>
        <v>161</v>
      </c>
      <c r="L58" s="91">
        <f>VLOOKUP($A58,'Data Vlaue (Cr)'!$C:$FB,97)</f>
        <v>-199</v>
      </c>
      <c r="M58" s="92">
        <f>VLOOKUP($A58,'Data Vlaue (Cr)'!$C:$FB,98)</f>
        <v>-0.5534</v>
      </c>
      <c r="N58" s="91">
        <f>VLOOKUP($A58,'Data Vlaue (Cr)'!$C:$FB,79)</f>
        <v>164</v>
      </c>
      <c r="O58" s="92">
        <f>VLOOKUP($A58,'Data Vlaue (Cr)'!$C:$FB,82)</f>
        <v>-0.53359999999999996</v>
      </c>
    </row>
    <row r="59" spans="1:15" x14ac:dyDescent="0.25">
      <c r="A59" s="97" t="str">
        <f>'Data Vlaue (Cr)'!C54</f>
        <v>DABUR</v>
      </c>
      <c r="B59" s="142">
        <f>VLOOKUP(A59,'Data Vlaue (Cr)'!C54:CW268,99,0)</f>
        <v>1281</v>
      </c>
      <c r="C59" s="90">
        <f>VLOOKUP(A59,'Data Vlaue (Cr)'!C54:CY268,101,0)</f>
        <v>-686</v>
      </c>
      <c r="D59" s="139">
        <f>VLOOKUP(A59,'Data Vlaue (Cr)'!C54:CZ268,102,0)</f>
        <v>-0.34870000000000001</v>
      </c>
      <c r="E59" s="91">
        <f>VLOOKUP($A59,'Data Vlaue (Cr)'!$C:$FB,75)</f>
        <v>1016</v>
      </c>
      <c r="F59" s="91">
        <f>VLOOKUP($A59,'Data Vlaue (Cr)'!$C:$FB,77)</f>
        <v>-29</v>
      </c>
      <c r="G59" s="92">
        <f>VLOOKUP(A59,'Data Vlaue (Cr)'!C54:CB268,78,0)</f>
        <v>-2.7300000000000001E-2</v>
      </c>
      <c r="H59" s="91">
        <f>VLOOKUP($A59,'Data Vlaue (Cr)'!$C:$FB,91)</f>
        <v>152</v>
      </c>
      <c r="I59" s="91">
        <f>VLOOKUP($A59,'Data Vlaue (Cr)'!$C:$FB,93)</f>
        <v>-398</v>
      </c>
      <c r="J59" s="92">
        <f>VLOOKUP($A59,'Data Vlaue (Cr)'!$C:$FB,94)</f>
        <v>-0.72319999999999995</v>
      </c>
      <c r="K59" s="91">
        <f>VLOOKUP($A59,'Data Vlaue (Cr)'!$C:$FB,95)</f>
        <v>113</v>
      </c>
      <c r="L59" s="91">
        <f>VLOOKUP($A59,'Data Vlaue (Cr)'!$C:$FB,97)</f>
        <v>-259</v>
      </c>
      <c r="M59" s="92">
        <f>VLOOKUP($A59,'Data Vlaue (Cr)'!$C:$FB,98)</f>
        <v>-0.69630000000000003</v>
      </c>
      <c r="N59" s="91">
        <f>VLOOKUP($A59,'Data Vlaue (Cr)'!$C:$FB,79)</f>
        <v>36</v>
      </c>
      <c r="O59" s="92">
        <f>VLOOKUP($A59,'Data Vlaue (Cr)'!$C:$FB,82)</f>
        <v>-0.68820000000000003</v>
      </c>
    </row>
    <row r="60" spans="1:15" x14ac:dyDescent="0.25">
      <c r="A60" s="97" t="str">
        <f>'Data Vlaue (Cr)'!C55</f>
        <v>DALBHARAT</v>
      </c>
      <c r="B60" s="142">
        <f>VLOOKUP(A60,'Data Vlaue (Cr)'!C55:CW269,99,0)</f>
        <v>765</v>
      </c>
      <c r="C60" s="90">
        <f>VLOOKUP(A60,'Data Vlaue (Cr)'!C55:CY269,101,0)</f>
        <v>-479</v>
      </c>
      <c r="D60" s="139">
        <f>VLOOKUP(A60,'Data Vlaue (Cr)'!C55:CZ269,102,0)</f>
        <v>-0.38490000000000002</v>
      </c>
      <c r="E60" s="91">
        <f>VLOOKUP($A60,'Data Vlaue (Cr)'!$C:$FB,75)</f>
        <v>632</v>
      </c>
      <c r="F60" s="91">
        <f>VLOOKUP($A60,'Data Vlaue (Cr)'!$C:$FB,77)</f>
        <v>-121</v>
      </c>
      <c r="G60" s="92">
        <f>VLOOKUP(A60,'Data Vlaue (Cr)'!C55:CB269,78,0)</f>
        <v>-0.16070000000000001</v>
      </c>
      <c r="H60" s="91">
        <f>VLOOKUP($A60,'Data Vlaue (Cr)'!$C:$FB,91)</f>
        <v>61</v>
      </c>
      <c r="I60" s="91">
        <f>VLOOKUP($A60,'Data Vlaue (Cr)'!$C:$FB,93)</f>
        <v>-210</v>
      </c>
      <c r="J60" s="92">
        <f>VLOOKUP($A60,'Data Vlaue (Cr)'!$C:$FB,94)</f>
        <v>-0.77600000000000002</v>
      </c>
      <c r="K60" s="91">
        <f>VLOOKUP($A60,'Data Vlaue (Cr)'!$C:$FB,95)</f>
        <v>72</v>
      </c>
      <c r="L60" s="91">
        <f>VLOOKUP($A60,'Data Vlaue (Cr)'!$C:$FB,97)</f>
        <v>-148</v>
      </c>
      <c r="M60" s="92">
        <f>VLOOKUP($A60,'Data Vlaue (Cr)'!$C:$FB,98)</f>
        <v>-0.67200000000000004</v>
      </c>
      <c r="N60" s="91">
        <f>VLOOKUP($A60,'Data Vlaue (Cr)'!$C:$FB,79)</f>
        <v>126</v>
      </c>
      <c r="O60" s="92">
        <f>VLOOKUP($A60,'Data Vlaue (Cr)'!$C:$FB,82)</f>
        <v>-0.27039999999999997</v>
      </c>
    </row>
    <row r="61" spans="1:15" x14ac:dyDescent="0.25">
      <c r="A61" s="97" t="str">
        <f>'Data Vlaue (Cr)'!C56</f>
        <v>DELHIVERY</v>
      </c>
      <c r="B61" s="142">
        <f>VLOOKUP(A61,'Data Vlaue (Cr)'!C56:CW270,99,0)</f>
        <v>1633</v>
      </c>
      <c r="C61" s="90">
        <f>VLOOKUP(A61,'Data Vlaue (Cr)'!C56:CY270,101,0)</f>
        <v>-560</v>
      </c>
      <c r="D61" s="139">
        <f>VLOOKUP(A61,'Data Vlaue (Cr)'!C56:CZ270,102,0)</f>
        <v>-0.25540000000000002</v>
      </c>
      <c r="E61" s="91">
        <f>VLOOKUP($A61,'Data Vlaue (Cr)'!$C:$FB,75)</f>
        <v>1362</v>
      </c>
      <c r="F61" s="91">
        <f>VLOOKUP($A61,'Data Vlaue (Cr)'!$C:$FB,77)</f>
        <v>-63</v>
      </c>
      <c r="G61" s="92">
        <f>VLOOKUP(A61,'Data Vlaue (Cr)'!C56:CB270,78,0)</f>
        <v>-4.4499999999999998E-2</v>
      </c>
      <c r="H61" s="91">
        <f>VLOOKUP($A61,'Data Vlaue (Cr)'!$C:$FB,91)</f>
        <v>182</v>
      </c>
      <c r="I61" s="91">
        <f>VLOOKUP($A61,'Data Vlaue (Cr)'!$C:$FB,93)</f>
        <v>-361</v>
      </c>
      <c r="J61" s="92">
        <f>VLOOKUP($A61,'Data Vlaue (Cr)'!$C:$FB,94)</f>
        <v>-0.66459999999999997</v>
      </c>
      <c r="K61" s="91">
        <f>VLOOKUP($A61,'Data Vlaue (Cr)'!$C:$FB,95)</f>
        <v>89</v>
      </c>
      <c r="L61" s="91">
        <f>VLOOKUP($A61,'Data Vlaue (Cr)'!$C:$FB,97)</f>
        <v>-136</v>
      </c>
      <c r="M61" s="92">
        <f>VLOOKUP($A61,'Data Vlaue (Cr)'!$C:$FB,98)</f>
        <v>-0.60509999999999997</v>
      </c>
      <c r="N61" s="91">
        <f>VLOOKUP($A61,'Data Vlaue (Cr)'!$C:$FB,79)</f>
        <v>54</v>
      </c>
      <c r="O61" s="92">
        <f>VLOOKUP($A61,'Data Vlaue (Cr)'!$C:$FB,82)</f>
        <v>-0.68220000000000003</v>
      </c>
    </row>
    <row r="62" spans="1:15" x14ac:dyDescent="0.25">
      <c r="A62" s="97" t="str">
        <f>'Data Vlaue (Cr)'!C57</f>
        <v>DIVISLAB</v>
      </c>
      <c r="B62" s="142">
        <f>VLOOKUP(A62,'Data Vlaue (Cr)'!C57:CW271,99,0)</f>
        <v>2063</v>
      </c>
      <c r="C62" s="90">
        <f>VLOOKUP(A62,'Data Vlaue (Cr)'!C57:CY271,101,0)</f>
        <v>-984</v>
      </c>
      <c r="D62" s="139">
        <f>VLOOKUP(A62,'Data Vlaue (Cr)'!C57:CZ271,102,0)</f>
        <v>-0.32300000000000001</v>
      </c>
      <c r="E62" s="91">
        <f>VLOOKUP($A62,'Data Vlaue (Cr)'!$C:$FB,75)</f>
        <v>1501</v>
      </c>
      <c r="F62" s="91">
        <f>VLOOKUP($A62,'Data Vlaue (Cr)'!$C:$FB,77)</f>
        <v>-130</v>
      </c>
      <c r="G62" s="92">
        <f>VLOOKUP(A62,'Data Vlaue (Cr)'!C57:CB271,78,0)</f>
        <v>-7.9799999999999996E-2</v>
      </c>
      <c r="H62" s="91">
        <f>VLOOKUP($A62,'Data Vlaue (Cr)'!$C:$FB,91)</f>
        <v>366</v>
      </c>
      <c r="I62" s="91">
        <f>VLOOKUP($A62,'Data Vlaue (Cr)'!$C:$FB,93)</f>
        <v>-463</v>
      </c>
      <c r="J62" s="92">
        <f>VLOOKUP($A62,'Data Vlaue (Cr)'!$C:$FB,94)</f>
        <v>-0.55810000000000004</v>
      </c>
      <c r="K62" s="91">
        <f>VLOOKUP($A62,'Data Vlaue (Cr)'!$C:$FB,95)</f>
        <v>195</v>
      </c>
      <c r="L62" s="91">
        <f>VLOOKUP($A62,'Data Vlaue (Cr)'!$C:$FB,97)</f>
        <v>-391</v>
      </c>
      <c r="M62" s="92">
        <f>VLOOKUP($A62,'Data Vlaue (Cr)'!$C:$FB,98)</f>
        <v>-0.66720000000000002</v>
      </c>
      <c r="N62" s="91">
        <f>VLOOKUP($A62,'Data Vlaue (Cr)'!$C:$FB,79)</f>
        <v>173</v>
      </c>
      <c r="O62" s="92">
        <f>VLOOKUP($A62,'Data Vlaue (Cr)'!$C:$FB,82)</f>
        <v>-0.28620000000000001</v>
      </c>
    </row>
    <row r="63" spans="1:15" x14ac:dyDescent="0.25">
      <c r="A63" s="97" t="str">
        <f>'Data Vlaue (Cr)'!C58</f>
        <v>DIXON</v>
      </c>
      <c r="B63" s="142">
        <f>VLOOKUP(A63,'Data Vlaue (Cr)'!C58:CW272,99,0)</f>
        <v>4767</v>
      </c>
      <c r="C63" s="90">
        <f>VLOOKUP(A63,'Data Vlaue (Cr)'!C58:CY272,101,0)</f>
        <v>-2587</v>
      </c>
      <c r="D63" s="139">
        <f>VLOOKUP(A63,'Data Vlaue (Cr)'!C58:CZ272,102,0)</f>
        <v>-0.3518</v>
      </c>
      <c r="E63" s="91">
        <f>VLOOKUP($A63,'Data Vlaue (Cr)'!$C:$FB,75)</f>
        <v>3045</v>
      </c>
      <c r="F63" s="91">
        <f>VLOOKUP($A63,'Data Vlaue (Cr)'!$C:$FB,77)</f>
        <v>-210</v>
      </c>
      <c r="G63" s="92">
        <f>VLOOKUP(A63,'Data Vlaue (Cr)'!C58:CB272,78,0)</f>
        <v>-6.4600000000000005E-2</v>
      </c>
      <c r="H63" s="91">
        <f>VLOOKUP($A63,'Data Vlaue (Cr)'!$C:$FB,91)</f>
        <v>948</v>
      </c>
      <c r="I63" s="91">
        <f>VLOOKUP($A63,'Data Vlaue (Cr)'!$C:$FB,93)</f>
        <v>-1300</v>
      </c>
      <c r="J63" s="92">
        <f>VLOOKUP($A63,'Data Vlaue (Cr)'!$C:$FB,94)</f>
        <v>-0.57840000000000003</v>
      </c>
      <c r="K63" s="91">
        <f>VLOOKUP($A63,'Data Vlaue (Cr)'!$C:$FB,95)</f>
        <v>773</v>
      </c>
      <c r="L63" s="91">
        <f>VLOOKUP($A63,'Data Vlaue (Cr)'!$C:$FB,97)</f>
        <v>-1076</v>
      </c>
      <c r="M63" s="92">
        <f>VLOOKUP($A63,'Data Vlaue (Cr)'!$C:$FB,98)</f>
        <v>-0.58179999999999998</v>
      </c>
      <c r="N63" s="91">
        <f>VLOOKUP($A63,'Data Vlaue (Cr)'!$C:$FB,79)</f>
        <v>213</v>
      </c>
      <c r="O63" s="92">
        <f>VLOOKUP($A63,'Data Vlaue (Cr)'!$C:$FB,82)</f>
        <v>-0.45419999999999999</v>
      </c>
    </row>
    <row r="64" spans="1:15" x14ac:dyDescent="0.25">
      <c r="A64" s="97" t="str">
        <f>'Data Vlaue (Cr)'!C59</f>
        <v>DLF</v>
      </c>
      <c r="B64" s="142">
        <f>VLOOKUP(A64,'Data Vlaue (Cr)'!C59:CW273,99,0)</f>
        <v>2993</v>
      </c>
      <c r="C64" s="90">
        <f>VLOOKUP(A64,'Data Vlaue (Cr)'!C59:CY273,101,0)</f>
        <v>-571</v>
      </c>
      <c r="D64" s="139">
        <f>VLOOKUP(A64,'Data Vlaue (Cr)'!C59:CZ273,102,0)</f>
        <v>-0.16020000000000001</v>
      </c>
      <c r="E64" s="91">
        <f>VLOOKUP($A64,'Data Vlaue (Cr)'!$C:$FB,75)</f>
        <v>2442</v>
      </c>
      <c r="F64" s="91">
        <f>VLOOKUP($A64,'Data Vlaue (Cr)'!$C:$FB,77)</f>
        <v>-46</v>
      </c>
      <c r="G64" s="92">
        <f>VLOOKUP(A64,'Data Vlaue (Cr)'!C59:CB273,78,0)</f>
        <v>-1.83E-2</v>
      </c>
      <c r="H64" s="91">
        <f>VLOOKUP($A64,'Data Vlaue (Cr)'!$C:$FB,91)</f>
        <v>314</v>
      </c>
      <c r="I64" s="91">
        <f>VLOOKUP($A64,'Data Vlaue (Cr)'!$C:$FB,93)</f>
        <v>-300</v>
      </c>
      <c r="J64" s="92">
        <f>VLOOKUP($A64,'Data Vlaue (Cr)'!$C:$FB,94)</f>
        <v>-0.4889</v>
      </c>
      <c r="K64" s="91">
        <f>VLOOKUP($A64,'Data Vlaue (Cr)'!$C:$FB,95)</f>
        <v>236</v>
      </c>
      <c r="L64" s="91">
        <f>VLOOKUP($A64,'Data Vlaue (Cr)'!$C:$FB,97)</f>
        <v>-225</v>
      </c>
      <c r="M64" s="92">
        <f>VLOOKUP($A64,'Data Vlaue (Cr)'!$C:$FB,98)</f>
        <v>-0.48780000000000001</v>
      </c>
      <c r="N64" s="91">
        <f>VLOOKUP($A64,'Data Vlaue (Cr)'!$C:$FB,79)</f>
        <v>85</v>
      </c>
      <c r="O64" s="92">
        <f>VLOOKUP($A64,'Data Vlaue (Cr)'!$C:$FB,82)</f>
        <v>-0.75170000000000003</v>
      </c>
    </row>
    <row r="65" spans="1:15" x14ac:dyDescent="0.25">
      <c r="A65" s="97" t="str">
        <f>'Data Vlaue (Cr)'!C60</f>
        <v>DMART</v>
      </c>
      <c r="B65" s="142">
        <f>VLOOKUP(A65,'Data Vlaue (Cr)'!C60:CW274,99,0)</f>
        <v>1955</v>
      </c>
      <c r="C65" s="90">
        <f>VLOOKUP(A65,'Data Vlaue (Cr)'!C60:CY274,101,0)</f>
        <v>-922</v>
      </c>
      <c r="D65" s="139">
        <f>VLOOKUP(A65,'Data Vlaue (Cr)'!C60:CZ274,102,0)</f>
        <v>-0.32040000000000002</v>
      </c>
      <c r="E65" s="91">
        <f>VLOOKUP($A65,'Data Vlaue (Cr)'!$C:$FB,75)</f>
        <v>1511</v>
      </c>
      <c r="F65" s="91">
        <f>VLOOKUP($A65,'Data Vlaue (Cr)'!$C:$FB,77)</f>
        <v>-161</v>
      </c>
      <c r="G65" s="92">
        <f>VLOOKUP(A65,'Data Vlaue (Cr)'!C60:CB274,78,0)</f>
        <v>-9.6100000000000005E-2</v>
      </c>
      <c r="H65" s="91">
        <f>VLOOKUP($A65,'Data Vlaue (Cr)'!$C:$FB,91)</f>
        <v>249</v>
      </c>
      <c r="I65" s="91">
        <f>VLOOKUP($A65,'Data Vlaue (Cr)'!$C:$FB,93)</f>
        <v>-583</v>
      </c>
      <c r="J65" s="92">
        <f>VLOOKUP($A65,'Data Vlaue (Cr)'!$C:$FB,94)</f>
        <v>-0.70099999999999996</v>
      </c>
      <c r="K65" s="91">
        <f>VLOOKUP($A65,'Data Vlaue (Cr)'!$C:$FB,95)</f>
        <v>196</v>
      </c>
      <c r="L65" s="91">
        <f>VLOOKUP($A65,'Data Vlaue (Cr)'!$C:$FB,97)</f>
        <v>-178</v>
      </c>
      <c r="M65" s="92">
        <f>VLOOKUP($A65,'Data Vlaue (Cr)'!$C:$FB,98)</f>
        <v>-0.47660000000000002</v>
      </c>
      <c r="N65" s="91">
        <f>VLOOKUP($A65,'Data Vlaue (Cr)'!$C:$FB,79)</f>
        <v>205</v>
      </c>
      <c r="O65" s="92">
        <f>VLOOKUP($A65,'Data Vlaue (Cr)'!$C:$FB,82)</f>
        <v>-0.33729999999999999</v>
      </c>
    </row>
    <row r="66" spans="1:15" x14ac:dyDescent="0.25">
      <c r="A66" s="97" t="str">
        <f>'Data Vlaue (Cr)'!C61</f>
        <v>DRREDDY</v>
      </c>
      <c r="B66" s="142">
        <f>VLOOKUP(A66,'Data Vlaue (Cr)'!C61:CW275,99,0)</f>
        <v>2904</v>
      </c>
      <c r="C66" s="90">
        <f>VLOOKUP(A66,'Data Vlaue (Cr)'!C61:CY275,101,0)</f>
        <v>-2034</v>
      </c>
      <c r="D66" s="139">
        <f>VLOOKUP(A66,'Data Vlaue (Cr)'!C61:CZ275,102,0)</f>
        <v>-0.41189999999999999</v>
      </c>
      <c r="E66" s="91">
        <f>VLOOKUP($A66,'Data Vlaue (Cr)'!$C:$FB,75)</f>
        <v>2331</v>
      </c>
      <c r="F66" s="91">
        <f>VLOOKUP($A66,'Data Vlaue (Cr)'!$C:$FB,77)</f>
        <v>-591</v>
      </c>
      <c r="G66" s="92">
        <f>VLOOKUP(A66,'Data Vlaue (Cr)'!C61:CB275,78,0)</f>
        <v>-0.2021</v>
      </c>
      <c r="H66" s="91">
        <f>VLOOKUP($A66,'Data Vlaue (Cr)'!$C:$FB,91)</f>
        <v>338</v>
      </c>
      <c r="I66" s="91">
        <f>VLOOKUP($A66,'Data Vlaue (Cr)'!$C:$FB,93)</f>
        <v>-924</v>
      </c>
      <c r="J66" s="92">
        <f>VLOOKUP($A66,'Data Vlaue (Cr)'!$C:$FB,94)</f>
        <v>-0.73209999999999997</v>
      </c>
      <c r="K66" s="91">
        <f>VLOOKUP($A66,'Data Vlaue (Cr)'!$C:$FB,95)</f>
        <v>235</v>
      </c>
      <c r="L66" s="91">
        <f>VLOOKUP($A66,'Data Vlaue (Cr)'!$C:$FB,97)</f>
        <v>-519</v>
      </c>
      <c r="M66" s="92">
        <f>VLOOKUP($A66,'Data Vlaue (Cr)'!$C:$FB,98)</f>
        <v>-0.68869999999999998</v>
      </c>
      <c r="N66" s="91">
        <f>VLOOKUP($A66,'Data Vlaue (Cr)'!$C:$FB,79)</f>
        <v>705</v>
      </c>
      <c r="O66" s="92">
        <f>VLOOKUP($A66,'Data Vlaue (Cr)'!$C:$FB,82)</f>
        <v>-8.2000000000000003E-2</v>
      </c>
    </row>
    <row r="67" spans="1:15" x14ac:dyDescent="0.25">
      <c r="A67" s="97" t="str">
        <f>'Data Vlaue (Cr)'!C62</f>
        <v>EICHERMOT</v>
      </c>
      <c r="B67" s="142">
        <f>VLOOKUP(A67,'Data Vlaue (Cr)'!C62:CW276,99,0)</f>
        <v>3672</v>
      </c>
      <c r="C67" s="90">
        <f>VLOOKUP(A67,'Data Vlaue (Cr)'!C62:CY276,101,0)</f>
        <v>-1742</v>
      </c>
      <c r="D67" s="139">
        <f>VLOOKUP(A67,'Data Vlaue (Cr)'!C62:CZ276,102,0)</f>
        <v>-0.32169999999999999</v>
      </c>
      <c r="E67" s="91">
        <f>VLOOKUP($A67,'Data Vlaue (Cr)'!$C:$FB,75)</f>
        <v>2341</v>
      </c>
      <c r="F67" s="91">
        <f>VLOOKUP($A67,'Data Vlaue (Cr)'!$C:$FB,77)</f>
        <v>-197</v>
      </c>
      <c r="G67" s="92">
        <f>VLOOKUP(A67,'Data Vlaue (Cr)'!C62:CB276,78,0)</f>
        <v>-7.7799999999999994E-2</v>
      </c>
      <c r="H67" s="91">
        <f>VLOOKUP($A67,'Data Vlaue (Cr)'!$C:$FB,91)</f>
        <v>773</v>
      </c>
      <c r="I67" s="91">
        <f>VLOOKUP($A67,'Data Vlaue (Cr)'!$C:$FB,93)</f>
        <v>-844</v>
      </c>
      <c r="J67" s="92">
        <f>VLOOKUP($A67,'Data Vlaue (Cr)'!$C:$FB,94)</f>
        <v>-0.52200000000000002</v>
      </c>
      <c r="K67" s="91">
        <f>VLOOKUP($A67,'Data Vlaue (Cr)'!$C:$FB,95)</f>
        <v>558</v>
      </c>
      <c r="L67" s="91">
        <f>VLOOKUP($A67,'Data Vlaue (Cr)'!$C:$FB,97)</f>
        <v>-700</v>
      </c>
      <c r="M67" s="92">
        <f>VLOOKUP($A67,'Data Vlaue (Cr)'!$C:$FB,98)</f>
        <v>-0.55669999999999997</v>
      </c>
      <c r="N67" s="91">
        <f>VLOOKUP($A67,'Data Vlaue (Cr)'!$C:$FB,79)</f>
        <v>144</v>
      </c>
      <c r="O67" s="92">
        <f>VLOOKUP($A67,'Data Vlaue (Cr)'!$C:$FB,82)</f>
        <v>-0.34560000000000002</v>
      </c>
    </row>
    <row r="68" spans="1:15" x14ac:dyDescent="0.25">
      <c r="A68" s="97" t="str">
        <f>'Data Vlaue (Cr)'!C63</f>
        <v>ETERNAL</v>
      </c>
      <c r="B68" s="142">
        <f>VLOOKUP(A68,'Data Vlaue (Cr)'!C63:CW277,99,0)</f>
        <v>6130</v>
      </c>
      <c r="C68" s="90">
        <f>VLOOKUP(A68,'Data Vlaue (Cr)'!C63:CY277,101,0)</f>
        <v>-1826</v>
      </c>
      <c r="D68" s="139">
        <f>VLOOKUP(A68,'Data Vlaue (Cr)'!C63:CZ277,102,0)</f>
        <v>-0.22950000000000001</v>
      </c>
      <c r="E68" s="91">
        <f>VLOOKUP($A68,'Data Vlaue (Cr)'!$C:$FB,75)</f>
        <v>4938</v>
      </c>
      <c r="F68" s="91">
        <f>VLOOKUP($A68,'Data Vlaue (Cr)'!$C:$FB,77)</f>
        <v>-21</v>
      </c>
      <c r="G68" s="92">
        <f>VLOOKUP(A68,'Data Vlaue (Cr)'!C63:CB277,78,0)</f>
        <v>-4.3E-3</v>
      </c>
      <c r="H68" s="91">
        <f>VLOOKUP($A68,'Data Vlaue (Cr)'!$C:$FB,91)</f>
        <v>577</v>
      </c>
      <c r="I68" s="91">
        <f>VLOOKUP($A68,'Data Vlaue (Cr)'!$C:$FB,93)</f>
        <v>-1331</v>
      </c>
      <c r="J68" s="92">
        <f>VLOOKUP($A68,'Data Vlaue (Cr)'!$C:$FB,94)</f>
        <v>-0.69769999999999999</v>
      </c>
      <c r="K68" s="91">
        <f>VLOOKUP($A68,'Data Vlaue (Cr)'!$C:$FB,95)</f>
        <v>615</v>
      </c>
      <c r="L68" s="91">
        <f>VLOOKUP($A68,'Data Vlaue (Cr)'!$C:$FB,97)</f>
        <v>-473</v>
      </c>
      <c r="M68" s="92">
        <f>VLOOKUP($A68,'Data Vlaue (Cr)'!$C:$FB,98)</f>
        <v>-0.43509999999999999</v>
      </c>
      <c r="N68" s="91">
        <f>VLOOKUP($A68,'Data Vlaue (Cr)'!$C:$FB,79)</f>
        <v>180</v>
      </c>
      <c r="O68" s="92">
        <f>VLOOKUP($A68,'Data Vlaue (Cr)'!$C:$FB,82)</f>
        <v>-0.78990000000000005</v>
      </c>
    </row>
    <row r="69" spans="1:15" x14ac:dyDescent="0.25">
      <c r="A69" s="97" t="str">
        <f>'Data Vlaue (Cr)'!C64</f>
        <v>EXIDEIND</v>
      </c>
      <c r="B69" s="142">
        <f>VLOOKUP(A69,'Data Vlaue (Cr)'!C64:CW278,99,0)</f>
        <v>1286</v>
      </c>
      <c r="C69" s="90">
        <f>VLOOKUP(A69,'Data Vlaue (Cr)'!C64:CY278,101,0)</f>
        <v>-546</v>
      </c>
      <c r="D69" s="139">
        <f>VLOOKUP(A69,'Data Vlaue (Cr)'!C64:CZ278,102,0)</f>
        <v>-0.29809999999999998</v>
      </c>
      <c r="E69" s="91">
        <f>VLOOKUP($A69,'Data Vlaue (Cr)'!$C:$FB,75)</f>
        <v>795</v>
      </c>
      <c r="F69" s="91">
        <f>VLOOKUP($A69,'Data Vlaue (Cr)'!$C:$FB,77)</f>
        <v>-58</v>
      </c>
      <c r="G69" s="92">
        <f>VLOOKUP(A69,'Data Vlaue (Cr)'!C64:CB278,78,0)</f>
        <v>-6.7799999999999999E-2</v>
      </c>
      <c r="H69" s="91">
        <f>VLOOKUP($A69,'Data Vlaue (Cr)'!$C:$FB,91)</f>
        <v>291</v>
      </c>
      <c r="I69" s="91">
        <f>VLOOKUP($A69,'Data Vlaue (Cr)'!$C:$FB,93)</f>
        <v>-320</v>
      </c>
      <c r="J69" s="92">
        <f>VLOOKUP($A69,'Data Vlaue (Cr)'!$C:$FB,94)</f>
        <v>-0.52359999999999995</v>
      </c>
      <c r="K69" s="91">
        <f>VLOOKUP($A69,'Data Vlaue (Cr)'!$C:$FB,95)</f>
        <v>199</v>
      </c>
      <c r="L69" s="91">
        <f>VLOOKUP($A69,'Data Vlaue (Cr)'!$C:$FB,97)</f>
        <v>-168</v>
      </c>
      <c r="M69" s="92">
        <f>VLOOKUP($A69,'Data Vlaue (Cr)'!$C:$FB,98)</f>
        <v>-0.45739999999999997</v>
      </c>
      <c r="N69" s="91">
        <f>VLOOKUP($A69,'Data Vlaue (Cr)'!$C:$FB,79)</f>
        <v>69</v>
      </c>
      <c r="O69" s="92">
        <f>VLOOKUP($A69,'Data Vlaue (Cr)'!$C:$FB,82)</f>
        <v>-0.60619999999999996</v>
      </c>
    </row>
    <row r="70" spans="1:15" x14ac:dyDescent="0.25">
      <c r="A70" s="97" t="str">
        <f>'Data Vlaue (Cr)'!C65</f>
        <v>FEDERALBNK</v>
      </c>
      <c r="B70" s="142">
        <f>VLOOKUP(A70,'Data Vlaue (Cr)'!C65:CW279,99,0)</f>
        <v>2865</v>
      </c>
      <c r="C70" s="90">
        <f>VLOOKUP(A70,'Data Vlaue (Cr)'!C65:CY279,101,0)</f>
        <v>-1075</v>
      </c>
      <c r="D70" s="139">
        <f>VLOOKUP(A70,'Data Vlaue (Cr)'!C65:CZ279,102,0)</f>
        <v>-0.27289999999999998</v>
      </c>
      <c r="E70" s="91">
        <f>VLOOKUP($A70,'Data Vlaue (Cr)'!$C:$FB,75)</f>
        <v>2343</v>
      </c>
      <c r="F70" s="91">
        <f>VLOOKUP($A70,'Data Vlaue (Cr)'!$C:$FB,77)</f>
        <v>-142</v>
      </c>
      <c r="G70" s="92">
        <f>VLOOKUP(A70,'Data Vlaue (Cr)'!C65:CB279,78,0)</f>
        <v>-5.7200000000000001E-2</v>
      </c>
      <c r="H70" s="91">
        <f>VLOOKUP($A70,'Data Vlaue (Cr)'!$C:$FB,91)</f>
        <v>296</v>
      </c>
      <c r="I70" s="91">
        <f>VLOOKUP($A70,'Data Vlaue (Cr)'!$C:$FB,93)</f>
        <v>-611</v>
      </c>
      <c r="J70" s="92">
        <f>VLOOKUP($A70,'Data Vlaue (Cr)'!$C:$FB,94)</f>
        <v>-0.67400000000000004</v>
      </c>
      <c r="K70" s="91">
        <f>VLOOKUP($A70,'Data Vlaue (Cr)'!$C:$FB,95)</f>
        <v>226</v>
      </c>
      <c r="L70" s="91">
        <f>VLOOKUP($A70,'Data Vlaue (Cr)'!$C:$FB,97)</f>
        <v>-321</v>
      </c>
      <c r="M70" s="92">
        <f>VLOOKUP($A70,'Data Vlaue (Cr)'!$C:$FB,98)</f>
        <v>-0.58740000000000003</v>
      </c>
      <c r="N70" s="91">
        <f>VLOOKUP($A70,'Data Vlaue (Cr)'!$C:$FB,79)</f>
        <v>219</v>
      </c>
      <c r="O70" s="92">
        <f>VLOOKUP($A70,'Data Vlaue (Cr)'!$C:$FB,82)</f>
        <v>-0.41670000000000001</v>
      </c>
    </row>
    <row r="71" spans="1:15" x14ac:dyDescent="0.25">
      <c r="A71" s="97" t="str">
        <f>'Data Vlaue (Cr)'!C66</f>
        <v>FINNIFTY</v>
      </c>
      <c r="B71" s="142">
        <f>VLOOKUP(A71,'Data Vlaue (Cr)'!C66:CW280,99,0)</f>
        <v>83</v>
      </c>
      <c r="C71" s="90">
        <f>VLOOKUP(A71,'Data Vlaue (Cr)'!C66:CY280,101,0)</f>
        <v>-5282</v>
      </c>
      <c r="D71" s="139">
        <f>VLOOKUP(A71,'Data Vlaue (Cr)'!C66:CZ280,102,0)</f>
        <v>-0.98450000000000004</v>
      </c>
      <c r="E71" s="91">
        <f>VLOOKUP($A71,'Data Vlaue (Cr)'!$C:$FB,75)</f>
        <v>36</v>
      </c>
      <c r="F71" s="91">
        <f>VLOOKUP($A71,'Data Vlaue (Cr)'!$C:$FB,77)</f>
        <v>-51</v>
      </c>
      <c r="G71" s="92">
        <f>VLOOKUP(A71,'Data Vlaue (Cr)'!C66:CB280,78,0)</f>
        <v>-0.58299999999999996</v>
      </c>
      <c r="H71" s="91">
        <f>VLOOKUP($A71,'Data Vlaue (Cr)'!$C:$FB,91)</f>
        <v>27</v>
      </c>
      <c r="I71" s="91">
        <f>VLOOKUP($A71,'Data Vlaue (Cr)'!$C:$FB,93)</f>
        <v>-2683</v>
      </c>
      <c r="J71" s="92">
        <f>VLOOKUP($A71,'Data Vlaue (Cr)'!$C:$FB,94)</f>
        <v>-0.99019999999999997</v>
      </c>
      <c r="K71" s="91">
        <f>VLOOKUP($A71,'Data Vlaue (Cr)'!$C:$FB,95)</f>
        <v>21</v>
      </c>
      <c r="L71" s="91">
        <f>VLOOKUP($A71,'Data Vlaue (Cr)'!$C:$FB,97)</f>
        <v>-2548</v>
      </c>
      <c r="M71" s="92">
        <f>VLOOKUP($A71,'Data Vlaue (Cr)'!$C:$FB,98)</f>
        <v>-0.99199999999999999</v>
      </c>
      <c r="N71" s="91">
        <f>VLOOKUP($A71,'Data Vlaue (Cr)'!$C:$FB,79)</f>
        <v>54</v>
      </c>
      <c r="O71" s="92">
        <f>VLOOKUP($A71,'Data Vlaue (Cr)'!$C:$FB,82)</f>
        <v>-0.2064</v>
      </c>
    </row>
    <row r="72" spans="1:15" x14ac:dyDescent="0.25">
      <c r="A72" s="97" t="str">
        <f>'Data Vlaue (Cr)'!C67</f>
        <v>FORCEMOT</v>
      </c>
      <c r="B72" s="142">
        <f>VLOOKUP(A72,'Data Vlaue (Cr)'!C67:CW281,99,0)</f>
        <v>526</v>
      </c>
      <c r="C72" s="90">
        <f>VLOOKUP(A72,'Data Vlaue (Cr)'!C67:CY281,101,0)</f>
        <v>-500</v>
      </c>
      <c r="D72" s="139">
        <f>VLOOKUP(A72,'Data Vlaue (Cr)'!C67:CZ281,102,0)</f>
        <v>-0.4869</v>
      </c>
      <c r="E72" s="91">
        <f>VLOOKUP($A72,'Data Vlaue (Cr)'!$C:$FB,75)</f>
        <v>422</v>
      </c>
      <c r="F72" s="91">
        <f>VLOOKUP($A72,'Data Vlaue (Cr)'!$C:$FB,77)</f>
        <v>-48</v>
      </c>
      <c r="G72" s="92">
        <f>VLOOKUP(A72,'Data Vlaue (Cr)'!C67:CB281,78,0)</f>
        <v>-0.1028</v>
      </c>
      <c r="H72" s="91">
        <f>VLOOKUP($A72,'Data Vlaue (Cr)'!$C:$FB,91)</f>
        <v>82</v>
      </c>
      <c r="I72" s="91">
        <f>VLOOKUP($A72,'Data Vlaue (Cr)'!$C:$FB,93)</f>
        <v>-339</v>
      </c>
      <c r="J72" s="92">
        <f>VLOOKUP($A72,'Data Vlaue (Cr)'!$C:$FB,94)</f>
        <v>-0.80530000000000002</v>
      </c>
      <c r="K72" s="91">
        <f>VLOOKUP($A72,'Data Vlaue (Cr)'!$C:$FB,95)</f>
        <v>22</v>
      </c>
      <c r="L72" s="91">
        <f>VLOOKUP($A72,'Data Vlaue (Cr)'!$C:$FB,97)</f>
        <v>-113</v>
      </c>
      <c r="M72" s="92">
        <f>VLOOKUP($A72,'Data Vlaue (Cr)'!$C:$FB,98)</f>
        <v>-0.83509999999999995</v>
      </c>
      <c r="N72" s="91">
        <f>VLOOKUP($A72,'Data Vlaue (Cr)'!$C:$FB,79)</f>
        <v>17</v>
      </c>
      <c r="O72" s="92">
        <f>VLOOKUP($A72,'Data Vlaue (Cr)'!$C:$FB,82)</f>
        <v>-0.73170000000000002</v>
      </c>
    </row>
    <row r="73" spans="1:15" x14ac:dyDescent="0.25">
      <c r="A73" s="97" t="str">
        <f>'Data Vlaue (Cr)'!C68</f>
        <v>FORTIS</v>
      </c>
      <c r="B73" s="142">
        <f>VLOOKUP(A73,'Data Vlaue (Cr)'!C68:CW282,99,0)</f>
        <v>1097</v>
      </c>
      <c r="C73" s="90">
        <f>VLOOKUP(A73,'Data Vlaue (Cr)'!C68:CY282,101,0)</f>
        <v>-260</v>
      </c>
      <c r="D73" s="139">
        <f>VLOOKUP(A73,'Data Vlaue (Cr)'!C68:CZ282,102,0)</f>
        <v>-0.19159999999999999</v>
      </c>
      <c r="E73" s="91">
        <f>VLOOKUP($A73,'Data Vlaue (Cr)'!$C:$FB,75)</f>
        <v>899</v>
      </c>
      <c r="F73" s="91">
        <f>VLOOKUP($A73,'Data Vlaue (Cr)'!$C:$FB,77)</f>
        <v>-5</v>
      </c>
      <c r="G73" s="92">
        <f>VLOOKUP(A73,'Data Vlaue (Cr)'!C68:CB282,78,0)</f>
        <v>-5.4000000000000003E-3</v>
      </c>
      <c r="H73" s="91">
        <f>VLOOKUP($A73,'Data Vlaue (Cr)'!$C:$FB,91)</f>
        <v>131</v>
      </c>
      <c r="I73" s="91">
        <f>VLOOKUP($A73,'Data Vlaue (Cr)'!$C:$FB,93)</f>
        <v>-146</v>
      </c>
      <c r="J73" s="92">
        <f>VLOOKUP($A73,'Data Vlaue (Cr)'!$C:$FB,94)</f>
        <v>-0.52659999999999996</v>
      </c>
      <c r="K73" s="91">
        <f>VLOOKUP($A73,'Data Vlaue (Cr)'!$C:$FB,95)</f>
        <v>68</v>
      </c>
      <c r="L73" s="91">
        <f>VLOOKUP($A73,'Data Vlaue (Cr)'!$C:$FB,97)</f>
        <v>-109</v>
      </c>
      <c r="M73" s="92">
        <f>VLOOKUP($A73,'Data Vlaue (Cr)'!$C:$FB,98)</f>
        <v>-0.61819999999999997</v>
      </c>
      <c r="N73" s="91">
        <f>VLOOKUP($A73,'Data Vlaue (Cr)'!$C:$FB,79)</f>
        <v>18</v>
      </c>
      <c r="O73" s="92">
        <f>VLOOKUP($A73,'Data Vlaue (Cr)'!$C:$FB,82)</f>
        <v>-0.70599999999999996</v>
      </c>
    </row>
    <row r="74" spans="1:15" x14ac:dyDescent="0.25">
      <c r="A74" s="97" t="str">
        <f>'Data Vlaue (Cr)'!C69</f>
        <v>GAIL</v>
      </c>
      <c r="B74" s="142">
        <f>VLOOKUP(A74,'Data Vlaue (Cr)'!C69:CW283,99,0)</f>
        <v>1859</v>
      </c>
      <c r="C74" s="90">
        <f>VLOOKUP(A74,'Data Vlaue (Cr)'!C69:CY283,101,0)</f>
        <v>-714</v>
      </c>
      <c r="D74" s="139">
        <f>VLOOKUP(A74,'Data Vlaue (Cr)'!C69:CZ283,102,0)</f>
        <v>-0.27739999999999998</v>
      </c>
      <c r="E74" s="91">
        <f>VLOOKUP($A74,'Data Vlaue (Cr)'!$C:$FB,75)</f>
        <v>1307</v>
      </c>
      <c r="F74" s="91">
        <f>VLOOKUP($A74,'Data Vlaue (Cr)'!$C:$FB,77)</f>
        <v>-116</v>
      </c>
      <c r="G74" s="92">
        <f>VLOOKUP(A74,'Data Vlaue (Cr)'!C69:CB283,78,0)</f>
        <v>-8.1600000000000006E-2</v>
      </c>
      <c r="H74" s="91">
        <f>VLOOKUP($A74,'Data Vlaue (Cr)'!$C:$FB,91)</f>
        <v>295</v>
      </c>
      <c r="I74" s="91">
        <f>VLOOKUP($A74,'Data Vlaue (Cr)'!$C:$FB,93)</f>
        <v>-289</v>
      </c>
      <c r="J74" s="92">
        <f>VLOOKUP($A74,'Data Vlaue (Cr)'!$C:$FB,94)</f>
        <v>-0.49459999999999998</v>
      </c>
      <c r="K74" s="91">
        <f>VLOOKUP($A74,'Data Vlaue (Cr)'!$C:$FB,95)</f>
        <v>257</v>
      </c>
      <c r="L74" s="91">
        <f>VLOOKUP($A74,'Data Vlaue (Cr)'!$C:$FB,97)</f>
        <v>-308</v>
      </c>
      <c r="M74" s="92">
        <f>VLOOKUP($A74,'Data Vlaue (Cr)'!$C:$FB,98)</f>
        <v>-0.54559999999999997</v>
      </c>
      <c r="N74" s="91">
        <f>VLOOKUP($A74,'Data Vlaue (Cr)'!$C:$FB,79)</f>
        <v>128</v>
      </c>
      <c r="O74" s="92">
        <f>VLOOKUP($A74,'Data Vlaue (Cr)'!$C:$FB,82)</f>
        <v>-0.32629999999999998</v>
      </c>
    </row>
    <row r="75" spans="1:15" x14ac:dyDescent="0.25">
      <c r="A75" s="97" t="str">
        <f>'Data Vlaue (Cr)'!C70</f>
        <v>GLENMARK</v>
      </c>
      <c r="B75" s="142">
        <f>VLOOKUP(A75,'Data Vlaue (Cr)'!C70:CW284,99,0)</f>
        <v>3312</v>
      </c>
      <c r="C75" s="90">
        <f>VLOOKUP(A75,'Data Vlaue (Cr)'!C70:CY284,101,0)</f>
        <v>-580</v>
      </c>
      <c r="D75" s="139">
        <f>VLOOKUP(A75,'Data Vlaue (Cr)'!C70:CZ284,102,0)</f>
        <v>-0.14899999999999999</v>
      </c>
      <c r="E75" s="91">
        <f>VLOOKUP($A75,'Data Vlaue (Cr)'!$C:$FB,75)</f>
        <v>2680</v>
      </c>
      <c r="F75" s="91">
        <f>VLOOKUP($A75,'Data Vlaue (Cr)'!$C:$FB,77)</f>
        <v>-25</v>
      </c>
      <c r="G75" s="92">
        <f>VLOOKUP(A75,'Data Vlaue (Cr)'!C70:CB284,78,0)</f>
        <v>-9.1000000000000004E-3</v>
      </c>
      <c r="H75" s="91">
        <f>VLOOKUP($A75,'Data Vlaue (Cr)'!$C:$FB,91)</f>
        <v>369</v>
      </c>
      <c r="I75" s="91">
        <f>VLOOKUP($A75,'Data Vlaue (Cr)'!$C:$FB,93)</f>
        <v>-376</v>
      </c>
      <c r="J75" s="92">
        <f>VLOOKUP($A75,'Data Vlaue (Cr)'!$C:$FB,94)</f>
        <v>-0.50449999999999995</v>
      </c>
      <c r="K75" s="91">
        <f>VLOOKUP($A75,'Data Vlaue (Cr)'!$C:$FB,95)</f>
        <v>263</v>
      </c>
      <c r="L75" s="91">
        <f>VLOOKUP($A75,'Data Vlaue (Cr)'!$C:$FB,97)</f>
        <v>-179</v>
      </c>
      <c r="M75" s="92">
        <f>VLOOKUP($A75,'Data Vlaue (Cr)'!$C:$FB,98)</f>
        <v>-0.40529999999999999</v>
      </c>
      <c r="N75" s="91">
        <f>VLOOKUP($A75,'Data Vlaue (Cr)'!$C:$FB,79)</f>
        <v>47</v>
      </c>
      <c r="O75" s="92">
        <f>VLOOKUP($A75,'Data Vlaue (Cr)'!$C:$FB,82)</f>
        <v>-0.78969999999999996</v>
      </c>
    </row>
    <row r="76" spans="1:15" x14ac:dyDescent="0.25">
      <c r="A76" s="97" t="str">
        <f>'Data Vlaue (Cr)'!C71</f>
        <v>GMRAIRPORT</v>
      </c>
      <c r="B76" s="142">
        <f>VLOOKUP(A76,'Data Vlaue (Cr)'!C71:CW285,99,0)</f>
        <v>1527</v>
      </c>
      <c r="C76" s="90">
        <f>VLOOKUP(A76,'Data Vlaue (Cr)'!C71:CY285,101,0)</f>
        <v>-557</v>
      </c>
      <c r="D76" s="139">
        <f>VLOOKUP(A76,'Data Vlaue (Cr)'!C71:CZ285,102,0)</f>
        <v>-0.26740000000000003</v>
      </c>
      <c r="E76" s="91">
        <f>VLOOKUP($A76,'Data Vlaue (Cr)'!$C:$FB,75)</f>
        <v>1165</v>
      </c>
      <c r="F76" s="91">
        <f>VLOOKUP($A76,'Data Vlaue (Cr)'!$C:$FB,77)</f>
        <v>-125</v>
      </c>
      <c r="G76" s="92">
        <f>VLOOKUP(A76,'Data Vlaue (Cr)'!C71:CB285,78,0)</f>
        <v>-9.7199999999999995E-2</v>
      </c>
      <c r="H76" s="91">
        <f>VLOOKUP($A76,'Data Vlaue (Cr)'!$C:$FB,91)</f>
        <v>216</v>
      </c>
      <c r="I76" s="91">
        <f>VLOOKUP($A76,'Data Vlaue (Cr)'!$C:$FB,93)</f>
        <v>-261</v>
      </c>
      <c r="J76" s="92">
        <f>VLOOKUP($A76,'Data Vlaue (Cr)'!$C:$FB,94)</f>
        <v>-0.54790000000000005</v>
      </c>
      <c r="K76" s="91">
        <f>VLOOKUP($A76,'Data Vlaue (Cr)'!$C:$FB,95)</f>
        <v>146</v>
      </c>
      <c r="L76" s="91">
        <f>VLOOKUP($A76,'Data Vlaue (Cr)'!$C:$FB,97)</f>
        <v>-170</v>
      </c>
      <c r="M76" s="92">
        <f>VLOOKUP($A76,'Data Vlaue (Cr)'!$C:$FB,98)</f>
        <v>-0.53790000000000004</v>
      </c>
      <c r="N76" s="91">
        <f>VLOOKUP($A76,'Data Vlaue (Cr)'!$C:$FB,79)</f>
        <v>141</v>
      </c>
      <c r="O76" s="92">
        <f>VLOOKUP($A76,'Data Vlaue (Cr)'!$C:$FB,82)</f>
        <v>-0.52500000000000002</v>
      </c>
    </row>
    <row r="77" spans="1:15" x14ac:dyDescent="0.25">
      <c r="A77" s="97" t="str">
        <f>'Data Vlaue (Cr)'!C72</f>
        <v>GODFRYPHLP</v>
      </c>
      <c r="B77" s="142">
        <f>VLOOKUP(A77,'Data Vlaue (Cr)'!C72:CW286,99,0)</f>
        <v>763</v>
      </c>
      <c r="C77" s="90">
        <f>VLOOKUP(A77,'Data Vlaue (Cr)'!C72:CY286,101,0)</f>
        <v>-366</v>
      </c>
      <c r="D77" s="139">
        <f>VLOOKUP(A77,'Data Vlaue (Cr)'!C72:CZ286,102,0)</f>
        <v>-0.32429999999999998</v>
      </c>
      <c r="E77" s="91">
        <f>VLOOKUP($A77,'Data Vlaue (Cr)'!$C:$FB,75)</f>
        <v>591</v>
      </c>
      <c r="F77" s="91">
        <f>VLOOKUP($A77,'Data Vlaue (Cr)'!$C:$FB,77)</f>
        <v>-64</v>
      </c>
      <c r="G77" s="92">
        <f>VLOOKUP(A77,'Data Vlaue (Cr)'!C72:CB286,78,0)</f>
        <v>-9.7600000000000006E-2</v>
      </c>
      <c r="H77" s="91">
        <f>VLOOKUP($A77,'Data Vlaue (Cr)'!$C:$FB,91)</f>
        <v>128</v>
      </c>
      <c r="I77" s="91">
        <f>VLOOKUP($A77,'Data Vlaue (Cr)'!$C:$FB,93)</f>
        <v>-188</v>
      </c>
      <c r="J77" s="92">
        <f>VLOOKUP($A77,'Data Vlaue (Cr)'!$C:$FB,94)</f>
        <v>-0.59470000000000001</v>
      </c>
      <c r="K77" s="91">
        <f>VLOOKUP($A77,'Data Vlaue (Cr)'!$C:$FB,95)</f>
        <v>44</v>
      </c>
      <c r="L77" s="91">
        <f>VLOOKUP($A77,'Data Vlaue (Cr)'!$C:$FB,97)</f>
        <v>-114</v>
      </c>
      <c r="M77" s="92">
        <f>VLOOKUP($A77,'Data Vlaue (Cr)'!$C:$FB,98)</f>
        <v>-0.72209999999999996</v>
      </c>
      <c r="N77" s="91">
        <f>VLOOKUP($A77,'Data Vlaue (Cr)'!$C:$FB,79)</f>
        <v>19</v>
      </c>
      <c r="O77" s="92">
        <f>VLOOKUP($A77,'Data Vlaue (Cr)'!$C:$FB,82)</f>
        <v>-0.78690000000000004</v>
      </c>
    </row>
    <row r="78" spans="1:15" x14ac:dyDescent="0.25">
      <c r="A78" s="97" t="str">
        <f>'Data Vlaue (Cr)'!C73</f>
        <v>GODREJCP</v>
      </c>
      <c r="B78" s="142">
        <f>VLOOKUP(A78,'Data Vlaue (Cr)'!C73:CW287,99,0)</f>
        <v>1362</v>
      </c>
      <c r="C78" s="90">
        <f>VLOOKUP(A78,'Data Vlaue (Cr)'!C73:CY287,101,0)</f>
        <v>-606</v>
      </c>
      <c r="D78" s="139">
        <f>VLOOKUP(A78,'Data Vlaue (Cr)'!C73:CZ287,102,0)</f>
        <v>-0.30790000000000001</v>
      </c>
      <c r="E78" s="91">
        <f>VLOOKUP($A78,'Data Vlaue (Cr)'!$C:$FB,75)</f>
        <v>1250</v>
      </c>
      <c r="F78" s="91">
        <f>VLOOKUP($A78,'Data Vlaue (Cr)'!$C:$FB,77)</f>
        <v>-165</v>
      </c>
      <c r="G78" s="92">
        <f>VLOOKUP(A78,'Data Vlaue (Cr)'!C73:CB287,78,0)</f>
        <v>-0.11650000000000001</v>
      </c>
      <c r="H78" s="91">
        <f>VLOOKUP($A78,'Data Vlaue (Cr)'!$C:$FB,91)</f>
        <v>65</v>
      </c>
      <c r="I78" s="91">
        <f>VLOOKUP($A78,'Data Vlaue (Cr)'!$C:$FB,93)</f>
        <v>-274</v>
      </c>
      <c r="J78" s="92">
        <f>VLOOKUP($A78,'Data Vlaue (Cr)'!$C:$FB,94)</f>
        <v>-0.80910000000000004</v>
      </c>
      <c r="K78" s="91">
        <f>VLOOKUP($A78,'Data Vlaue (Cr)'!$C:$FB,95)</f>
        <v>47</v>
      </c>
      <c r="L78" s="91">
        <f>VLOOKUP($A78,'Data Vlaue (Cr)'!$C:$FB,97)</f>
        <v>-167</v>
      </c>
      <c r="M78" s="92">
        <f>VLOOKUP($A78,'Data Vlaue (Cr)'!$C:$FB,98)</f>
        <v>-0.77910000000000001</v>
      </c>
      <c r="N78" s="91">
        <f>VLOOKUP($A78,'Data Vlaue (Cr)'!$C:$FB,79)</f>
        <v>112</v>
      </c>
      <c r="O78" s="92">
        <f>VLOOKUP($A78,'Data Vlaue (Cr)'!$C:$FB,82)</f>
        <v>-0.45100000000000001</v>
      </c>
    </row>
    <row r="79" spans="1:15" x14ac:dyDescent="0.25">
      <c r="A79" s="97" t="str">
        <f>'Data Vlaue (Cr)'!C74</f>
        <v>GODREJPROP</v>
      </c>
      <c r="B79" s="142">
        <f>VLOOKUP(A79,'Data Vlaue (Cr)'!C74:CW288,99,0)</f>
        <v>1781</v>
      </c>
      <c r="C79" s="90">
        <f>VLOOKUP(A79,'Data Vlaue (Cr)'!C74:CY288,101,0)</f>
        <v>-579</v>
      </c>
      <c r="D79" s="139">
        <f>VLOOKUP(A79,'Data Vlaue (Cr)'!C74:CZ288,102,0)</f>
        <v>-0.24510000000000001</v>
      </c>
      <c r="E79" s="91">
        <f>VLOOKUP($A79,'Data Vlaue (Cr)'!$C:$FB,75)</f>
        <v>1411</v>
      </c>
      <c r="F79" s="91">
        <f>VLOOKUP($A79,'Data Vlaue (Cr)'!$C:$FB,77)</f>
        <v>-20</v>
      </c>
      <c r="G79" s="92">
        <f>VLOOKUP(A79,'Data Vlaue (Cr)'!C74:CB288,78,0)</f>
        <v>-1.38E-2</v>
      </c>
      <c r="H79" s="91">
        <f>VLOOKUP($A79,'Data Vlaue (Cr)'!$C:$FB,91)</f>
        <v>222</v>
      </c>
      <c r="I79" s="91">
        <f>VLOOKUP($A79,'Data Vlaue (Cr)'!$C:$FB,93)</f>
        <v>-329</v>
      </c>
      <c r="J79" s="92">
        <f>VLOOKUP($A79,'Data Vlaue (Cr)'!$C:$FB,94)</f>
        <v>-0.59650000000000003</v>
      </c>
      <c r="K79" s="91">
        <f>VLOOKUP($A79,'Data Vlaue (Cr)'!$C:$FB,95)</f>
        <v>148</v>
      </c>
      <c r="L79" s="91">
        <f>VLOOKUP($A79,'Data Vlaue (Cr)'!$C:$FB,97)</f>
        <v>-230</v>
      </c>
      <c r="M79" s="92">
        <f>VLOOKUP($A79,'Data Vlaue (Cr)'!$C:$FB,98)</f>
        <v>-0.60840000000000005</v>
      </c>
      <c r="N79" s="91">
        <f>VLOOKUP($A79,'Data Vlaue (Cr)'!$C:$FB,79)</f>
        <v>49</v>
      </c>
      <c r="O79" s="92">
        <f>VLOOKUP($A79,'Data Vlaue (Cr)'!$C:$FB,82)</f>
        <v>-0.64649999999999996</v>
      </c>
    </row>
    <row r="80" spans="1:15" x14ac:dyDescent="0.25">
      <c r="A80" s="97" t="str">
        <f>'Data Vlaue (Cr)'!C75</f>
        <v>GRASIM</v>
      </c>
      <c r="B80" s="142">
        <f>VLOOKUP(A80,'Data Vlaue (Cr)'!C75:CW289,99,0)</f>
        <v>5400</v>
      </c>
      <c r="C80" s="90">
        <f>VLOOKUP(A80,'Data Vlaue (Cr)'!C75:CY289,101,0)</f>
        <v>-1362</v>
      </c>
      <c r="D80" s="139">
        <f>VLOOKUP(A80,'Data Vlaue (Cr)'!C75:CZ289,102,0)</f>
        <v>-0.2014</v>
      </c>
      <c r="E80" s="91">
        <f>VLOOKUP($A80,'Data Vlaue (Cr)'!$C:$FB,75)</f>
        <v>4880</v>
      </c>
      <c r="F80" s="91">
        <f>VLOOKUP($A80,'Data Vlaue (Cr)'!$C:$FB,77)</f>
        <v>-252</v>
      </c>
      <c r="G80" s="92">
        <f>VLOOKUP(A80,'Data Vlaue (Cr)'!C75:CB289,78,0)</f>
        <v>-4.9099999999999998E-2</v>
      </c>
      <c r="H80" s="91">
        <f>VLOOKUP($A80,'Data Vlaue (Cr)'!$C:$FB,91)</f>
        <v>250</v>
      </c>
      <c r="I80" s="91">
        <f>VLOOKUP($A80,'Data Vlaue (Cr)'!$C:$FB,93)</f>
        <v>-517</v>
      </c>
      <c r="J80" s="92">
        <f>VLOOKUP($A80,'Data Vlaue (Cr)'!$C:$FB,94)</f>
        <v>-0.67390000000000005</v>
      </c>
      <c r="K80" s="91">
        <f>VLOOKUP($A80,'Data Vlaue (Cr)'!$C:$FB,95)</f>
        <v>269</v>
      </c>
      <c r="L80" s="91">
        <f>VLOOKUP($A80,'Data Vlaue (Cr)'!$C:$FB,97)</f>
        <v>-593</v>
      </c>
      <c r="M80" s="92">
        <f>VLOOKUP($A80,'Data Vlaue (Cr)'!$C:$FB,98)</f>
        <v>-0.68769999999999998</v>
      </c>
      <c r="N80" s="91">
        <f>VLOOKUP($A80,'Data Vlaue (Cr)'!$C:$FB,79)</f>
        <v>153</v>
      </c>
      <c r="O80" s="92">
        <f>VLOOKUP($A80,'Data Vlaue (Cr)'!$C:$FB,82)</f>
        <v>-0.62350000000000005</v>
      </c>
    </row>
    <row r="81" spans="1:15" x14ac:dyDescent="0.25">
      <c r="A81" s="97" t="str">
        <f>'Data Vlaue (Cr)'!C76</f>
        <v>HAL</v>
      </c>
      <c r="B81" s="142">
        <f>VLOOKUP(A81,'Data Vlaue (Cr)'!C76:CW290,99,0)</f>
        <v>4179</v>
      </c>
      <c r="C81" s="90">
        <f>VLOOKUP(A81,'Data Vlaue (Cr)'!C76:CY290,101,0)</f>
        <v>-2029</v>
      </c>
      <c r="D81" s="139">
        <f>VLOOKUP(A81,'Data Vlaue (Cr)'!C76:CZ290,102,0)</f>
        <v>-0.32690000000000002</v>
      </c>
      <c r="E81" s="91">
        <f>VLOOKUP($A81,'Data Vlaue (Cr)'!$C:$FB,75)</f>
        <v>2969</v>
      </c>
      <c r="F81" s="91">
        <f>VLOOKUP($A81,'Data Vlaue (Cr)'!$C:$FB,77)</f>
        <v>-239</v>
      </c>
      <c r="G81" s="92">
        <f>VLOOKUP(A81,'Data Vlaue (Cr)'!C76:CB290,78,0)</f>
        <v>-7.4399999999999994E-2</v>
      </c>
      <c r="H81" s="91">
        <f>VLOOKUP($A81,'Data Vlaue (Cr)'!$C:$FB,91)</f>
        <v>669</v>
      </c>
      <c r="I81" s="91">
        <f>VLOOKUP($A81,'Data Vlaue (Cr)'!$C:$FB,93)</f>
        <v>-1160</v>
      </c>
      <c r="J81" s="92">
        <f>VLOOKUP($A81,'Data Vlaue (Cr)'!$C:$FB,94)</f>
        <v>-0.63419999999999999</v>
      </c>
      <c r="K81" s="91">
        <f>VLOOKUP($A81,'Data Vlaue (Cr)'!$C:$FB,95)</f>
        <v>540</v>
      </c>
      <c r="L81" s="91">
        <f>VLOOKUP($A81,'Data Vlaue (Cr)'!$C:$FB,97)</f>
        <v>-631</v>
      </c>
      <c r="M81" s="92">
        <f>VLOOKUP($A81,'Data Vlaue (Cr)'!$C:$FB,98)</f>
        <v>-0.53859999999999997</v>
      </c>
      <c r="N81" s="91">
        <f>VLOOKUP($A81,'Data Vlaue (Cr)'!$C:$FB,79)</f>
        <v>302</v>
      </c>
      <c r="O81" s="92">
        <f>VLOOKUP($A81,'Data Vlaue (Cr)'!$C:$FB,82)</f>
        <v>-0.59179999999999999</v>
      </c>
    </row>
    <row r="82" spans="1:15" x14ac:dyDescent="0.25">
      <c r="A82" s="97" t="str">
        <f>'Data Vlaue (Cr)'!C77</f>
        <v>HAVELLS</v>
      </c>
      <c r="B82" s="142">
        <f>VLOOKUP(A82,'Data Vlaue (Cr)'!C77:CW291,99,0)</f>
        <v>1426</v>
      </c>
      <c r="C82" s="90">
        <f>VLOOKUP(A82,'Data Vlaue (Cr)'!C77:CY291,101,0)</f>
        <v>-683</v>
      </c>
      <c r="D82" s="139">
        <f>VLOOKUP(A82,'Data Vlaue (Cr)'!C77:CZ291,102,0)</f>
        <v>-0.32390000000000002</v>
      </c>
      <c r="E82" s="91">
        <f>VLOOKUP($A82,'Data Vlaue (Cr)'!$C:$FB,75)</f>
        <v>1169</v>
      </c>
      <c r="F82" s="91">
        <f>VLOOKUP($A82,'Data Vlaue (Cr)'!$C:$FB,77)</f>
        <v>-199</v>
      </c>
      <c r="G82" s="92">
        <f>VLOOKUP(A82,'Data Vlaue (Cr)'!C77:CB291,78,0)</f>
        <v>-0.14530000000000001</v>
      </c>
      <c r="H82" s="91">
        <f>VLOOKUP($A82,'Data Vlaue (Cr)'!$C:$FB,91)</f>
        <v>148</v>
      </c>
      <c r="I82" s="91">
        <f>VLOOKUP($A82,'Data Vlaue (Cr)'!$C:$FB,93)</f>
        <v>-358</v>
      </c>
      <c r="J82" s="92">
        <f>VLOOKUP($A82,'Data Vlaue (Cr)'!$C:$FB,94)</f>
        <v>-0.70799999999999996</v>
      </c>
      <c r="K82" s="91">
        <f>VLOOKUP($A82,'Data Vlaue (Cr)'!$C:$FB,95)</f>
        <v>110</v>
      </c>
      <c r="L82" s="91">
        <f>VLOOKUP($A82,'Data Vlaue (Cr)'!$C:$FB,97)</f>
        <v>-127</v>
      </c>
      <c r="M82" s="92">
        <f>VLOOKUP($A82,'Data Vlaue (Cr)'!$C:$FB,98)</f>
        <v>-0.53590000000000004</v>
      </c>
      <c r="N82" s="91">
        <f>VLOOKUP($A82,'Data Vlaue (Cr)'!$C:$FB,79)</f>
        <v>219</v>
      </c>
      <c r="O82" s="92">
        <f>VLOOKUP($A82,'Data Vlaue (Cr)'!$C:$FB,82)</f>
        <v>-0.52480000000000004</v>
      </c>
    </row>
    <row r="83" spans="1:15" x14ac:dyDescent="0.25">
      <c r="A83" s="97" t="str">
        <f>'Data Vlaue (Cr)'!C78</f>
        <v>HCLTECH</v>
      </c>
      <c r="B83" s="142">
        <f>VLOOKUP(A83,'Data Vlaue (Cr)'!C78:CW292,99,0)</f>
        <v>5508</v>
      </c>
      <c r="C83" s="90">
        <f>VLOOKUP(A83,'Data Vlaue (Cr)'!C78:CY292,101,0)</f>
        <v>-3555</v>
      </c>
      <c r="D83" s="139">
        <f>VLOOKUP(A83,'Data Vlaue (Cr)'!C78:CZ292,102,0)</f>
        <v>-0.39219999999999999</v>
      </c>
      <c r="E83" s="91">
        <f>VLOOKUP($A83,'Data Vlaue (Cr)'!$C:$FB,75)</f>
        <v>4623</v>
      </c>
      <c r="F83" s="91">
        <f>VLOOKUP($A83,'Data Vlaue (Cr)'!$C:$FB,77)</f>
        <v>-407</v>
      </c>
      <c r="G83" s="92">
        <f>VLOOKUP(A83,'Data Vlaue (Cr)'!C78:CB292,78,0)</f>
        <v>-8.09E-2</v>
      </c>
      <c r="H83" s="91">
        <f>VLOOKUP($A83,'Data Vlaue (Cr)'!$C:$FB,91)</f>
        <v>506</v>
      </c>
      <c r="I83" s="91">
        <f>VLOOKUP($A83,'Data Vlaue (Cr)'!$C:$FB,93)</f>
        <v>-2322</v>
      </c>
      <c r="J83" s="92">
        <f>VLOOKUP($A83,'Data Vlaue (Cr)'!$C:$FB,94)</f>
        <v>-0.82120000000000004</v>
      </c>
      <c r="K83" s="91">
        <f>VLOOKUP($A83,'Data Vlaue (Cr)'!$C:$FB,95)</f>
        <v>379</v>
      </c>
      <c r="L83" s="91">
        <f>VLOOKUP($A83,'Data Vlaue (Cr)'!$C:$FB,97)</f>
        <v>-825</v>
      </c>
      <c r="M83" s="92">
        <f>VLOOKUP($A83,'Data Vlaue (Cr)'!$C:$FB,98)</f>
        <v>-0.68530000000000002</v>
      </c>
      <c r="N83" s="91">
        <f>VLOOKUP($A83,'Data Vlaue (Cr)'!$C:$FB,79)</f>
        <v>325</v>
      </c>
      <c r="O83" s="92">
        <f>VLOOKUP($A83,'Data Vlaue (Cr)'!$C:$FB,82)</f>
        <v>-0.42670000000000002</v>
      </c>
    </row>
    <row r="84" spans="1:15" x14ac:dyDescent="0.25">
      <c r="A84" s="97" t="str">
        <f>'Data Vlaue (Cr)'!C79</f>
        <v>HDFCAMC</v>
      </c>
      <c r="B84" s="142">
        <f>VLOOKUP(A84,'Data Vlaue (Cr)'!C79:CW293,99,0)</f>
        <v>2065</v>
      </c>
      <c r="C84" s="90">
        <f>VLOOKUP(A84,'Data Vlaue (Cr)'!C79:CY293,101,0)</f>
        <v>-673</v>
      </c>
      <c r="D84" s="139">
        <f>VLOOKUP(A84,'Data Vlaue (Cr)'!C79:CZ293,102,0)</f>
        <v>-0.24590000000000001</v>
      </c>
      <c r="E84" s="91">
        <f>VLOOKUP($A84,'Data Vlaue (Cr)'!$C:$FB,75)</f>
        <v>1842</v>
      </c>
      <c r="F84" s="91">
        <f>VLOOKUP($A84,'Data Vlaue (Cr)'!$C:$FB,77)</f>
        <v>-213</v>
      </c>
      <c r="G84" s="92">
        <f>VLOOKUP(A84,'Data Vlaue (Cr)'!C79:CB293,78,0)</f>
        <v>-0.1038</v>
      </c>
      <c r="H84" s="91">
        <f>VLOOKUP($A84,'Data Vlaue (Cr)'!$C:$FB,91)</f>
        <v>135</v>
      </c>
      <c r="I84" s="91">
        <f>VLOOKUP($A84,'Data Vlaue (Cr)'!$C:$FB,93)</f>
        <v>-274</v>
      </c>
      <c r="J84" s="92">
        <f>VLOOKUP($A84,'Data Vlaue (Cr)'!$C:$FB,94)</f>
        <v>-0.66910000000000003</v>
      </c>
      <c r="K84" s="91">
        <f>VLOOKUP($A84,'Data Vlaue (Cr)'!$C:$FB,95)</f>
        <v>88</v>
      </c>
      <c r="L84" s="91">
        <f>VLOOKUP($A84,'Data Vlaue (Cr)'!$C:$FB,97)</f>
        <v>-187</v>
      </c>
      <c r="M84" s="92">
        <f>VLOOKUP($A84,'Data Vlaue (Cr)'!$C:$FB,98)</f>
        <v>-0.67979999999999996</v>
      </c>
      <c r="N84" s="91">
        <f>VLOOKUP($A84,'Data Vlaue (Cr)'!$C:$FB,79)</f>
        <v>187</v>
      </c>
      <c r="O84" s="92">
        <f>VLOOKUP($A84,'Data Vlaue (Cr)'!$C:$FB,82)</f>
        <v>-0.2329</v>
      </c>
    </row>
    <row r="85" spans="1:15" x14ac:dyDescent="0.25">
      <c r="A85" s="97" t="str">
        <f>'Data Vlaue (Cr)'!C80</f>
        <v>HDFCBANK</v>
      </c>
      <c r="B85" s="142">
        <f>VLOOKUP(A85,'Data Vlaue (Cr)'!C80:CW294,99,0)</f>
        <v>33026</v>
      </c>
      <c r="C85" s="90">
        <f>VLOOKUP(A85,'Data Vlaue (Cr)'!C80:CY294,101,0)</f>
        <v>-4804</v>
      </c>
      <c r="D85" s="139">
        <f>VLOOKUP(A85,'Data Vlaue (Cr)'!C80:CZ294,102,0)</f>
        <v>-0.127</v>
      </c>
      <c r="E85" s="91">
        <f>VLOOKUP($A85,'Data Vlaue (Cr)'!$C:$FB,75)</f>
        <v>27280</v>
      </c>
      <c r="F85" s="91">
        <f>VLOOKUP($A85,'Data Vlaue (Cr)'!$C:$FB,77)</f>
        <v>-890</v>
      </c>
      <c r="G85" s="92">
        <f>VLOOKUP(A85,'Data Vlaue (Cr)'!C80:CB294,78,0)</f>
        <v>-3.1600000000000003E-2</v>
      </c>
      <c r="H85" s="91">
        <f>VLOOKUP($A85,'Data Vlaue (Cr)'!$C:$FB,91)</f>
        <v>3540</v>
      </c>
      <c r="I85" s="91">
        <f>VLOOKUP($A85,'Data Vlaue (Cr)'!$C:$FB,93)</f>
        <v>-2257</v>
      </c>
      <c r="J85" s="92">
        <f>VLOOKUP($A85,'Data Vlaue (Cr)'!$C:$FB,94)</f>
        <v>-0.38929999999999998</v>
      </c>
      <c r="K85" s="91">
        <f>VLOOKUP($A85,'Data Vlaue (Cr)'!$C:$FB,95)</f>
        <v>2206</v>
      </c>
      <c r="L85" s="91">
        <f>VLOOKUP($A85,'Data Vlaue (Cr)'!$C:$FB,97)</f>
        <v>-1657</v>
      </c>
      <c r="M85" s="92">
        <f>VLOOKUP($A85,'Data Vlaue (Cr)'!$C:$FB,98)</f>
        <v>-0.42899999999999999</v>
      </c>
      <c r="N85" s="91">
        <f>VLOOKUP($A85,'Data Vlaue (Cr)'!$C:$FB,79)</f>
        <v>522</v>
      </c>
      <c r="O85" s="92">
        <f>VLOOKUP($A85,'Data Vlaue (Cr)'!$C:$FB,82)</f>
        <v>-0.70030000000000003</v>
      </c>
    </row>
    <row r="86" spans="1:15" x14ac:dyDescent="0.25">
      <c r="A86" s="97" t="str">
        <f>'Data Vlaue (Cr)'!C81</f>
        <v>HDFCLIFE</v>
      </c>
      <c r="B86" s="142">
        <f>VLOOKUP(A86,'Data Vlaue (Cr)'!C81:CW295,99,0)</f>
        <v>3945</v>
      </c>
      <c r="C86" s="90">
        <f>VLOOKUP(A86,'Data Vlaue (Cr)'!C81:CY295,101,0)</f>
        <v>-1838</v>
      </c>
      <c r="D86" s="139">
        <f>VLOOKUP(A86,'Data Vlaue (Cr)'!C81:CZ295,102,0)</f>
        <v>-0.31790000000000002</v>
      </c>
      <c r="E86" s="91">
        <f>VLOOKUP($A86,'Data Vlaue (Cr)'!$C:$FB,75)</f>
        <v>3247</v>
      </c>
      <c r="F86" s="91">
        <f>VLOOKUP($A86,'Data Vlaue (Cr)'!$C:$FB,77)</f>
        <v>-318</v>
      </c>
      <c r="G86" s="92">
        <f>VLOOKUP(A86,'Data Vlaue (Cr)'!C81:CB295,78,0)</f>
        <v>-8.9099999999999999E-2</v>
      </c>
      <c r="H86" s="91">
        <f>VLOOKUP($A86,'Data Vlaue (Cr)'!$C:$FB,91)</f>
        <v>400</v>
      </c>
      <c r="I86" s="91">
        <f>VLOOKUP($A86,'Data Vlaue (Cr)'!$C:$FB,93)</f>
        <v>-902</v>
      </c>
      <c r="J86" s="92">
        <f>VLOOKUP($A86,'Data Vlaue (Cr)'!$C:$FB,94)</f>
        <v>-0.69299999999999995</v>
      </c>
      <c r="K86" s="91">
        <f>VLOOKUP($A86,'Data Vlaue (Cr)'!$C:$FB,95)</f>
        <v>299</v>
      </c>
      <c r="L86" s="91">
        <f>VLOOKUP($A86,'Data Vlaue (Cr)'!$C:$FB,97)</f>
        <v>-619</v>
      </c>
      <c r="M86" s="92">
        <f>VLOOKUP($A86,'Data Vlaue (Cr)'!$C:$FB,98)</f>
        <v>-0.67449999999999999</v>
      </c>
      <c r="N86" s="91">
        <f>VLOOKUP($A86,'Data Vlaue (Cr)'!$C:$FB,79)</f>
        <v>285</v>
      </c>
      <c r="O86" s="92">
        <f>VLOOKUP($A86,'Data Vlaue (Cr)'!$C:$FB,82)</f>
        <v>-0.41570000000000001</v>
      </c>
    </row>
    <row r="87" spans="1:15" x14ac:dyDescent="0.25">
      <c r="A87" s="97" t="str">
        <f>'Data Vlaue (Cr)'!C82</f>
        <v>HEROMOTOCO</v>
      </c>
      <c r="B87" s="142">
        <f>VLOOKUP(A87,'Data Vlaue (Cr)'!C82:CW296,99,0)</f>
        <v>2912</v>
      </c>
      <c r="C87" s="90">
        <f>VLOOKUP(A87,'Data Vlaue (Cr)'!C82:CY296,101,0)</f>
        <v>-1669</v>
      </c>
      <c r="D87" s="139">
        <f>VLOOKUP(A87,'Data Vlaue (Cr)'!C82:CZ296,102,0)</f>
        <v>-0.36430000000000001</v>
      </c>
      <c r="E87" s="91">
        <f>VLOOKUP($A87,'Data Vlaue (Cr)'!$C:$FB,75)</f>
        <v>2014</v>
      </c>
      <c r="F87" s="91">
        <f>VLOOKUP($A87,'Data Vlaue (Cr)'!$C:$FB,77)</f>
        <v>-200</v>
      </c>
      <c r="G87" s="92">
        <f>VLOOKUP(A87,'Data Vlaue (Cr)'!C82:CB296,78,0)</f>
        <v>-9.0200000000000002E-2</v>
      </c>
      <c r="H87" s="91">
        <f>VLOOKUP($A87,'Data Vlaue (Cr)'!$C:$FB,91)</f>
        <v>582</v>
      </c>
      <c r="I87" s="91">
        <f>VLOOKUP($A87,'Data Vlaue (Cr)'!$C:$FB,93)</f>
        <v>-906</v>
      </c>
      <c r="J87" s="92">
        <f>VLOOKUP($A87,'Data Vlaue (Cr)'!$C:$FB,94)</f>
        <v>-0.60880000000000001</v>
      </c>
      <c r="K87" s="91">
        <f>VLOOKUP($A87,'Data Vlaue (Cr)'!$C:$FB,95)</f>
        <v>316</v>
      </c>
      <c r="L87" s="91">
        <f>VLOOKUP($A87,'Data Vlaue (Cr)'!$C:$FB,97)</f>
        <v>-563</v>
      </c>
      <c r="M87" s="92">
        <f>VLOOKUP($A87,'Data Vlaue (Cr)'!$C:$FB,98)</f>
        <v>-0.64059999999999995</v>
      </c>
      <c r="N87" s="91">
        <f>VLOOKUP($A87,'Data Vlaue (Cr)'!$C:$FB,79)</f>
        <v>226</v>
      </c>
      <c r="O87" s="92">
        <f>VLOOKUP($A87,'Data Vlaue (Cr)'!$C:$FB,82)</f>
        <v>-0.50480000000000003</v>
      </c>
    </row>
    <row r="88" spans="1:15" x14ac:dyDescent="0.25">
      <c r="A88" s="97" t="str">
        <f>'Data Vlaue (Cr)'!C83</f>
        <v>HINDALCO</v>
      </c>
      <c r="B88" s="142">
        <f>VLOOKUP(A88,'Data Vlaue (Cr)'!C83:CW297,99,0)</f>
        <v>4761</v>
      </c>
      <c r="C88" s="90">
        <f>VLOOKUP(A88,'Data Vlaue (Cr)'!C83:CY297,101,0)</f>
        <v>-1559</v>
      </c>
      <c r="D88" s="139">
        <f>VLOOKUP(A88,'Data Vlaue (Cr)'!C83:CZ297,102,0)</f>
        <v>-0.2467</v>
      </c>
      <c r="E88" s="91">
        <f>VLOOKUP($A88,'Data Vlaue (Cr)'!$C:$FB,75)</f>
        <v>3694</v>
      </c>
      <c r="F88" s="91">
        <f>VLOOKUP($A88,'Data Vlaue (Cr)'!$C:$FB,77)</f>
        <v>-176</v>
      </c>
      <c r="G88" s="92">
        <f>VLOOKUP(A88,'Data Vlaue (Cr)'!C83:CB297,78,0)</f>
        <v>-4.5600000000000002E-2</v>
      </c>
      <c r="H88" s="91">
        <f>VLOOKUP($A88,'Data Vlaue (Cr)'!$C:$FB,91)</f>
        <v>651</v>
      </c>
      <c r="I88" s="91">
        <f>VLOOKUP($A88,'Data Vlaue (Cr)'!$C:$FB,93)</f>
        <v>-669</v>
      </c>
      <c r="J88" s="92">
        <f>VLOOKUP($A88,'Data Vlaue (Cr)'!$C:$FB,94)</f>
        <v>-0.50690000000000002</v>
      </c>
      <c r="K88" s="91">
        <f>VLOOKUP($A88,'Data Vlaue (Cr)'!$C:$FB,95)</f>
        <v>416</v>
      </c>
      <c r="L88" s="91">
        <f>VLOOKUP($A88,'Data Vlaue (Cr)'!$C:$FB,97)</f>
        <v>-714</v>
      </c>
      <c r="M88" s="92">
        <f>VLOOKUP($A88,'Data Vlaue (Cr)'!$C:$FB,98)</f>
        <v>-0.63160000000000005</v>
      </c>
      <c r="N88" s="91">
        <f>VLOOKUP($A88,'Data Vlaue (Cr)'!$C:$FB,79)</f>
        <v>246</v>
      </c>
      <c r="O88" s="92">
        <f>VLOOKUP($A88,'Data Vlaue (Cr)'!$C:$FB,82)</f>
        <v>-0.39510000000000001</v>
      </c>
    </row>
    <row r="89" spans="1:15" x14ac:dyDescent="0.25">
      <c r="A89" s="97" t="str">
        <f>'Data Vlaue (Cr)'!C84</f>
        <v>HINDPETRO</v>
      </c>
      <c r="B89" s="142">
        <f>VLOOKUP(A89,'Data Vlaue (Cr)'!C84:CW298,99,0)</f>
        <v>1879</v>
      </c>
      <c r="C89" s="90">
        <f>VLOOKUP(A89,'Data Vlaue (Cr)'!C84:CY298,101,0)</f>
        <v>-899</v>
      </c>
      <c r="D89" s="139">
        <f>VLOOKUP(A89,'Data Vlaue (Cr)'!C84:CZ298,102,0)</f>
        <v>-0.3236</v>
      </c>
      <c r="E89" s="91">
        <f>VLOOKUP($A89,'Data Vlaue (Cr)'!$C:$FB,75)</f>
        <v>1274</v>
      </c>
      <c r="F89" s="91">
        <f>VLOOKUP($A89,'Data Vlaue (Cr)'!$C:$FB,77)</f>
        <v>-178</v>
      </c>
      <c r="G89" s="92">
        <f>VLOOKUP(A89,'Data Vlaue (Cr)'!C84:CB298,78,0)</f>
        <v>-0.12239999999999999</v>
      </c>
      <c r="H89" s="91">
        <f>VLOOKUP($A89,'Data Vlaue (Cr)'!$C:$FB,91)</f>
        <v>346</v>
      </c>
      <c r="I89" s="91">
        <f>VLOOKUP($A89,'Data Vlaue (Cr)'!$C:$FB,93)</f>
        <v>-366</v>
      </c>
      <c r="J89" s="92">
        <f>VLOOKUP($A89,'Data Vlaue (Cr)'!$C:$FB,94)</f>
        <v>-0.51390000000000002</v>
      </c>
      <c r="K89" s="91">
        <f>VLOOKUP($A89,'Data Vlaue (Cr)'!$C:$FB,95)</f>
        <v>259</v>
      </c>
      <c r="L89" s="91">
        <f>VLOOKUP($A89,'Data Vlaue (Cr)'!$C:$FB,97)</f>
        <v>-355</v>
      </c>
      <c r="M89" s="92">
        <f>VLOOKUP($A89,'Data Vlaue (Cr)'!$C:$FB,98)</f>
        <v>-0.57850000000000001</v>
      </c>
      <c r="N89" s="91">
        <f>VLOOKUP($A89,'Data Vlaue (Cr)'!$C:$FB,79)</f>
        <v>165</v>
      </c>
      <c r="O89" s="92">
        <f>VLOOKUP($A89,'Data Vlaue (Cr)'!$C:$FB,82)</f>
        <v>-0.3206</v>
      </c>
    </row>
    <row r="90" spans="1:15" x14ac:dyDescent="0.25">
      <c r="A90" s="97" t="str">
        <f>'Data Vlaue (Cr)'!C85</f>
        <v>HINDUNILVR</v>
      </c>
      <c r="B90" s="142">
        <f>VLOOKUP(A90,'Data Vlaue (Cr)'!C85:CW299,99,0)</f>
        <v>4722</v>
      </c>
      <c r="C90" s="90">
        <f>VLOOKUP(A90,'Data Vlaue (Cr)'!C85:CY299,101,0)</f>
        <v>-2637</v>
      </c>
      <c r="D90" s="139">
        <f>VLOOKUP(A90,'Data Vlaue (Cr)'!C85:CZ299,102,0)</f>
        <v>-0.3584</v>
      </c>
      <c r="E90" s="91">
        <f>VLOOKUP($A90,'Data Vlaue (Cr)'!$C:$FB,75)</f>
        <v>3431</v>
      </c>
      <c r="F90" s="91">
        <f>VLOOKUP($A90,'Data Vlaue (Cr)'!$C:$FB,77)</f>
        <v>-316</v>
      </c>
      <c r="G90" s="92">
        <f>VLOOKUP(A90,'Data Vlaue (Cr)'!C85:CB299,78,0)</f>
        <v>-8.43E-2</v>
      </c>
      <c r="H90" s="91">
        <f>VLOOKUP($A90,'Data Vlaue (Cr)'!$C:$FB,91)</f>
        <v>835</v>
      </c>
      <c r="I90" s="91">
        <f>VLOOKUP($A90,'Data Vlaue (Cr)'!$C:$FB,93)</f>
        <v>-1598</v>
      </c>
      <c r="J90" s="92">
        <f>VLOOKUP($A90,'Data Vlaue (Cr)'!$C:$FB,94)</f>
        <v>-0.65690000000000004</v>
      </c>
      <c r="K90" s="91">
        <f>VLOOKUP($A90,'Data Vlaue (Cr)'!$C:$FB,95)</f>
        <v>456</v>
      </c>
      <c r="L90" s="91">
        <f>VLOOKUP($A90,'Data Vlaue (Cr)'!$C:$FB,97)</f>
        <v>-723</v>
      </c>
      <c r="M90" s="92">
        <f>VLOOKUP($A90,'Data Vlaue (Cr)'!$C:$FB,98)</f>
        <v>-0.61339999999999995</v>
      </c>
      <c r="N90" s="91">
        <f>VLOOKUP($A90,'Data Vlaue (Cr)'!$C:$FB,79)</f>
        <v>333</v>
      </c>
      <c r="O90" s="92">
        <f>VLOOKUP($A90,'Data Vlaue (Cr)'!$C:$FB,82)</f>
        <v>-0.36649999999999999</v>
      </c>
    </row>
    <row r="91" spans="1:15" x14ac:dyDescent="0.25">
      <c r="A91" s="97" t="str">
        <f>'Data Vlaue (Cr)'!C86</f>
        <v>HINDZINC</v>
      </c>
      <c r="B91" s="142">
        <f>VLOOKUP(A91,'Data Vlaue (Cr)'!C86:CW300,99,0)</f>
        <v>3314</v>
      </c>
      <c r="C91" s="90">
        <f>VLOOKUP(A91,'Data Vlaue (Cr)'!C86:CY300,101,0)</f>
        <v>-1569</v>
      </c>
      <c r="D91" s="139">
        <f>VLOOKUP(A91,'Data Vlaue (Cr)'!C86:CZ300,102,0)</f>
        <v>-0.32129999999999997</v>
      </c>
      <c r="E91" s="91">
        <f>VLOOKUP($A91,'Data Vlaue (Cr)'!$C:$FB,75)</f>
        <v>2145</v>
      </c>
      <c r="F91" s="91">
        <f>VLOOKUP($A91,'Data Vlaue (Cr)'!$C:$FB,77)</f>
        <v>-273</v>
      </c>
      <c r="G91" s="92">
        <f>VLOOKUP(A91,'Data Vlaue (Cr)'!C86:CB300,78,0)</f>
        <v>-0.11269999999999999</v>
      </c>
      <c r="H91" s="91">
        <f>VLOOKUP($A91,'Data Vlaue (Cr)'!$C:$FB,91)</f>
        <v>688</v>
      </c>
      <c r="I91" s="91">
        <f>VLOOKUP($A91,'Data Vlaue (Cr)'!$C:$FB,93)</f>
        <v>-738</v>
      </c>
      <c r="J91" s="92">
        <f>VLOOKUP($A91,'Data Vlaue (Cr)'!$C:$FB,94)</f>
        <v>-0.51739999999999997</v>
      </c>
      <c r="K91" s="91">
        <f>VLOOKUP($A91,'Data Vlaue (Cr)'!$C:$FB,95)</f>
        <v>480</v>
      </c>
      <c r="L91" s="91">
        <f>VLOOKUP($A91,'Data Vlaue (Cr)'!$C:$FB,97)</f>
        <v>-559</v>
      </c>
      <c r="M91" s="92">
        <f>VLOOKUP($A91,'Data Vlaue (Cr)'!$C:$FB,98)</f>
        <v>-0.53769999999999996</v>
      </c>
      <c r="N91" s="91">
        <f>VLOOKUP($A91,'Data Vlaue (Cr)'!$C:$FB,79)</f>
        <v>197</v>
      </c>
      <c r="O91" s="92">
        <f>VLOOKUP($A91,'Data Vlaue (Cr)'!$C:$FB,82)</f>
        <v>-0.74109999999999998</v>
      </c>
    </row>
    <row r="92" spans="1:15" x14ac:dyDescent="0.25">
      <c r="A92" s="97" t="str">
        <f>'Data Vlaue (Cr)'!C87</f>
        <v>HYUNDAI</v>
      </c>
      <c r="B92" s="142">
        <f>VLOOKUP(A92,'Data Vlaue (Cr)'!C87:CW301,99,0)</f>
        <v>2161</v>
      </c>
      <c r="C92" s="90">
        <f>VLOOKUP(A92,'Data Vlaue (Cr)'!C87:CY301,101,0)</f>
        <v>-530</v>
      </c>
      <c r="D92" s="139">
        <f>VLOOKUP(A92,'Data Vlaue (Cr)'!C87:CZ301,102,0)</f>
        <v>-0.1971</v>
      </c>
      <c r="E92" s="91">
        <f>VLOOKUP($A92,'Data Vlaue (Cr)'!$C:$FB,75)</f>
        <v>2058</v>
      </c>
      <c r="F92" s="91">
        <f>VLOOKUP($A92,'Data Vlaue (Cr)'!$C:$FB,77)</f>
        <v>-223</v>
      </c>
      <c r="G92" s="92">
        <f>VLOOKUP(A92,'Data Vlaue (Cr)'!C87:CB301,78,0)</f>
        <v>-9.7699999999999995E-2</v>
      </c>
      <c r="H92" s="91">
        <f>VLOOKUP($A92,'Data Vlaue (Cr)'!$C:$FB,91)</f>
        <v>59</v>
      </c>
      <c r="I92" s="91">
        <f>VLOOKUP($A92,'Data Vlaue (Cr)'!$C:$FB,93)</f>
        <v>-174</v>
      </c>
      <c r="J92" s="92">
        <f>VLOOKUP($A92,'Data Vlaue (Cr)'!$C:$FB,94)</f>
        <v>-0.746</v>
      </c>
      <c r="K92" s="91">
        <f>VLOOKUP($A92,'Data Vlaue (Cr)'!$C:$FB,95)</f>
        <v>43</v>
      </c>
      <c r="L92" s="91">
        <f>VLOOKUP($A92,'Data Vlaue (Cr)'!$C:$FB,97)</f>
        <v>-134</v>
      </c>
      <c r="M92" s="92">
        <f>VLOOKUP($A92,'Data Vlaue (Cr)'!$C:$FB,98)</f>
        <v>-0.75580000000000003</v>
      </c>
      <c r="N92" s="91">
        <f>VLOOKUP($A92,'Data Vlaue (Cr)'!$C:$FB,79)</f>
        <v>88</v>
      </c>
      <c r="O92" s="92">
        <f>VLOOKUP($A92,'Data Vlaue (Cr)'!$C:$FB,82)</f>
        <v>-0.69769999999999999</v>
      </c>
    </row>
    <row r="93" spans="1:15" x14ac:dyDescent="0.25">
      <c r="A93" s="97" t="str">
        <f>'Data Vlaue (Cr)'!C88</f>
        <v>ICICIBANK</v>
      </c>
      <c r="B93" s="142">
        <f>VLOOKUP(A93,'Data Vlaue (Cr)'!C88:CW302,99,0)</f>
        <v>23740</v>
      </c>
      <c r="C93" s="90">
        <f>VLOOKUP(A93,'Data Vlaue (Cr)'!C88:CY302,101,0)</f>
        <v>-5348</v>
      </c>
      <c r="D93" s="139">
        <f>VLOOKUP(A93,'Data Vlaue (Cr)'!C88:CZ302,102,0)</f>
        <v>-0.18390000000000001</v>
      </c>
      <c r="E93" s="91">
        <f>VLOOKUP($A93,'Data Vlaue (Cr)'!$C:$FB,75)</f>
        <v>20372</v>
      </c>
      <c r="F93" s="91">
        <f>VLOOKUP($A93,'Data Vlaue (Cr)'!$C:$FB,77)</f>
        <v>-1014</v>
      </c>
      <c r="G93" s="92">
        <f>VLOOKUP(A93,'Data Vlaue (Cr)'!C88:CB302,78,0)</f>
        <v>-4.7399999999999998E-2</v>
      </c>
      <c r="H93" s="91">
        <f>VLOOKUP($A93,'Data Vlaue (Cr)'!$C:$FB,91)</f>
        <v>1628</v>
      </c>
      <c r="I93" s="91">
        <f>VLOOKUP($A93,'Data Vlaue (Cr)'!$C:$FB,93)</f>
        <v>-2743</v>
      </c>
      <c r="J93" s="92">
        <f>VLOOKUP($A93,'Data Vlaue (Cr)'!$C:$FB,94)</f>
        <v>-0.62749999999999995</v>
      </c>
      <c r="K93" s="91">
        <f>VLOOKUP($A93,'Data Vlaue (Cr)'!$C:$FB,95)</f>
        <v>1740</v>
      </c>
      <c r="L93" s="91">
        <f>VLOOKUP($A93,'Data Vlaue (Cr)'!$C:$FB,97)</f>
        <v>-1590</v>
      </c>
      <c r="M93" s="92">
        <f>VLOOKUP($A93,'Data Vlaue (Cr)'!$C:$FB,98)</f>
        <v>-0.47749999999999998</v>
      </c>
      <c r="N93" s="91">
        <f>VLOOKUP($A93,'Data Vlaue (Cr)'!$C:$FB,79)</f>
        <v>2059</v>
      </c>
      <c r="O93" s="92">
        <f>VLOOKUP($A93,'Data Vlaue (Cr)'!$C:$FB,82)</f>
        <v>-0.29409999999999997</v>
      </c>
    </row>
    <row r="94" spans="1:15" x14ac:dyDescent="0.25">
      <c r="A94" s="97" t="str">
        <f>'Data Vlaue (Cr)'!C89</f>
        <v>ICICIGI</v>
      </c>
      <c r="B94" s="142">
        <f>VLOOKUP(A94,'Data Vlaue (Cr)'!C89:CW303,99,0)</f>
        <v>950</v>
      </c>
      <c r="C94" s="90">
        <f>VLOOKUP(A94,'Data Vlaue (Cr)'!C89:CY303,101,0)</f>
        <v>-264</v>
      </c>
      <c r="D94" s="139">
        <f>VLOOKUP(A94,'Data Vlaue (Cr)'!C89:CZ303,102,0)</f>
        <v>-0.21729999999999999</v>
      </c>
      <c r="E94" s="91">
        <f>VLOOKUP($A94,'Data Vlaue (Cr)'!$C:$FB,75)</f>
        <v>869</v>
      </c>
      <c r="F94" s="91">
        <f>VLOOKUP($A94,'Data Vlaue (Cr)'!$C:$FB,77)</f>
        <v>-24</v>
      </c>
      <c r="G94" s="92">
        <f>VLOOKUP(A94,'Data Vlaue (Cr)'!C89:CB303,78,0)</f>
        <v>-2.64E-2</v>
      </c>
      <c r="H94" s="91">
        <f>VLOOKUP($A94,'Data Vlaue (Cr)'!$C:$FB,91)</f>
        <v>50</v>
      </c>
      <c r="I94" s="91">
        <f>VLOOKUP($A94,'Data Vlaue (Cr)'!$C:$FB,93)</f>
        <v>-175</v>
      </c>
      <c r="J94" s="92">
        <f>VLOOKUP($A94,'Data Vlaue (Cr)'!$C:$FB,94)</f>
        <v>-0.77910000000000001</v>
      </c>
      <c r="K94" s="91">
        <f>VLOOKUP($A94,'Data Vlaue (Cr)'!$C:$FB,95)</f>
        <v>32</v>
      </c>
      <c r="L94" s="91">
        <f>VLOOKUP($A94,'Data Vlaue (Cr)'!$C:$FB,97)</f>
        <v>-65</v>
      </c>
      <c r="M94" s="92">
        <f>VLOOKUP($A94,'Data Vlaue (Cr)'!$C:$FB,98)</f>
        <v>-0.6694</v>
      </c>
      <c r="N94" s="91">
        <f>VLOOKUP($A94,'Data Vlaue (Cr)'!$C:$FB,79)</f>
        <v>25</v>
      </c>
      <c r="O94" s="92">
        <f>VLOOKUP($A94,'Data Vlaue (Cr)'!$C:$FB,82)</f>
        <v>-0.60429999999999995</v>
      </c>
    </row>
    <row r="95" spans="1:15" x14ac:dyDescent="0.25">
      <c r="A95" s="97" t="str">
        <f>'Data Vlaue (Cr)'!C90</f>
        <v>ICICIPRULI</v>
      </c>
      <c r="B95" s="142">
        <f>VLOOKUP(A95,'Data Vlaue (Cr)'!C90:CW304,99,0)</f>
        <v>962</v>
      </c>
      <c r="C95" s="90">
        <f>VLOOKUP(A95,'Data Vlaue (Cr)'!C90:CY304,101,0)</f>
        <v>-675</v>
      </c>
      <c r="D95" s="139">
        <f>VLOOKUP(A95,'Data Vlaue (Cr)'!C90:CZ304,102,0)</f>
        <v>-0.41210000000000002</v>
      </c>
      <c r="E95" s="91">
        <f>VLOOKUP($A95,'Data Vlaue (Cr)'!$C:$FB,75)</f>
        <v>842</v>
      </c>
      <c r="F95" s="91">
        <f>VLOOKUP($A95,'Data Vlaue (Cr)'!$C:$FB,77)</f>
        <v>-100</v>
      </c>
      <c r="G95" s="92">
        <f>VLOOKUP(A95,'Data Vlaue (Cr)'!C90:CB304,78,0)</f>
        <v>-0.10639999999999999</v>
      </c>
      <c r="H95" s="91">
        <f>VLOOKUP($A95,'Data Vlaue (Cr)'!$C:$FB,91)</f>
        <v>60</v>
      </c>
      <c r="I95" s="91">
        <f>VLOOKUP($A95,'Data Vlaue (Cr)'!$C:$FB,93)</f>
        <v>-307</v>
      </c>
      <c r="J95" s="92">
        <f>VLOOKUP($A95,'Data Vlaue (Cr)'!$C:$FB,94)</f>
        <v>-0.83740000000000003</v>
      </c>
      <c r="K95" s="91">
        <f>VLOOKUP($A95,'Data Vlaue (Cr)'!$C:$FB,95)</f>
        <v>61</v>
      </c>
      <c r="L95" s="91">
        <f>VLOOKUP($A95,'Data Vlaue (Cr)'!$C:$FB,97)</f>
        <v>-267</v>
      </c>
      <c r="M95" s="92">
        <f>VLOOKUP($A95,'Data Vlaue (Cr)'!$C:$FB,98)</f>
        <v>-0.81430000000000002</v>
      </c>
      <c r="N95" s="91">
        <f>VLOOKUP($A95,'Data Vlaue (Cr)'!$C:$FB,79)</f>
        <v>126</v>
      </c>
      <c r="O95" s="92">
        <f>VLOOKUP($A95,'Data Vlaue (Cr)'!$C:$FB,82)</f>
        <v>-0.27139999999999997</v>
      </c>
    </row>
    <row r="96" spans="1:15" x14ac:dyDescent="0.25">
      <c r="A96" s="97" t="str">
        <f>'Data Vlaue (Cr)'!C91</f>
        <v>IDEA</v>
      </c>
      <c r="B96" s="142">
        <f>VLOOKUP(A96,'Data Vlaue (Cr)'!C91:CW305,99,0)</f>
        <v>10421</v>
      </c>
      <c r="C96" s="90">
        <f>VLOOKUP(A96,'Data Vlaue (Cr)'!C91:CY305,101,0)</f>
        <v>-2186</v>
      </c>
      <c r="D96" s="139">
        <f>VLOOKUP(A96,'Data Vlaue (Cr)'!C91:CZ305,102,0)</f>
        <v>-0.1734</v>
      </c>
      <c r="E96" s="91">
        <f>VLOOKUP($A96,'Data Vlaue (Cr)'!$C:$FB,75)</f>
        <v>7906</v>
      </c>
      <c r="F96" s="91">
        <f>VLOOKUP($A96,'Data Vlaue (Cr)'!$C:$FB,77)</f>
        <v>-288</v>
      </c>
      <c r="G96" s="92">
        <f>VLOOKUP(A96,'Data Vlaue (Cr)'!C91:CB305,78,0)</f>
        <v>-3.5200000000000002E-2</v>
      </c>
      <c r="H96" s="91">
        <f>VLOOKUP($A96,'Data Vlaue (Cr)'!$C:$FB,91)</f>
        <v>1743</v>
      </c>
      <c r="I96" s="91">
        <f>VLOOKUP($A96,'Data Vlaue (Cr)'!$C:$FB,93)</f>
        <v>-974</v>
      </c>
      <c r="J96" s="92">
        <f>VLOOKUP($A96,'Data Vlaue (Cr)'!$C:$FB,94)</f>
        <v>-0.3584</v>
      </c>
      <c r="K96" s="91">
        <f>VLOOKUP($A96,'Data Vlaue (Cr)'!$C:$FB,95)</f>
        <v>771</v>
      </c>
      <c r="L96" s="91">
        <f>VLOOKUP($A96,'Data Vlaue (Cr)'!$C:$FB,97)</f>
        <v>-923</v>
      </c>
      <c r="M96" s="92">
        <f>VLOOKUP($A96,'Data Vlaue (Cr)'!$C:$FB,98)</f>
        <v>-0.54500000000000004</v>
      </c>
      <c r="N96" s="91">
        <f>VLOOKUP($A96,'Data Vlaue (Cr)'!$C:$FB,79)</f>
        <v>341</v>
      </c>
      <c r="O96" s="92">
        <f>VLOOKUP($A96,'Data Vlaue (Cr)'!$C:$FB,82)</f>
        <v>-0.79369999999999996</v>
      </c>
    </row>
    <row r="97" spans="1:15" x14ac:dyDescent="0.25">
      <c r="A97" s="97" t="str">
        <f>'Data Vlaue (Cr)'!C92</f>
        <v>IDFCFIRSTB</v>
      </c>
      <c r="B97" s="142">
        <f>VLOOKUP(A97,'Data Vlaue (Cr)'!C92:CW306,99,0)</f>
        <v>3670</v>
      </c>
      <c r="C97" s="90">
        <f>VLOOKUP(A97,'Data Vlaue (Cr)'!C92:CY306,101,0)</f>
        <v>-852</v>
      </c>
      <c r="D97" s="139">
        <f>VLOOKUP(A97,'Data Vlaue (Cr)'!C92:CZ306,102,0)</f>
        <v>-0.1885</v>
      </c>
      <c r="E97" s="91">
        <f>VLOOKUP($A97,'Data Vlaue (Cr)'!$C:$FB,75)</f>
        <v>2920</v>
      </c>
      <c r="F97" s="91">
        <f>VLOOKUP($A97,'Data Vlaue (Cr)'!$C:$FB,77)</f>
        <v>-120</v>
      </c>
      <c r="G97" s="92">
        <f>VLOOKUP(A97,'Data Vlaue (Cr)'!C92:CB306,78,0)</f>
        <v>-3.95E-2</v>
      </c>
      <c r="H97" s="91">
        <f>VLOOKUP($A97,'Data Vlaue (Cr)'!$C:$FB,91)</f>
        <v>373</v>
      </c>
      <c r="I97" s="91">
        <f>VLOOKUP($A97,'Data Vlaue (Cr)'!$C:$FB,93)</f>
        <v>-411</v>
      </c>
      <c r="J97" s="92">
        <f>VLOOKUP($A97,'Data Vlaue (Cr)'!$C:$FB,94)</f>
        <v>-0.52439999999999998</v>
      </c>
      <c r="K97" s="91">
        <f>VLOOKUP($A97,'Data Vlaue (Cr)'!$C:$FB,95)</f>
        <v>377</v>
      </c>
      <c r="L97" s="91">
        <f>VLOOKUP($A97,'Data Vlaue (Cr)'!$C:$FB,97)</f>
        <v>-321</v>
      </c>
      <c r="M97" s="92">
        <f>VLOOKUP($A97,'Data Vlaue (Cr)'!$C:$FB,98)</f>
        <v>-0.46010000000000001</v>
      </c>
      <c r="N97" s="91">
        <f>VLOOKUP($A97,'Data Vlaue (Cr)'!$C:$FB,79)</f>
        <v>124</v>
      </c>
      <c r="O97" s="92">
        <f>VLOOKUP($A97,'Data Vlaue (Cr)'!$C:$FB,82)</f>
        <v>-0.71689999999999998</v>
      </c>
    </row>
    <row r="98" spans="1:15" x14ac:dyDescent="0.25">
      <c r="A98" s="97" t="str">
        <f>'Data Vlaue (Cr)'!C93</f>
        <v>IEX</v>
      </c>
      <c r="B98" s="142">
        <f>VLOOKUP(A98,'Data Vlaue (Cr)'!C93:CW307,99,0)</f>
        <v>1258</v>
      </c>
      <c r="C98" s="90">
        <f>VLOOKUP(A98,'Data Vlaue (Cr)'!C93:CY307,101,0)</f>
        <v>-385</v>
      </c>
      <c r="D98" s="139">
        <f>VLOOKUP(A98,'Data Vlaue (Cr)'!C93:CZ307,102,0)</f>
        <v>-0.23449999999999999</v>
      </c>
      <c r="E98" s="91">
        <f>VLOOKUP($A98,'Data Vlaue (Cr)'!$C:$FB,75)</f>
        <v>879</v>
      </c>
      <c r="F98" s="91">
        <f>VLOOKUP($A98,'Data Vlaue (Cr)'!$C:$FB,77)</f>
        <v>-28</v>
      </c>
      <c r="G98" s="92">
        <f>VLOOKUP(A98,'Data Vlaue (Cr)'!C93:CB307,78,0)</f>
        <v>-3.09E-2</v>
      </c>
      <c r="H98" s="91">
        <f>VLOOKUP($A98,'Data Vlaue (Cr)'!$C:$FB,91)</f>
        <v>216</v>
      </c>
      <c r="I98" s="91">
        <f>VLOOKUP($A98,'Data Vlaue (Cr)'!$C:$FB,93)</f>
        <v>-243</v>
      </c>
      <c r="J98" s="92">
        <f>VLOOKUP($A98,'Data Vlaue (Cr)'!$C:$FB,94)</f>
        <v>-0.52969999999999995</v>
      </c>
      <c r="K98" s="91">
        <f>VLOOKUP($A98,'Data Vlaue (Cr)'!$C:$FB,95)</f>
        <v>164</v>
      </c>
      <c r="L98" s="91">
        <f>VLOOKUP($A98,'Data Vlaue (Cr)'!$C:$FB,97)</f>
        <v>-114</v>
      </c>
      <c r="M98" s="92">
        <f>VLOOKUP($A98,'Data Vlaue (Cr)'!$C:$FB,98)</f>
        <v>-0.4108</v>
      </c>
      <c r="N98" s="91">
        <f>VLOOKUP($A98,'Data Vlaue (Cr)'!$C:$FB,79)</f>
        <v>54</v>
      </c>
      <c r="O98" s="92">
        <f>VLOOKUP($A98,'Data Vlaue (Cr)'!$C:$FB,82)</f>
        <v>-0.71709999999999996</v>
      </c>
    </row>
    <row r="99" spans="1:15" x14ac:dyDescent="0.25">
      <c r="A99" s="97" t="str">
        <f>'Data Vlaue (Cr)'!C94</f>
        <v>INDHOTEL</v>
      </c>
      <c r="B99" s="142">
        <f>VLOOKUP(A99,'Data Vlaue (Cr)'!C94:CW308,99,0)</f>
        <v>1953</v>
      </c>
      <c r="C99" s="90">
        <f>VLOOKUP(A99,'Data Vlaue (Cr)'!C94:CY308,101,0)</f>
        <v>-433</v>
      </c>
      <c r="D99" s="139">
        <f>VLOOKUP(A99,'Data Vlaue (Cr)'!C94:CZ308,102,0)</f>
        <v>-0.18160000000000001</v>
      </c>
      <c r="E99" s="91">
        <f>VLOOKUP($A99,'Data Vlaue (Cr)'!$C:$FB,75)</f>
        <v>1637</v>
      </c>
      <c r="F99" s="91">
        <f>VLOOKUP($A99,'Data Vlaue (Cr)'!$C:$FB,77)</f>
        <v>-17</v>
      </c>
      <c r="G99" s="92">
        <f>VLOOKUP(A99,'Data Vlaue (Cr)'!C94:CB308,78,0)</f>
        <v>-1.0200000000000001E-2</v>
      </c>
      <c r="H99" s="91">
        <f>VLOOKUP($A99,'Data Vlaue (Cr)'!$C:$FB,91)</f>
        <v>152</v>
      </c>
      <c r="I99" s="91">
        <f>VLOOKUP($A99,'Data Vlaue (Cr)'!$C:$FB,93)</f>
        <v>-244</v>
      </c>
      <c r="J99" s="92">
        <f>VLOOKUP($A99,'Data Vlaue (Cr)'!$C:$FB,94)</f>
        <v>-0.61670000000000003</v>
      </c>
      <c r="K99" s="91">
        <f>VLOOKUP($A99,'Data Vlaue (Cr)'!$C:$FB,95)</f>
        <v>164</v>
      </c>
      <c r="L99" s="91">
        <f>VLOOKUP($A99,'Data Vlaue (Cr)'!$C:$FB,97)</f>
        <v>-172</v>
      </c>
      <c r="M99" s="92">
        <f>VLOOKUP($A99,'Data Vlaue (Cr)'!$C:$FB,98)</f>
        <v>-0.51190000000000002</v>
      </c>
      <c r="N99" s="91">
        <f>VLOOKUP($A99,'Data Vlaue (Cr)'!$C:$FB,79)</f>
        <v>50</v>
      </c>
      <c r="O99" s="92">
        <f>VLOOKUP($A99,'Data Vlaue (Cr)'!$C:$FB,82)</f>
        <v>-0.72860000000000003</v>
      </c>
    </row>
    <row r="100" spans="1:15" x14ac:dyDescent="0.25">
      <c r="A100" s="97" t="str">
        <f>'Data Vlaue (Cr)'!C95</f>
        <v>INDIANB</v>
      </c>
      <c r="B100" s="142">
        <f>VLOOKUP(A100,'Data Vlaue (Cr)'!C95:CW309,99,0)</f>
        <v>1269</v>
      </c>
      <c r="C100" s="90">
        <f>VLOOKUP(A100,'Data Vlaue (Cr)'!C95:CY309,101,0)</f>
        <v>-663</v>
      </c>
      <c r="D100" s="139">
        <f>VLOOKUP(A100,'Data Vlaue (Cr)'!C95:CZ309,102,0)</f>
        <v>-0.34320000000000001</v>
      </c>
      <c r="E100" s="91">
        <f>VLOOKUP($A100,'Data Vlaue (Cr)'!$C:$FB,75)</f>
        <v>939</v>
      </c>
      <c r="F100" s="91">
        <f>VLOOKUP($A100,'Data Vlaue (Cr)'!$C:$FB,77)</f>
        <v>-104</v>
      </c>
      <c r="G100" s="92">
        <f>VLOOKUP(A100,'Data Vlaue (Cr)'!C95:CB309,78,0)</f>
        <v>-9.9599999999999994E-2</v>
      </c>
      <c r="H100" s="91">
        <f>VLOOKUP($A100,'Data Vlaue (Cr)'!$C:$FB,91)</f>
        <v>178</v>
      </c>
      <c r="I100" s="91">
        <f>VLOOKUP($A100,'Data Vlaue (Cr)'!$C:$FB,93)</f>
        <v>-352</v>
      </c>
      <c r="J100" s="92">
        <f>VLOOKUP($A100,'Data Vlaue (Cr)'!$C:$FB,94)</f>
        <v>-0.66349999999999998</v>
      </c>
      <c r="K100" s="91">
        <f>VLOOKUP($A100,'Data Vlaue (Cr)'!$C:$FB,95)</f>
        <v>152</v>
      </c>
      <c r="L100" s="91">
        <f>VLOOKUP($A100,'Data Vlaue (Cr)'!$C:$FB,97)</f>
        <v>-207</v>
      </c>
      <c r="M100" s="92">
        <f>VLOOKUP($A100,'Data Vlaue (Cr)'!$C:$FB,98)</f>
        <v>-0.57769999999999999</v>
      </c>
      <c r="N100" s="91">
        <f>VLOOKUP($A100,'Data Vlaue (Cr)'!$C:$FB,79)</f>
        <v>114</v>
      </c>
      <c r="O100" s="92">
        <f>VLOOKUP($A100,'Data Vlaue (Cr)'!$C:$FB,82)</f>
        <v>-0.51480000000000004</v>
      </c>
    </row>
    <row r="101" spans="1:15" x14ac:dyDescent="0.25">
      <c r="A101" s="97" t="str">
        <f>'Data Vlaue (Cr)'!C96</f>
        <v>INDIAVIX</v>
      </c>
      <c r="B101" s="142">
        <f>VLOOKUP(A101,'Data Vlaue (Cr)'!C96:CW310,99,0)</f>
        <v>0</v>
      </c>
      <c r="C101" s="90">
        <f>VLOOKUP(A101,'Data Vlaue (Cr)'!C96:CY310,101,0)</f>
        <v>0</v>
      </c>
      <c r="D101" s="139">
        <f>VLOOKUP(A101,'Data Vlaue (Cr)'!C96:CZ310,102,0)</f>
        <v>0</v>
      </c>
      <c r="E101" s="91">
        <f>VLOOKUP($A101,'Data Vlaue (Cr)'!$C:$FB,75)</f>
        <v>0</v>
      </c>
      <c r="F101" s="91">
        <f>VLOOKUP($A101,'Data Vlaue (Cr)'!$C:$FB,77)</f>
        <v>0</v>
      </c>
      <c r="G101" s="92">
        <f>VLOOKUP(A101,'Data Vlaue (Cr)'!C96:CB310,78,0)</f>
        <v>0</v>
      </c>
      <c r="H101" s="91">
        <f>VLOOKUP($A101,'Data Vlaue (Cr)'!$C:$FB,91)</f>
        <v>0</v>
      </c>
      <c r="I101" s="91">
        <f>VLOOKUP($A101,'Data Vlaue (Cr)'!$C:$FB,93)</f>
        <v>0</v>
      </c>
      <c r="J101" s="92">
        <f>VLOOKUP($A101,'Data Vlaue (Cr)'!$C:$FB,94)</f>
        <v>0</v>
      </c>
      <c r="K101" s="91">
        <f>VLOOKUP($A101,'Data Vlaue (Cr)'!$C:$FB,95)</f>
        <v>0</v>
      </c>
      <c r="L101" s="91">
        <f>VLOOKUP($A101,'Data Vlaue (Cr)'!$C:$FB,97)</f>
        <v>0</v>
      </c>
      <c r="M101" s="92">
        <f>VLOOKUP($A101,'Data Vlaue (Cr)'!$C:$FB,98)</f>
        <v>0</v>
      </c>
      <c r="N101" s="91">
        <f>VLOOKUP($A101,'Data Vlaue (Cr)'!$C:$FB,79)</f>
        <v>0</v>
      </c>
      <c r="O101" s="92">
        <f>VLOOKUP($A101,'Data Vlaue (Cr)'!$C:$FB,82)</f>
        <v>0</v>
      </c>
    </row>
    <row r="102" spans="1:15" x14ac:dyDescent="0.25">
      <c r="A102" s="97" t="str">
        <f>'Data Vlaue (Cr)'!C97</f>
        <v>INDIGO</v>
      </c>
      <c r="B102" s="142">
        <f>VLOOKUP(A102,'Data Vlaue (Cr)'!C97:CW311,99,0)</f>
        <v>4671</v>
      </c>
      <c r="C102" s="90">
        <f>VLOOKUP(A102,'Data Vlaue (Cr)'!C97:CY311,101,0)</f>
        <v>-3208</v>
      </c>
      <c r="D102" s="139">
        <f>VLOOKUP(A102,'Data Vlaue (Cr)'!C97:CZ311,102,0)</f>
        <v>-0.40720000000000001</v>
      </c>
      <c r="E102" s="91">
        <f>VLOOKUP($A102,'Data Vlaue (Cr)'!$C:$FB,75)</f>
        <v>3372</v>
      </c>
      <c r="F102" s="91">
        <f>VLOOKUP($A102,'Data Vlaue (Cr)'!$C:$FB,77)</f>
        <v>-375</v>
      </c>
      <c r="G102" s="92">
        <f>VLOOKUP(A102,'Data Vlaue (Cr)'!C97:CB311,78,0)</f>
        <v>-0.10009999999999999</v>
      </c>
      <c r="H102" s="91">
        <f>VLOOKUP($A102,'Data Vlaue (Cr)'!$C:$FB,91)</f>
        <v>659</v>
      </c>
      <c r="I102" s="91">
        <f>VLOOKUP($A102,'Data Vlaue (Cr)'!$C:$FB,93)</f>
        <v>-1872</v>
      </c>
      <c r="J102" s="92">
        <f>VLOOKUP($A102,'Data Vlaue (Cr)'!$C:$FB,94)</f>
        <v>-0.73960000000000004</v>
      </c>
      <c r="K102" s="91">
        <f>VLOOKUP($A102,'Data Vlaue (Cr)'!$C:$FB,95)</f>
        <v>640</v>
      </c>
      <c r="L102" s="91">
        <f>VLOOKUP($A102,'Data Vlaue (Cr)'!$C:$FB,97)</f>
        <v>-961</v>
      </c>
      <c r="M102" s="92">
        <f>VLOOKUP($A102,'Data Vlaue (Cr)'!$C:$FB,98)</f>
        <v>-0.60029999999999994</v>
      </c>
      <c r="N102" s="91">
        <f>VLOOKUP($A102,'Data Vlaue (Cr)'!$C:$FB,79)</f>
        <v>664</v>
      </c>
      <c r="O102" s="92">
        <f>VLOOKUP($A102,'Data Vlaue (Cr)'!$C:$FB,82)</f>
        <v>-3.3599999999999998E-2</v>
      </c>
    </row>
    <row r="103" spans="1:15" x14ac:dyDescent="0.25">
      <c r="A103" s="97" t="str">
        <f>'Data Vlaue (Cr)'!C98</f>
        <v>INDUSINDBK</v>
      </c>
      <c r="B103" s="142">
        <f>VLOOKUP(A103,'Data Vlaue (Cr)'!C98:CW312,99,0)</f>
        <v>3888</v>
      </c>
      <c r="C103" s="90">
        <f>VLOOKUP(A103,'Data Vlaue (Cr)'!C98:CY312,101,0)</f>
        <v>-791</v>
      </c>
      <c r="D103" s="139">
        <f>VLOOKUP(A103,'Data Vlaue (Cr)'!C98:CZ312,102,0)</f>
        <v>-0.1691</v>
      </c>
      <c r="E103" s="91">
        <f>VLOOKUP($A103,'Data Vlaue (Cr)'!$C:$FB,75)</f>
        <v>3478</v>
      </c>
      <c r="F103" s="91">
        <f>VLOOKUP($A103,'Data Vlaue (Cr)'!$C:$FB,77)</f>
        <v>-82</v>
      </c>
      <c r="G103" s="92">
        <f>VLOOKUP(A103,'Data Vlaue (Cr)'!C98:CB312,78,0)</f>
        <v>-2.3099999999999999E-2</v>
      </c>
      <c r="H103" s="91">
        <f>VLOOKUP($A103,'Data Vlaue (Cr)'!$C:$FB,91)</f>
        <v>202</v>
      </c>
      <c r="I103" s="91">
        <f>VLOOKUP($A103,'Data Vlaue (Cr)'!$C:$FB,93)</f>
        <v>-417</v>
      </c>
      <c r="J103" s="92">
        <f>VLOOKUP($A103,'Data Vlaue (Cr)'!$C:$FB,94)</f>
        <v>-0.67349999999999999</v>
      </c>
      <c r="K103" s="91">
        <f>VLOOKUP($A103,'Data Vlaue (Cr)'!$C:$FB,95)</f>
        <v>208</v>
      </c>
      <c r="L103" s="91">
        <f>VLOOKUP($A103,'Data Vlaue (Cr)'!$C:$FB,97)</f>
        <v>-292</v>
      </c>
      <c r="M103" s="92">
        <f>VLOOKUP($A103,'Data Vlaue (Cr)'!$C:$FB,98)</f>
        <v>-0.58409999999999995</v>
      </c>
      <c r="N103" s="91">
        <f>VLOOKUP($A103,'Data Vlaue (Cr)'!$C:$FB,79)</f>
        <v>171</v>
      </c>
      <c r="O103" s="92">
        <f>VLOOKUP($A103,'Data Vlaue (Cr)'!$C:$FB,82)</f>
        <v>-0.53739999999999999</v>
      </c>
    </row>
    <row r="104" spans="1:15" x14ac:dyDescent="0.25">
      <c r="A104" s="97" t="str">
        <f>'Data Vlaue (Cr)'!C99</f>
        <v>INDUSTOWER</v>
      </c>
      <c r="B104" s="142">
        <f>VLOOKUP(A104,'Data Vlaue (Cr)'!C99:CW313,99,0)</f>
        <v>5356</v>
      </c>
      <c r="C104" s="90">
        <f>VLOOKUP(A104,'Data Vlaue (Cr)'!C99:CY313,101,0)</f>
        <v>-1334</v>
      </c>
      <c r="D104" s="139">
        <f>VLOOKUP(A104,'Data Vlaue (Cr)'!C99:CZ313,102,0)</f>
        <v>-0.19939999999999999</v>
      </c>
      <c r="E104" s="91">
        <f>VLOOKUP($A104,'Data Vlaue (Cr)'!$C:$FB,75)</f>
        <v>4001</v>
      </c>
      <c r="F104" s="91">
        <f>VLOOKUP($A104,'Data Vlaue (Cr)'!$C:$FB,77)</f>
        <v>-115</v>
      </c>
      <c r="G104" s="92">
        <f>VLOOKUP(A104,'Data Vlaue (Cr)'!C99:CB313,78,0)</f>
        <v>-2.8000000000000001E-2</v>
      </c>
      <c r="H104" s="91">
        <f>VLOOKUP($A104,'Data Vlaue (Cr)'!$C:$FB,91)</f>
        <v>659</v>
      </c>
      <c r="I104" s="91">
        <f>VLOOKUP($A104,'Data Vlaue (Cr)'!$C:$FB,93)</f>
        <v>-687</v>
      </c>
      <c r="J104" s="92">
        <f>VLOOKUP($A104,'Data Vlaue (Cr)'!$C:$FB,94)</f>
        <v>-0.51029999999999998</v>
      </c>
      <c r="K104" s="91">
        <f>VLOOKUP($A104,'Data Vlaue (Cr)'!$C:$FB,95)</f>
        <v>696</v>
      </c>
      <c r="L104" s="91">
        <f>VLOOKUP($A104,'Data Vlaue (Cr)'!$C:$FB,97)</f>
        <v>-532</v>
      </c>
      <c r="M104" s="92">
        <f>VLOOKUP($A104,'Data Vlaue (Cr)'!$C:$FB,98)</f>
        <v>-0.43319999999999997</v>
      </c>
      <c r="N104" s="91">
        <f>VLOOKUP($A104,'Data Vlaue (Cr)'!$C:$FB,79)</f>
        <v>245</v>
      </c>
      <c r="O104" s="92">
        <f>VLOOKUP($A104,'Data Vlaue (Cr)'!$C:$FB,82)</f>
        <v>-0.57889999999999997</v>
      </c>
    </row>
    <row r="105" spans="1:15" x14ac:dyDescent="0.25">
      <c r="A105" s="97" t="str">
        <f>'Data Vlaue (Cr)'!C100</f>
        <v>INFY</v>
      </c>
      <c r="B105" s="142">
        <f>VLOOKUP(A105,'Data Vlaue (Cr)'!C100:CW314,99,0)</f>
        <v>13712</v>
      </c>
      <c r="C105" s="90">
        <f>VLOOKUP(A105,'Data Vlaue (Cr)'!C100:CY314,101,0)</f>
        <v>-5386</v>
      </c>
      <c r="D105" s="139">
        <f>VLOOKUP(A105,'Data Vlaue (Cr)'!C100:CZ314,102,0)</f>
        <v>-0.28199999999999997</v>
      </c>
      <c r="E105" s="91">
        <f>VLOOKUP($A105,'Data Vlaue (Cr)'!$C:$FB,75)</f>
        <v>10849</v>
      </c>
      <c r="F105" s="91">
        <f>VLOOKUP($A105,'Data Vlaue (Cr)'!$C:$FB,77)</f>
        <v>-744</v>
      </c>
      <c r="G105" s="92">
        <f>VLOOKUP(A105,'Data Vlaue (Cr)'!C100:CB314,78,0)</f>
        <v>-6.4100000000000004E-2</v>
      </c>
      <c r="H105" s="91">
        <f>VLOOKUP($A105,'Data Vlaue (Cr)'!$C:$FB,91)</f>
        <v>1495</v>
      </c>
      <c r="I105" s="91">
        <f>VLOOKUP($A105,'Data Vlaue (Cr)'!$C:$FB,93)</f>
        <v>-3004</v>
      </c>
      <c r="J105" s="92">
        <f>VLOOKUP($A105,'Data Vlaue (Cr)'!$C:$FB,94)</f>
        <v>-0.66769999999999996</v>
      </c>
      <c r="K105" s="91">
        <f>VLOOKUP($A105,'Data Vlaue (Cr)'!$C:$FB,95)</f>
        <v>1368</v>
      </c>
      <c r="L105" s="91">
        <f>VLOOKUP($A105,'Data Vlaue (Cr)'!$C:$FB,97)</f>
        <v>-1638</v>
      </c>
      <c r="M105" s="92">
        <f>VLOOKUP($A105,'Data Vlaue (Cr)'!$C:$FB,98)</f>
        <v>-0.54500000000000004</v>
      </c>
      <c r="N105" s="91">
        <f>VLOOKUP($A105,'Data Vlaue (Cr)'!$C:$FB,79)</f>
        <v>691</v>
      </c>
      <c r="O105" s="92">
        <f>VLOOKUP($A105,'Data Vlaue (Cr)'!$C:$FB,82)</f>
        <v>-0.44579999999999997</v>
      </c>
    </row>
    <row r="106" spans="1:15" x14ac:dyDescent="0.25">
      <c r="A106" s="97" t="str">
        <f>'Data Vlaue (Cr)'!C101</f>
        <v>INOXWIND</v>
      </c>
      <c r="B106" s="142">
        <f>VLOOKUP(A106,'Data Vlaue (Cr)'!C101:CW315,99,0)</f>
        <v>966</v>
      </c>
      <c r="C106" s="90">
        <f>VLOOKUP(A106,'Data Vlaue (Cr)'!C101:CY315,101,0)</f>
        <v>-261</v>
      </c>
      <c r="D106" s="139">
        <f>VLOOKUP(A106,'Data Vlaue (Cr)'!C101:CZ315,102,0)</f>
        <v>-0.2127</v>
      </c>
      <c r="E106" s="91">
        <f>VLOOKUP($A106,'Data Vlaue (Cr)'!$C:$FB,75)</f>
        <v>792</v>
      </c>
      <c r="F106" s="91">
        <f>VLOOKUP($A106,'Data Vlaue (Cr)'!$C:$FB,77)</f>
        <v>-22</v>
      </c>
      <c r="G106" s="92">
        <f>VLOOKUP(A106,'Data Vlaue (Cr)'!C101:CB315,78,0)</f>
        <v>-2.7099999999999999E-2</v>
      </c>
      <c r="H106" s="91">
        <f>VLOOKUP($A106,'Data Vlaue (Cr)'!$C:$FB,91)</f>
        <v>118</v>
      </c>
      <c r="I106" s="91">
        <f>VLOOKUP($A106,'Data Vlaue (Cr)'!$C:$FB,93)</f>
        <v>-168</v>
      </c>
      <c r="J106" s="92">
        <f>VLOOKUP($A106,'Data Vlaue (Cr)'!$C:$FB,94)</f>
        <v>-0.58799999999999997</v>
      </c>
      <c r="K106" s="91">
        <f>VLOOKUP($A106,'Data Vlaue (Cr)'!$C:$FB,95)</f>
        <v>57</v>
      </c>
      <c r="L106" s="91">
        <f>VLOOKUP($A106,'Data Vlaue (Cr)'!$C:$FB,97)</f>
        <v>-71</v>
      </c>
      <c r="M106" s="92">
        <f>VLOOKUP($A106,'Data Vlaue (Cr)'!$C:$FB,98)</f>
        <v>-0.55559999999999998</v>
      </c>
      <c r="N106" s="91">
        <f>VLOOKUP($A106,'Data Vlaue (Cr)'!$C:$FB,79)</f>
        <v>38</v>
      </c>
      <c r="O106" s="92">
        <f>VLOOKUP($A106,'Data Vlaue (Cr)'!$C:$FB,82)</f>
        <v>-0.85050000000000003</v>
      </c>
    </row>
    <row r="107" spans="1:15" x14ac:dyDescent="0.25">
      <c r="A107" s="97" t="str">
        <f>'Data Vlaue (Cr)'!C102</f>
        <v>IOC</v>
      </c>
      <c r="B107" s="142">
        <f>VLOOKUP(A107,'Data Vlaue (Cr)'!C102:CW316,99,0)</f>
        <v>2314</v>
      </c>
      <c r="C107" s="90">
        <f>VLOOKUP(A107,'Data Vlaue (Cr)'!C102:CY316,101,0)</f>
        <v>-847</v>
      </c>
      <c r="D107" s="139">
        <f>VLOOKUP(A107,'Data Vlaue (Cr)'!C102:CZ316,102,0)</f>
        <v>-0.26800000000000002</v>
      </c>
      <c r="E107" s="91">
        <f>VLOOKUP($A107,'Data Vlaue (Cr)'!$C:$FB,75)</f>
        <v>1463</v>
      </c>
      <c r="F107" s="91">
        <f>VLOOKUP($A107,'Data Vlaue (Cr)'!$C:$FB,77)</f>
        <v>-62</v>
      </c>
      <c r="G107" s="92">
        <f>VLOOKUP(A107,'Data Vlaue (Cr)'!C102:CB316,78,0)</f>
        <v>-4.0800000000000003E-2</v>
      </c>
      <c r="H107" s="91">
        <f>VLOOKUP($A107,'Data Vlaue (Cr)'!$C:$FB,91)</f>
        <v>430</v>
      </c>
      <c r="I107" s="91">
        <f>VLOOKUP($A107,'Data Vlaue (Cr)'!$C:$FB,93)</f>
        <v>-501</v>
      </c>
      <c r="J107" s="92">
        <f>VLOOKUP($A107,'Data Vlaue (Cr)'!$C:$FB,94)</f>
        <v>-0.53849999999999998</v>
      </c>
      <c r="K107" s="91">
        <f>VLOOKUP($A107,'Data Vlaue (Cr)'!$C:$FB,95)</f>
        <v>421</v>
      </c>
      <c r="L107" s="91">
        <f>VLOOKUP($A107,'Data Vlaue (Cr)'!$C:$FB,97)</f>
        <v>-283</v>
      </c>
      <c r="M107" s="92">
        <f>VLOOKUP($A107,'Data Vlaue (Cr)'!$C:$FB,98)</f>
        <v>-0.40210000000000001</v>
      </c>
      <c r="N107" s="91">
        <f>VLOOKUP($A107,'Data Vlaue (Cr)'!$C:$FB,79)</f>
        <v>145</v>
      </c>
      <c r="O107" s="92">
        <f>VLOOKUP($A107,'Data Vlaue (Cr)'!$C:$FB,82)</f>
        <v>-0.36520000000000002</v>
      </c>
    </row>
    <row r="108" spans="1:15" x14ac:dyDescent="0.25">
      <c r="A108" s="97" t="str">
        <f>'Data Vlaue (Cr)'!C103</f>
        <v>IREDA</v>
      </c>
      <c r="B108" s="142">
        <f>VLOOKUP(A108,'Data Vlaue (Cr)'!C103:CW317,99,0)</f>
        <v>916</v>
      </c>
      <c r="C108" s="90">
        <f>VLOOKUP(A108,'Data Vlaue (Cr)'!C103:CY317,101,0)</f>
        <v>-310</v>
      </c>
      <c r="D108" s="139">
        <f>VLOOKUP(A108,'Data Vlaue (Cr)'!C103:CZ317,102,0)</f>
        <v>-0.25269999999999998</v>
      </c>
      <c r="E108" s="91">
        <f>VLOOKUP($A108,'Data Vlaue (Cr)'!$C:$FB,75)</f>
        <v>597</v>
      </c>
      <c r="F108" s="91">
        <f>VLOOKUP($A108,'Data Vlaue (Cr)'!$C:$FB,77)</f>
        <v>-69</v>
      </c>
      <c r="G108" s="92">
        <f>VLOOKUP(A108,'Data Vlaue (Cr)'!C103:CB317,78,0)</f>
        <v>-0.1033</v>
      </c>
      <c r="H108" s="91">
        <f>VLOOKUP($A108,'Data Vlaue (Cr)'!$C:$FB,91)</f>
        <v>168</v>
      </c>
      <c r="I108" s="91">
        <f>VLOOKUP($A108,'Data Vlaue (Cr)'!$C:$FB,93)</f>
        <v>-156</v>
      </c>
      <c r="J108" s="92">
        <f>VLOOKUP($A108,'Data Vlaue (Cr)'!$C:$FB,94)</f>
        <v>-0.48130000000000001</v>
      </c>
      <c r="K108" s="91">
        <f>VLOOKUP($A108,'Data Vlaue (Cr)'!$C:$FB,95)</f>
        <v>151</v>
      </c>
      <c r="L108" s="91">
        <f>VLOOKUP($A108,'Data Vlaue (Cr)'!$C:$FB,97)</f>
        <v>-85</v>
      </c>
      <c r="M108" s="92">
        <f>VLOOKUP($A108,'Data Vlaue (Cr)'!$C:$FB,98)</f>
        <v>-0.35980000000000001</v>
      </c>
      <c r="N108" s="91">
        <f>VLOOKUP($A108,'Data Vlaue (Cr)'!$C:$FB,79)</f>
        <v>32</v>
      </c>
      <c r="O108" s="92">
        <f>VLOOKUP($A108,'Data Vlaue (Cr)'!$C:$FB,82)</f>
        <v>-0.62390000000000001</v>
      </c>
    </row>
    <row r="109" spans="1:15" x14ac:dyDescent="0.25">
      <c r="A109" s="97" t="str">
        <f>'Data Vlaue (Cr)'!C104</f>
        <v>IRFC</v>
      </c>
      <c r="B109" s="142">
        <f>VLOOKUP(A109,'Data Vlaue (Cr)'!C104:CW318,99,0)</f>
        <v>971</v>
      </c>
      <c r="C109" s="90">
        <f>VLOOKUP(A109,'Data Vlaue (Cr)'!C104:CY318,101,0)</f>
        <v>-387</v>
      </c>
      <c r="D109" s="139">
        <f>VLOOKUP(A109,'Data Vlaue (Cr)'!C104:CZ318,102,0)</f>
        <v>-0.28489999999999999</v>
      </c>
      <c r="E109" s="91">
        <f>VLOOKUP($A109,'Data Vlaue (Cr)'!$C:$FB,75)</f>
        <v>553</v>
      </c>
      <c r="F109" s="91">
        <f>VLOOKUP($A109,'Data Vlaue (Cr)'!$C:$FB,77)</f>
        <v>-25</v>
      </c>
      <c r="G109" s="92">
        <f>VLOOKUP(A109,'Data Vlaue (Cr)'!C104:CB318,78,0)</f>
        <v>-4.3900000000000002E-2</v>
      </c>
      <c r="H109" s="91">
        <f>VLOOKUP($A109,'Data Vlaue (Cr)'!$C:$FB,91)</f>
        <v>223</v>
      </c>
      <c r="I109" s="91">
        <f>VLOOKUP($A109,'Data Vlaue (Cr)'!$C:$FB,93)</f>
        <v>-233</v>
      </c>
      <c r="J109" s="92">
        <f>VLOOKUP($A109,'Data Vlaue (Cr)'!$C:$FB,94)</f>
        <v>-0.51170000000000004</v>
      </c>
      <c r="K109" s="91">
        <f>VLOOKUP($A109,'Data Vlaue (Cr)'!$C:$FB,95)</f>
        <v>196</v>
      </c>
      <c r="L109" s="91">
        <f>VLOOKUP($A109,'Data Vlaue (Cr)'!$C:$FB,97)</f>
        <v>-128</v>
      </c>
      <c r="M109" s="92">
        <f>VLOOKUP($A109,'Data Vlaue (Cr)'!$C:$FB,98)</f>
        <v>-0.39529999999999998</v>
      </c>
      <c r="N109" s="91">
        <f>VLOOKUP($A109,'Data Vlaue (Cr)'!$C:$FB,79)</f>
        <v>43</v>
      </c>
      <c r="O109" s="92">
        <f>VLOOKUP($A109,'Data Vlaue (Cr)'!$C:$FB,82)</f>
        <v>-0.60260000000000002</v>
      </c>
    </row>
    <row r="110" spans="1:15" x14ac:dyDescent="0.25">
      <c r="A110" s="97" t="str">
        <f>'Data Vlaue (Cr)'!C105</f>
        <v>ITC</v>
      </c>
      <c r="B110" s="142">
        <f>VLOOKUP(A110,'Data Vlaue (Cr)'!C105:CW319,99,0)</f>
        <v>7459</v>
      </c>
      <c r="C110" s="90">
        <f>VLOOKUP(A110,'Data Vlaue (Cr)'!C105:CY319,101,0)</f>
        <v>-3779</v>
      </c>
      <c r="D110" s="139">
        <f>VLOOKUP(A110,'Data Vlaue (Cr)'!C105:CZ319,102,0)</f>
        <v>-0.33629999999999999</v>
      </c>
      <c r="E110" s="91">
        <f>VLOOKUP($A110,'Data Vlaue (Cr)'!$C:$FB,75)</f>
        <v>5075</v>
      </c>
      <c r="F110" s="91">
        <f>VLOOKUP($A110,'Data Vlaue (Cr)'!$C:$FB,77)</f>
        <v>-359</v>
      </c>
      <c r="G110" s="92">
        <f>VLOOKUP(A110,'Data Vlaue (Cr)'!C105:CB319,78,0)</f>
        <v>-6.6199999999999995E-2</v>
      </c>
      <c r="H110" s="91">
        <f>VLOOKUP($A110,'Data Vlaue (Cr)'!$C:$FB,91)</f>
        <v>1422</v>
      </c>
      <c r="I110" s="91">
        <f>VLOOKUP($A110,'Data Vlaue (Cr)'!$C:$FB,93)</f>
        <v>-2872</v>
      </c>
      <c r="J110" s="92">
        <f>VLOOKUP($A110,'Data Vlaue (Cr)'!$C:$FB,94)</f>
        <v>-0.66879999999999995</v>
      </c>
      <c r="K110" s="91">
        <f>VLOOKUP($A110,'Data Vlaue (Cr)'!$C:$FB,95)</f>
        <v>962</v>
      </c>
      <c r="L110" s="91">
        <f>VLOOKUP($A110,'Data Vlaue (Cr)'!$C:$FB,97)</f>
        <v>-548</v>
      </c>
      <c r="M110" s="92">
        <f>VLOOKUP($A110,'Data Vlaue (Cr)'!$C:$FB,98)</f>
        <v>-0.36270000000000002</v>
      </c>
      <c r="N110" s="91">
        <f>VLOOKUP($A110,'Data Vlaue (Cr)'!$C:$FB,79)</f>
        <v>320</v>
      </c>
      <c r="O110" s="92">
        <f>VLOOKUP($A110,'Data Vlaue (Cr)'!$C:$FB,82)</f>
        <v>-0.6865</v>
      </c>
    </row>
    <row r="111" spans="1:15" x14ac:dyDescent="0.25">
      <c r="A111" s="97" t="str">
        <f>'Data Vlaue (Cr)'!C106</f>
        <v>JINDALSTEL</v>
      </c>
      <c r="B111" s="142">
        <f>VLOOKUP(A111,'Data Vlaue (Cr)'!C106:CW320,99,0)</f>
        <v>1734</v>
      </c>
      <c r="C111" s="90">
        <f>VLOOKUP(A111,'Data Vlaue (Cr)'!C106:CY320,101,0)</f>
        <v>-601</v>
      </c>
      <c r="D111" s="139">
        <f>VLOOKUP(A111,'Data Vlaue (Cr)'!C106:CZ320,102,0)</f>
        <v>-0.25740000000000002</v>
      </c>
      <c r="E111" s="91">
        <f>VLOOKUP($A111,'Data Vlaue (Cr)'!$C:$FB,75)</f>
        <v>1499</v>
      </c>
      <c r="F111" s="91">
        <f>VLOOKUP($A111,'Data Vlaue (Cr)'!$C:$FB,77)</f>
        <v>-51</v>
      </c>
      <c r="G111" s="92">
        <f>VLOOKUP(A111,'Data Vlaue (Cr)'!C106:CB320,78,0)</f>
        <v>-3.27E-2</v>
      </c>
      <c r="H111" s="91">
        <f>VLOOKUP($A111,'Data Vlaue (Cr)'!$C:$FB,91)</f>
        <v>92</v>
      </c>
      <c r="I111" s="91">
        <f>VLOOKUP($A111,'Data Vlaue (Cr)'!$C:$FB,93)</f>
        <v>-356</v>
      </c>
      <c r="J111" s="92">
        <f>VLOOKUP($A111,'Data Vlaue (Cr)'!$C:$FB,94)</f>
        <v>-0.79490000000000005</v>
      </c>
      <c r="K111" s="91">
        <f>VLOOKUP($A111,'Data Vlaue (Cr)'!$C:$FB,95)</f>
        <v>143</v>
      </c>
      <c r="L111" s="91">
        <f>VLOOKUP($A111,'Data Vlaue (Cr)'!$C:$FB,97)</f>
        <v>-194</v>
      </c>
      <c r="M111" s="92">
        <f>VLOOKUP($A111,'Data Vlaue (Cr)'!$C:$FB,98)</f>
        <v>-0.57579999999999998</v>
      </c>
      <c r="N111" s="91">
        <f>VLOOKUP($A111,'Data Vlaue (Cr)'!$C:$FB,79)</f>
        <v>42</v>
      </c>
      <c r="O111" s="92">
        <f>VLOOKUP($A111,'Data Vlaue (Cr)'!$C:$FB,82)</f>
        <v>-0.90800000000000003</v>
      </c>
    </row>
    <row r="112" spans="1:15" x14ac:dyDescent="0.25">
      <c r="A112" s="97" t="str">
        <f>'Data Vlaue (Cr)'!C107</f>
        <v>JIOFIN</v>
      </c>
      <c r="B112" s="142">
        <f>VLOOKUP(A112,'Data Vlaue (Cr)'!C107:CW321,99,0)</f>
        <v>5437</v>
      </c>
      <c r="C112" s="90">
        <f>VLOOKUP(A112,'Data Vlaue (Cr)'!C107:CY321,101,0)</f>
        <v>-1541</v>
      </c>
      <c r="D112" s="139">
        <f>VLOOKUP(A112,'Data Vlaue (Cr)'!C107:CZ321,102,0)</f>
        <v>-0.2208</v>
      </c>
      <c r="E112" s="91">
        <f>VLOOKUP($A112,'Data Vlaue (Cr)'!$C:$FB,75)</f>
        <v>4185</v>
      </c>
      <c r="F112" s="91">
        <f>VLOOKUP($A112,'Data Vlaue (Cr)'!$C:$FB,77)</f>
        <v>-271</v>
      </c>
      <c r="G112" s="92">
        <f>VLOOKUP(A112,'Data Vlaue (Cr)'!C107:CB321,78,0)</f>
        <v>-6.0900000000000003E-2</v>
      </c>
      <c r="H112" s="91">
        <f>VLOOKUP($A112,'Data Vlaue (Cr)'!$C:$FB,91)</f>
        <v>643</v>
      </c>
      <c r="I112" s="91">
        <f>VLOOKUP($A112,'Data Vlaue (Cr)'!$C:$FB,93)</f>
        <v>-812</v>
      </c>
      <c r="J112" s="92">
        <f>VLOOKUP($A112,'Data Vlaue (Cr)'!$C:$FB,94)</f>
        <v>-0.55800000000000005</v>
      </c>
      <c r="K112" s="91">
        <f>VLOOKUP($A112,'Data Vlaue (Cr)'!$C:$FB,95)</f>
        <v>609</v>
      </c>
      <c r="L112" s="91">
        <f>VLOOKUP($A112,'Data Vlaue (Cr)'!$C:$FB,97)</f>
        <v>-457</v>
      </c>
      <c r="M112" s="92">
        <f>VLOOKUP($A112,'Data Vlaue (Cr)'!$C:$FB,98)</f>
        <v>-0.42899999999999999</v>
      </c>
      <c r="N112" s="91">
        <f>VLOOKUP($A112,'Data Vlaue (Cr)'!$C:$FB,79)</f>
        <v>257</v>
      </c>
      <c r="O112" s="92">
        <f>VLOOKUP($A112,'Data Vlaue (Cr)'!$C:$FB,82)</f>
        <v>-0.70420000000000005</v>
      </c>
    </row>
    <row r="113" spans="1:15" x14ac:dyDescent="0.25">
      <c r="A113" s="97" t="str">
        <f>'Data Vlaue (Cr)'!C108</f>
        <v>JSWENERGY</v>
      </c>
      <c r="B113" s="142">
        <f>VLOOKUP(A113,'Data Vlaue (Cr)'!C108:CW322,99,0)</f>
        <v>1605</v>
      </c>
      <c r="C113" s="90">
        <f>VLOOKUP(A113,'Data Vlaue (Cr)'!C108:CY322,101,0)</f>
        <v>-762</v>
      </c>
      <c r="D113" s="139">
        <f>VLOOKUP(A113,'Data Vlaue (Cr)'!C108:CZ322,102,0)</f>
        <v>-0.32190000000000002</v>
      </c>
      <c r="E113" s="91">
        <f>VLOOKUP($A113,'Data Vlaue (Cr)'!$C:$FB,75)</f>
        <v>1274</v>
      </c>
      <c r="F113" s="91">
        <f>VLOOKUP($A113,'Data Vlaue (Cr)'!$C:$FB,77)</f>
        <v>-85</v>
      </c>
      <c r="G113" s="92">
        <f>VLOOKUP(A113,'Data Vlaue (Cr)'!C108:CB322,78,0)</f>
        <v>-6.2399999999999997E-2</v>
      </c>
      <c r="H113" s="91">
        <f>VLOOKUP($A113,'Data Vlaue (Cr)'!$C:$FB,91)</f>
        <v>195</v>
      </c>
      <c r="I113" s="91">
        <f>VLOOKUP($A113,'Data Vlaue (Cr)'!$C:$FB,93)</f>
        <v>-369</v>
      </c>
      <c r="J113" s="92">
        <f>VLOOKUP($A113,'Data Vlaue (Cr)'!$C:$FB,94)</f>
        <v>-0.65469999999999995</v>
      </c>
      <c r="K113" s="91">
        <f>VLOOKUP($A113,'Data Vlaue (Cr)'!$C:$FB,95)</f>
        <v>136</v>
      </c>
      <c r="L113" s="91">
        <f>VLOOKUP($A113,'Data Vlaue (Cr)'!$C:$FB,97)</f>
        <v>-308</v>
      </c>
      <c r="M113" s="92">
        <f>VLOOKUP($A113,'Data Vlaue (Cr)'!$C:$FB,98)</f>
        <v>-0.69450000000000001</v>
      </c>
      <c r="N113" s="91">
        <f>VLOOKUP($A113,'Data Vlaue (Cr)'!$C:$FB,79)</f>
        <v>157</v>
      </c>
      <c r="O113" s="92">
        <f>VLOOKUP($A113,'Data Vlaue (Cr)'!$C:$FB,82)</f>
        <v>0.24970000000000001</v>
      </c>
    </row>
    <row r="114" spans="1:15" x14ac:dyDescent="0.25">
      <c r="A114" s="97" t="str">
        <f>'Data Vlaue (Cr)'!C109</f>
        <v>JSWSTEEL</v>
      </c>
      <c r="B114" s="142">
        <f>VLOOKUP(A114,'Data Vlaue (Cr)'!C109:CW323,99,0)</f>
        <v>6170</v>
      </c>
      <c r="C114" s="90">
        <f>VLOOKUP(A114,'Data Vlaue (Cr)'!C109:CY323,101,0)</f>
        <v>-1442</v>
      </c>
      <c r="D114" s="139">
        <f>VLOOKUP(A114,'Data Vlaue (Cr)'!C109:CZ323,102,0)</f>
        <v>-0.18940000000000001</v>
      </c>
      <c r="E114" s="91">
        <f>VLOOKUP($A114,'Data Vlaue (Cr)'!$C:$FB,75)</f>
        <v>5746</v>
      </c>
      <c r="F114" s="91">
        <f>VLOOKUP($A114,'Data Vlaue (Cr)'!$C:$FB,77)</f>
        <v>-583</v>
      </c>
      <c r="G114" s="92">
        <f>VLOOKUP(A114,'Data Vlaue (Cr)'!C109:CB323,78,0)</f>
        <v>-9.2100000000000001E-2</v>
      </c>
      <c r="H114" s="91">
        <f>VLOOKUP($A114,'Data Vlaue (Cr)'!$C:$FB,91)</f>
        <v>252</v>
      </c>
      <c r="I114" s="91">
        <f>VLOOKUP($A114,'Data Vlaue (Cr)'!$C:$FB,93)</f>
        <v>-536</v>
      </c>
      <c r="J114" s="92">
        <f>VLOOKUP($A114,'Data Vlaue (Cr)'!$C:$FB,94)</f>
        <v>-0.68049999999999999</v>
      </c>
      <c r="K114" s="91">
        <f>VLOOKUP($A114,'Data Vlaue (Cr)'!$C:$FB,95)</f>
        <v>173</v>
      </c>
      <c r="L114" s="91">
        <f>VLOOKUP($A114,'Data Vlaue (Cr)'!$C:$FB,97)</f>
        <v>-323</v>
      </c>
      <c r="M114" s="92">
        <f>VLOOKUP($A114,'Data Vlaue (Cr)'!$C:$FB,98)</f>
        <v>-0.65169999999999995</v>
      </c>
      <c r="N114" s="91">
        <f>VLOOKUP($A114,'Data Vlaue (Cr)'!$C:$FB,79)</f>
        <v>576</v>
      </c>
      <c r="O114" s="92">
        <f>VLOOKUP($A114,'Data Vlaue (Cr)'!$C:$FB,82)</f>
        <v>-0.28360000000000002</v>
      </c>
    </row>
    <row r="115" spans="1:15" x14ac:dyDescent="0.25">
      <c r="A115" s="97" t="str">
        <f>'Data Vlaue (Cr)'!C110</f>
        <v>JUBLFOOD</v>
      </c>
      <c r="B115" s="142">
        <f>VLOOKUP(A115,'Data Vlaue (Cr)'!C110:CW324,99,0)</f>
        <v>1908</v>
      </c>
      <c r="C115" s="90">
        <f>VLOOKUP(A115,'Data Vlaue (Cr)'!C110:CY324,101,0)</f>
        <v>-635</v>
      </c>
      <c r="D115" s="139">
        <f>VLOOKUP(A115,'Data Vlaue (Cr)'!C110:CZ324,102,0)</f>
        <v>-0.24979999999999999</v>
      </c>
      <c r="E115" s="91">
        <f>VLOOKUP($A115,'Data Vlaue (Cr)'!$C:$FB,75)</f>
        <v>1426</v>
      </c>
      <c r="F115" s="91">
        <f>VLOOKUP($A115,'Data Vlaue (Cr)'!$C:$FB,77)</f>
        <v>-255</v>
      </c>
      <c r="G115" s="92">
        <f>VLOOKUP(A115,'Data Vlaue (Cr)'!C110:CB324,78,0)</f>
        <v>-0.15140000000000001</v>
      </c>
      <c r="H115" s="91">
        <f>VLOOKUP($A115,'Data Vlaue (Cr)'!$C:$FB,91)</f>
        <v>269</v>
      </c>
      <c r="I115" s="91">
        <f>VLOOKUP($A115,'Data Vlaue (Cr)'!$C:$FB,93)</f>
        <v>-254</v>
      </c>
      <c r="J115" s="92">
        <f>VLOOKUP($A115,'Data Vlaue (Cr)'!$C:$FB,94)</f>
        <v>-0.48559999999999998</v>
      </c>
      <c r="K115" s="91">
        <f>VLOOKUP($A115,'Data Vlaue (Cr)'!$C:$FB,95)</f>
        <v>212</v>
      </c>
      <c r="L115" s="91">
        <f>VLOOKUP($A115,'Data Vlaue (Cr)'!$C:$FB,97)</f>
        <v>-127</v>
      </c>
      <c r="M115" s="92">
        <f>VLOOKUP($A115,'Data Vlaue (Cr)'!$C:$FB,98)</f>
        <v>-0.37390000000000001</v>
      </c>
      <c r="N115" s="91">
        <f>VLOOKUP($A115,'Data Vlaue (Cr)'!$C:$FB,79)</f>
        <v>136</v>
      </c>
      <c r="O115" s="92">
        <f>VLOOKUP($A115,'Data Vlaue (Cr)'!$C:$FB,82)</f>
        <v>-0.54039999999999999</v>
      </c>
    </row>
    <row r="116" spans="1:15" x14ac:dyDescent="0.25">
      <c r="A116" s="97" t="str">
        <f>'Data Vlaue (Cr)'!C111</f>
        <v>KALYANKJIL</v>
      </c>
      <c r="B116" s="142">
        <f>VLOOKUP(A116,'Data Vlaue (Cr)'!C111:CW325,99,0)</f>
        <v>1559</v>
      </c>
      <c r="C116" s="90">
        <f>VLOOKUP(A116,'Data Vlaue (Cr)'!C111:CY325,101,0)</f>
        <v>-982</v>
      </c>
      <c r="D116" s="139">
        <f>VLOOKUP(A116,'Data Vlaue (Cr)'!C111:CZ325,102,0)</f>
        <v>-0.38640000000000002</v>
      </c>
      <c r="E116" s="91">
        <f>VLOOKUP($A116,'Data Vlaue (Cr)'!$C:$FB,75)</f>
        <v>1244</v>
      </c>
      <c r="F116" s="91">
        <f>VLOOKUP($A116,'Data Vlaue (Cr)'!$C:$FB,77)</f>
        <v>-32</v>
      </c>
      <c r="G116" s="92">
        <f>VLOOKUP(A116,'Data Vlaue (Cr)'!C111:CB325,78,0)</f>
        <v>-2.4899999999999999E-2</v>
      </c>
      <c r="H116" s="91">
        <f>VLOOKUP($A116,'Data Vlaue (Cr)'!$C:$FB,91)</f>
        <v>192</v>
      </c>
      <c r="I116" s="91">
        <f>VLOOKUP($A116,'Data Vlaue (Cr)'!$C:$FB,93)</f>
        <v>-622</v>
      </c>
      <c r="J116" s="92">
        <f>VLOOKUP($A116,'Data Vlaue (Cr)'!$C:$FB,94)</f>
        <v>-0.76449999999999996</v>
      </c>
      <c r="K116" s="91">
        <f>VLOOKUP($A116,'Data Vlaue (Cr)'!$C:$FB,95)</f>
        <v>123</v>
      </c>
      <c r="L116" s="91">
        <f>VLOOKUP($A116,'Data Vlaue (Cr)'!$C:$FB,97)</f>
        <v>-328</v>
      </c>
      <c r="M116" s="92">
        <f>VLOOKUP($A116,'Data Vlaue (Cr)'!$C:$FB,98)</f>
        <v>-0.72670000000000001</v>
      </c>
      <c r="N116" s="91">
        <f>VLOOKUP($A116,'Data Vlaue (Cr)'!$C:$FB,79)</f>
        <v>55</v>
      </c>
      <c r="O116" s="92">
        <f>VLOOKUP($A116,'Data Vlaue (Cr)'!$C:$FB,82)</f>
        <v>-0.74919999999999998</v>
      </c>
    </row>
    <row r="117" spans="1:15" x14ac:dyDescent="0.25">
      <c r="A117" s="97" t="str">
        <f>'Data Vlaue (Cr)'!C112</f>
        <v>KAYNES</v>
      </c>
      <c r="B117" s="142">
        <f>VLOOKUP(A117,'Data Vlaue (Cr)'!C112:CW326,99,0)</f>
        <v>1815</v>
      </c>
      <c r="C117" s="90">
        <f>VLOOKUP(A117,'Data Vlaue (Cr)'!C112:CY326,101,0)</f>
        <v>-1156</v>
      </c>
      <c r="D117" s="139">
        <f>VLOOKUP(A117,'Data Vlaue (Cr)'!C112:CZ326,102,0)</f>
        <v>-0.38919999999999999</v>
      </c>
      <c r="E117" s="91">
        <f>VLOOKUP($A117,'Data Vlaue (Cr)'!$C:$FB,75)</f>
        <v>1308</v>
      </c>
      <c r="F117" s="91">
        <f>VLOOKUP($A117,'Data Vlaue (Cr)'!$C:$FB,77)</f>
        <v>-13</v>
      </c>
      <c r="G117" s="92">
        <f>VLOOKUP(A117,'Data Vlaue (Cr)'!C112:CB326,78,0)</f>
        <v>-1.01E-2</v>
      </c>
      <c r="H117" s="91">
        <f>VLOOKUP($A117,'Data Vlaue (Cr)'!$C:$FB,91)</f>
        <v>306</v>
      </c>
      <c r="I117" s="91">
        <f>VLOOKUP($A117,'Data Vlaue (Cr)'!$C:$FB,93)</f>
        <v>-791</v>
      </c>
      <c r="J117" s="92">
        <f>VLOOKUP($A117,'Data Vlaue (Cr)'!$C:$FB,94)</f>
        <v>-0.7208</v>
      </c>
      <c r="K117" s="91">
        <f>VLOOKUP($A117,'Data Vlaue (Cr)'!$C:$FB,95)</f>
        <v>201</v>
      </c>
      <c r="L117" s="91">
        <f>VLOOKUP($A117,'Data Vlaue (Cr)'!$C:$FB,97)</f>
        <v>-352</v>
      </c>
      <c r="M117" s="92">
        <f>VLOOKUP($A117,'Data Vlaue (Cr)'!$C:$FB,98)</f>
        <v>-0.63649999999999995</v>
      </c>
      <c r="N117" s="91">
        <f>VLOOKUP($A117,'Data Vlaue (Cr)'!$C:$FB,79)</f>
        <v>112</v>
      </c>
      <c r="O117" s="92">
        <f>VLOOKUP($A117,'Data Vlaue (Cr)'!$C:$FB,82)</f>
        <v>-0.73029999999999995</v>
      </c>
    </row>
    <row r="118" spans="1:15" x14ac:dyDescent="0.25">
      <c r="A118" s="97" t="str">
        <f>'Data Vlaue (Cr)'!C113</f>
        <v>KEI</v>
      </c>
      <c r="B118" s="142">
        <f>VLOOKUP(A118,'Data Vlaue (Cr)'!C113:CW327,99,0)</f>
        <v>961</v>
      </c>
      <c r="C118" s="90">
        <f>VLOOKUP(A118,'Data Vlaue (Cr)'!C113:CY327,101,0)</f>
        <v>-659</v>
      </c>
      <c r="D118" s="139">
        <f>VLOOKUP(A118,'Data Vlaue (Cr)'!C113:CZ327,102,0)</f>
        <v>-0.40679999999999999</v>
      </c>
      <c r="E118" s="91">
        <f>VLOOKUP($A118,'Data Vlaue (Cr)'!$C:$FB,75)</f>
        <v>744</v>
      </c>
      <c r="F118" s="91">
        <f>VLOOKUP($A118,'Data Vlaue (Cr)'!$C:$FB,77)</f>
        <v>-169</v>
      </c>
      <c r="G118" s="92">
        <f>VLOOKUP(A118,'Data Vlaue (Cr)'!C113:CB327,78,0)</f>
        <v>-0.18490000000000001</v>
      </c>
      <c r="H118" s="91">
        <f>VLOOKUP($A118,'Data Vlaue (Cr)'!$C:$FB,91)</f>
        <v>137</v>
      </c>
      <c r="I118" s="91">
        <f>VLOOKUP($A118,'Data Vlaue (Cr)'!$C:$FB,93)</f>
        <v>-258</v>
      </c>
      <c r="J118" s="92">
        <f>VLOOKUP($A118,'Data Vlaue (Cr)'!$C:$FB,94)</f>
        <v>-0.65310000000000001</v>
      </c>
      <c r="K118" s="91">
        <f>VLOOKUP($A118,'Data Vlaue (Cr)'!$C:$FB,95)</f>
        <v>80</v>
      </c>
      <c r="L118" s="91">
        <f>VLOOKUP($A118,'Data Vlaue (Cr)'!$C:$FB,97)</f>
        <v>-232</v>
      </c>
      <c r="M118" s="92">
        <f>VLOOKUP($A118,'Data Vlaue (Cr)'!$C:$FB,98)</f>
        <v>-0.74350000000000005</v>
      </c>
      <c r="N118" s="91">
        <f>VLOOKUP($A118,'Data Vlaue (Cr)'!$C:$FB,79)</f>
        <v>143</v>
      </c>
      <c r="O118" s="92">
        <f>VLOOKUP($A118,'Data Vlaue (Cr)'!$C:$FB,82)</f>
        <v>-0.28660000000000002</v>
      </c>
    </row>
    <row r="119" spans="1:15" x14ac:dyDescent="0.25">
      <c r="A119" s="97" t="str">
        <f>'Data Vlaue (Cr)'!C114</f>
        <v>KFINTECH</v>
      </c>
      <c r="B119" s="142">
        <f>VLOOKUP(A119,'Data Vlaue (Cr)'!C114:CW328,99,0)</f>
        <v>509</v>
      </c>
      <c r="C119" s="90">
        <f>VLOOKUP(A119,'Data Vlaue (Cr)'!C114:CY328,101,0)</f>
        <v>-519</v>
      </c>
      <c r="D119" s="139">
        <f>VLOOKUP(A119,'Data Vlaue (Cr)'!C114:CZ328,102,0)</f>
        <v>-0.505</v>
      </c>
      <c r="E119" s="91">
        <f>VLOOKUP($A119,'Data Vlaue (Cr)'!$C:$FB,75)</f>
        <v>405</v>
      </c>
      <c r="F119" s="91">
        <f>VLOOKUP($A119,'Data Vlaue (Cr)'!$C:$FB,77)</f>
        <v>-54</v>
      </c>
      <c r="G119" s="92">
        <f>VLOOKUP(A119,'Data Vlaue (Cr)'!C114:CB328,78,0)</f>
        <v>-0.1172</v>
      </c>
      <c r="H119" s="91">
        <f>VLOOKUP($A119,'Data Vlaue (Cr)'!$C:$FB,91)</f>
        <v>51</v>
      </c>
      <c r="I119" s="91">
        <f>VLOOKUP($A119,'Data Vlaue (Cr)'!$C:$FB,93)</f>
        <v>-289</v>
      </c>
      <c r="J119" s="92">
        <f>VLOOKUP($A119,'Data Vlaue (Cr)'!$C:$FB,94)</f>
        <v>-0.85129999999999995</v>
      </c>
      <c r="K119" s="91">
        <f>VLOOKUP($A119,'Data Vlaue (Cr)'!$C:$FB,95)</f>
        <v>53</v>
      </c>
      <c r="L119" s="91">
        <f>VLOOKUP($A119,'Data Vlaue (Cr)'!$C:$FB,97)</f>
        <v>-176</v>
      </c>
      <c r="M119" s="92">
        <f>VLOOKUP($A119,'Data Vlaue (Cr)'!$C:$FB,98)</f>
        <v>-0.76939999999999997</v>
      </c>
      <c r="N119" s="91">
        <f>VLOOKUP($A119,'Data Vlaue (Cr)'!$C:$FB,79)</f>
        <v>40</v>
      </c>
      <c r="O119" s="92">
        <f>VLOOKUP($A119,'Data Vlaue (Cr)'!$C:$FB,82)</f>
        <v>-0.54669999999999996</v>
      </c>
    </row>
    <row r="120" spans="1:15" x14ac:dyDescent="0.25">
      <c r="A120" s="97" t="str">
        <f>'Data Vlaue (Cr)'!C115</f>
        <v>KOTAKBANK</v>
      </c>
      <c r="B120" s="142">
        <f>VLOOKUP(A120,'Data Vlaue (Cr)'!C115:CW329,99,0)</f>
        <v>8467</v>
      </c>
      <c r="C120" s="90">
        <f>VLOOKUP(A120,'Data Vlaue (Cr)'!C115:CY329,101,0)</f>
        <v>-2117</v>
      </c>
      <c r="D120" s="139">
        <f>VLOOKUP(A120,'Data Vlaue (Cr)'!C115:CZ329,102,0)</f>
        <v>-0.2</v>
      </c>
      <c r="E120" s="91">
        <f>VLOOKUP($A120,'Data Vlaue (Cr)'!$C:$FB,75)</f>
        <v>7248</v>
      </c>
      <c r="F120" s="91">
        <f>VLOOKUP($A120,'Data Vlaue (Cr)'!$C:$FB,77)</f>
        <v>-334</v>
      </c>
      <c r="G120" s="92">
        <f>VLOOKUP(A120,'Data Vlaue (Cr)'!C115:CB329,78,0)</f>
        <v>-4.41E-2</v>
      </c>
      <c r="H120" s="91">
        <f>VLOOKUP($A120,'Data Vlaue (Cr)'!$C:$FB,91)</f>
        <v>659</v>
      </c>
      <c r="I120" s="91">
        <f>VLOOKUP($A120,'Data Vlaue (Cr)'!$C:$FB,93)</f>
        <v>-990</v>
      </c>
      <c r="J120" s="92">
        <f>VLOOKUP($A120,'Data Vlaue (Cr)'!$C:$FB,94)</f>
        <v>-0.60029999999999994</v>
      </c>
      <c r="K120" s="91">
        <f>VLOOKUP($A120,'Data Vlaue (Cr)'!$C:$FB,95)</f>
        <v>560</v>
      </c>
      <c r="L120" s="91">
        <f>VLOOKUP($A120,'Data Vlaue (Cr)'!$C:$FB,97)</f>
        <v>-793</v>
      </c>
      <c r="M120" s="92">
        <f>VLOOKUP($A120,'Data Vlaue (Cr)'!$C:$FB,98)</f>
        <v>-0.58609999999999995</v>
      </c>
      <c r="N120" s="91">
        <f>VLOOKUP($A120,'Data Vlaue (Cr)'!$C:$FB,79)</f>
        <v>466</v>
      </c>
      <c r="O120" s="92">
        <f>VLOOKUP($A120,'Data Vlaue (Cr)'!$C:$FB,82)</f>
        <v>-0.46050000000000002</v>
      </c>
    </row>
    <row r="121" spans="1:15" x14ac:dyDescent="0.25">
      <c r="A121" s="97" t="str">
        <f>'Data Vlaue (Cr)'!C116</f>
        <v>KPITTECH</v>
      </c>
      <c r="B121" s="142">
        <f>VLOOKUP(A121,'Data Vlaue (Cr)'!C116:CW330,99,0)</f>
        <v>897</v>
      </c>
      <c r="C121" s="90">
        <f>VLOOKUP(A121,'Data Vlaue (Cr)'!C116:CY330,101,0)</f>
        <v>-496</v>
      </c>
      <c r="D121" s="139">
        <f>VLOOKUP(A121,'Data Vlaue (Cr)'!C116:CZ330,102,0)</f>
        <v>-0.35610000000000003</v>
      </c>
      <c r="E121" s="91">
        <f>VLOOKUP($A121,'Data Vlaue (Cr)'!$C:$FB,75)</f>
        <v>622</v>
      </c>
      <c r="F121" s="91">
        <f>VLOOKUP($A121,'Data Vlaue (Cr)'!$C:$FB,77)</f>
        <v>-85</v>
      </c>
      <c r="G121" s="92">
        <f>VLOOKUP(A121,'Data Vlaue (Cr)'!C116:CB330,78,0)</f>
        <v>-0.1205</v>
      </c>
      <c r="H121" s="91">
        <f>VLOOKUP($A121,'Data Vlaue (Cr)'!$C:$FB,91)</f>
        <v>168</v>
      </c>
      <c r="I121" s="91">
        <f>VLOOKUP($A121,'Data Vlaue (Cr)'!$C:$FB,93)</f>
        <v>-274</v>
      </c>
      <c r="J121" s="92">
        <f>VLOOKUP($A121,'Data Vlaue (Cr)'!$C:$FB,94)</f>
        <v>-0.62009999999999998</v>
      </c>
      <c r="K121" s="91">
        <f>VLOOKUP($A121,'Data Vlaue (Cr)'!$C:$FB,95)</f>
        <v>108</v>
      </c>
      <c r="L121" s="91">
        <f>VLOOKUP($A121,'Data Vlaue (Cr)'!$C:$FB,97)</f>
        <v>-137</v>
      </c>
      <c r="M121" s="92">
        <f>VLOOKUP($A121,'Data Vlaue (Cr)'!$C:$FB,98)</f>
        <v>-0.56010000000000004</v>
      </c>
      <c r="N121" s="91">
        <f>VLOOKUP($A121,'Data Vlaue (Cr)'!$C:$FB,79)</f>
        <v>89</v>
      </c>
      <c r="O121" s="92">
        <f>VLOOKUP($A121,'Data Vlaue (Cr)'!$C:$FB,82)</f>
        <v>-7.2999999999999995E-2</v>
      </c>
    </row>
    <row r="122" spans="1:15" x14ac:dyDescent="0.25">
      <c r="A122" s="97" t="str">
        <f>'Data Vlaue (Cr)'!C117</f>
        <v>LAURUSLABS</v>
      </c>
      <c r="B122" s="142">
        <f>VLOOKUP(A122,'Data Vlaue (Cr)'!C117:CW331,99,0)</f>
        <v>3374</v>
      </c>
      <c r="C122" s="90">
        <f>VLOOKUP(A122,'Data Vlaue (Cr)'!C117:CY331,101,0)</f>
        <v>-1360</v>
      </c>
      <c r="D122" s="139">
        <f>VLOOKUP(A122,'Data Vlaue (Cr)'!C117:CZ331,102,0)</f>
        <v>-0.2873</v>
      </c>
      <c r="E122" s="91">
        <f>VLOOKUP($A122,'Data Vlaue (Cr)'!$C:$FB,75)</f>
        <v>2504</v>
      </c>
      <c r="F122" s="91">
        <f>VLOOKUP($A122,'Data Vlaue (Cr)'!$C:$FB,77)</f>
        <v>-149</v>
      </c>
      <c r="G122" s="92">
        <f>VLOOKUP(A122,'Data Vlaue (Cr)'!C117:CB331,78,0)</f>
        <v>-5.6099999999999997E-2</v>
      </c>
      <c r="H122" s="91">
        <f>VLOOKUP($A122,'Data Vlaue (Cr)'!$C:$FB,91)</f>
        <v>430</v>
      </c>
      <c r="I122" s="91">
        <f>VLOOKUP($A122,'Data Vlaue (Cr)'!$C:$FB,93)</f>
        <v>-585</v>
      </c>
      <c r="J122" s="92">
        <f>VLOOKUP($A122,'Data Vlaue (Cr)'!$C:$FB,94)</f>
        <v>-0.57640000000000002</v>
      </c>
      <c r="K122" s="91">
        <f>VLOOKUP($A122,'Data Vlaue (Cr)'!$C:$FB,95)</f>
        <v>440</v>
      </c>
      <c r="L122" s="91">
        <f>VLOOKUP($A122,'Data Vlaue (Cr)'!$C:$FB,97)</f>
        <v>-627</v>
      </c>
      <c r="M122" s="92">
        <f>VLOOKUP($A122,'Data Vlaue (Cr)'!$C:$FB,98)</f>
        <v>-0.58750000000000002</v>
      </c>
      <c r="N122" s="91">
        <f>VLOOKUP($A122,'Data Vlaue (Cr)'!$C:$FB,79)</f>
        <v>155</v>
      </c>
      <c r="O122" s="92">
        <f>VLOOKUP($A122,'Data Vlaue (Cr)'!$C:$FB,82)</f>
        <v>-0.50239999999999996</v>
      </c>
    </row>
    <row r="123" spans="1:15" x14ac:dyDescent="0.25">
      <c r="A123" s="97" t="str">
        <f>'Data Vlaue (Cr)'!C118</f>
        <v>LICHSGFIN</v>
      </c>
      <c r="B123" s="142">
        <f>VLOOKUP(A123,'Data Vlaue (Cr)'!C118:CW332,99,0)</f>
        <v>1952</v>
      </c>
      <c r="C123" s="90">
        <f>VLOOKUP(A123,'Data Vlaue (Cr)'!C118:CY332,101,0)</f>
        <v>-517</v>
      </c>
      <c r="D123" s="139">
        <f>VLOOKUP(A123,'Data Vlaue (Cr)'!C118:CZ332,102,0)</f>
        <v>-0.20949999999999999</v>
      </c>
      <c r="E123" s="91">
        <f>VLOOKUP($A123,'Data Vlaue (Cr)'!$C:$FB,75)</f>
        <v>1599</v>
      </c>
      <c r="F123" s="91">
        <f>VLOOKUP($A123,'Data Vlaue (Cr)'!$C:$FB,77)</f>
        <v>-45</v>
      </c>
      <c r="G123" s="92">
        <f>VLOOKUP(A123,'Data Vlaue (Cr)'!C118:CB332,78,0)</f>
        <v>-2.7099999999999999E-2</v>
      </c>
      <c r="H123" s="91">
        <f>VLOOKUP($A123,'Data Vlaue (Cr)'!$C:$FB,91)</f>
        <v>178</v>
      </c>
      <c r="I123" s="91">
        <f>VLOOKUP($A123,'Data Vlaue (Cr)'!$C:$FB,93)</f>
        <v>-318</v>
      </c>
      <c r="J123" s="92">
        <f>VLOOKUP($A123,'Data Vlaue (Cr)'!$C:$FB,94)</f>
        <v>-0.64190000000000003</v>
      </c>
      <c r="K123" s="91">
        <f>VLOOKUP($A123,'Data Vlaue (Cr)'!$C:$FB,95)</f>
        <v>175</v>
      </c>
      <c r="L123" s="91">
        <f>VLOOKUP($A123,'Data Vlaue (Cr)'!$C:$FB,97)</f>
        <v>-154</v>
      </c>
      <c r="M123" s="92">
        <f>VLOOKUP($A123,'Data Vlaue (Cr)'!$C:$FB,98)</f>
        <v>-0.46860000000000002</v>
      </c>
      <c r="N123" s="91">
        <f>VLOOKUP($A123,'Data Vlaue (Cr)'!$C:$FB,79)</f>
        <v>50</v>
      </c>
      <c r="O123" s="92">
        <f>VLOOKUP($A123,'Data Vlaue (Cr)'!$C:$FB,82)</f>
        <v>-0.82630000000000003</v>
      </c>
    </row>
    <row r="124" spans="1:15" x14ac:dyDescent="0.25">
      <c r="A124" s="97" t="str">
        <f>'Data Vlaue (Cr)'!C119</f>
        <v>LICI</v>
      </c>
      <c r="B124" s="142">
        <f>VLOOKUP(A124,'Data Vlaue (Cr)'!C119:CW333,99,0)</f>
        <v>1538</v>
      </c>
      <c r="C124" s="90">
        <f>VLOOKUP(A124,'Data Vlaue (Cr)'!C119:CY333,101,0)</f>
        <v>-723</v>
      </c>
      <c r="D124" s="139">
        <f>VLOOKUP(A124,'Data Vlaue (Cr)'!C119:CZ333,102,0)</f>
        <v>-0.31990000000000002</v>
      </c>
      <c r="E124" s="91">
        <f>VLOOKUP($A124,'Data Vlaue (Cr)'!$C:$FB,75)</f>
        <v>891</v>
      </c>
      <c r="F124" s="91">
        <f>VLOOKUP($A124,'Data Vlaue (Cr)'!$C:$FB,77)</f>
        <v>-87</v>
      </c>
      <c r="G124" s="92">
        <f>VLOOKUP(A124,'Data Vlaue (Cr)'!C119:CB333,78,0)</f>
        <v>-8.8700000000000001E-2</v>
      </c>
      <c r="H124" s="91">
        <f>VLOOKUP($A124,'Data Vlaue (Cr)'!$C:$FB,91)</f>
        <v>383</v>
      </c>
      <c r="I124" s="91">
        <f>VLOOKUP($A124,'Data Vlaue (Cr)'!$C:$FB,93)</f>
        <v>-440</v>
      </c>
      <c r="J124" s="92">
        <f>VLOOKUP($A124,'Data Vlaue (Cr)'!$C:$FB,94)</f>
        <v>-0.53480000000000005</v>
      </c>
      <c r="K124" s="91">
        <f>VLOOKUP($A124,'Data Vlaue (Cr)'!$C:$FB,95)</f>
        <v>264</v>
      </c>
      <c r="L124" s="91">
        <f>VLOOKUP($A124,'Data Vlaue (Cr)'!$C:$FB,97)</f>
        <v>-197</v>
      </c>
      <c r="M124" s="92">
        <f>VLOOKUP($A124,'Data Vlaue (Cr)'!$C:$FB,98)</f>
        <v>-0.42720000000000002</v>
      </c>
      <c r="N124" s="91">
        <f>VLOOKUP($A124,'Data Vlaue (Cr)'!$C:$FB,79)</f>
        <v>99</v>
      </c>
      <c r="O124" s="92">
        <f>VLOOKUP($A124,'Data Vlaue (Cr)'!$C:$FB,82)</f>
        <v>-0.4143</v>
      </c>
    </row>
    <row r="125" spans="1:15" x14ac:dyDescent="0.25">
      <c r="A125" s="97" t="str">
        <f>'Data Vlaue (Cr)'!C120</f>
        <v>LODHA</v>
      </c>
      <c r="B125" s="142">
        <f>VLOOKUP(A125,'Data Vlaue (Cr)'!C120:CW334,99,0)</f>
        <v>1256</v>
      </c>
      <c r="C125" s="90">
        <f>VLOOKUP(A125,'Data Vlaue (Cr)'!C120:CY334,101,0)</f>
        <v>-492</v>
      </c>
      <c r="D125" s="139">
        <f>VLOOKUP(A125,'Data Vlaue (Cr)'!C120:CZ334,102,0)</f>
        <v>-0.28160000000000002</v>
      </c>
      <c r="E125" s="91">
        <f>VLOOKUP($A125,'Data Vlaue (Cr)'!$C:$FB,75)</f>
        <v>1125</v>
      </c>
      <c r="F125" s="91">
        <f>VLOOKUP($A125,'Data Vlaue (Cr)'!$C:$FB,77)</f>
        <v>-90</v>
      </c>
      <c r="G125" s="92">
        <f>VLOOKUP(A125,'Data Vlaue (Cr)'!C120:CB334,78,0)</f>
        <v>-7.4200000000000002E-2</v>
      </c>
      <c r="H125" s="91">
        <f>VLOOKUP($A125,'Data Vlaue (Cr)'!$C:$FB,91)</f>
        <v>68</v>
      </c>
      <c r="I125" s="91">
        <f>VLOOKUP($A125,'Data Vlaue (Cr)'!$C:$FB,93)</f>
        <v>-211</v>
      </c>
      <c r="J125" s="92">
        <f>VLOOKUP($A125,'Data Vlaue (Cr)'!$C:$FB,94)</f>
        <v>-0.75560000000000005</v>
      </c>
      <c r="K125" s="91">
        <f>VLOOKUP($A125,'Data Vlaue (Cr)'!$C:$FB,95)</f>
        <v>63</v>
      </c>
      <c r="L125" s="91">
        <f>VLOOKUP($A125,'Data Vlaue (Cr)'!$C:$FB,97)</f>
        <v>-191</v>
      </c>
      <c r="M125" s="92">
        <f>VLOOKUP($A125,'Data Vlaue (Cr)'!$C:$FB,98)</f>
        <v>-0.75160000000000005</v>
      </c>
      <c r="N125" s="91">
        <f>VLOOKUP($A125,'Data Vlaue (Cr)'!$C:$FB,79)</f>
        <v>23</v>
      </c>
      <c r="O125" s="92">
        <f>VLOOKUP($A125,'Data Vlaue (Cr)'!$C:$FB,82)</f>
        <v>-0.80079999999999996</v>
      </c>
    </row>
    <row r="126" spans="1:15" x14ac:dyDescent="0.25">
      <c r="A126" s="97" t="str">
        <f>'Data Vlaue (Cr)'!C121</f>
        <v>LT</v>
      </c>
      <c r="B126" s="142">
        <f>VLOOKUP(A126,'Data Vlaue (Cr)'!C121:CW335,99,0)</f>
        <v>8325</v>
      </c>
      <c r="C126" s="90">
        <f>VLOOKUP(A126,'Data Vlaue (Cr)'!C121:CY335,101,0)</f>
        <v>-3663</v>
      </c>
      <c r="D126" s="139">
        <f>VLOOKUP(A126,'Data Vlaue (Cr)'!C121:CZ335,102,0)</f>
        <v>-0.30559999999999998</v>
      </c>
      <c r="E126" s="91">
        <f>VLOOKUP($A126,'Data Vlaue (Cr)'!$C:$FB,75)</f>
        <v>5917</v>
      </c>
      <c r="F126" s="91">
        <f>VLOOKUP($A126,'Data Vlaue (Cr)'!$C:$FB,77)</f>
        <v>-629</v>
      </c>
      <c r="G126" s="92">
        <f>VLOOKUP(A126,'Data Vlaue (Cr)'!C121:CB335,78,0)</f>
        <v>-9.6100000000000005E-2</v>
      </c>
      <c r="H126" s="91">
        <f>VLOOKUP($A126,'Data Vlaue (Cr)'!$C:$FB,91)</f>
        <v>1035</v>
      </c>
      <c r="I126" s="91">
        <f>VLOOKUP($A126,'Data Vlaue (Cr)'!$C:$FB,93)</f>
        <v>-2016</v>
      </c>
      <c r="J126" s="92">
        <f>VLOOKUP($A126,'Data Vlaue (Cr)'!$C:$FB,94)</f>
        <v>-0.66080000000000005</v>
      </c>
      <c r="K126" s="91">
        <f>VLOOKUP($A126,'Data Vlaue (Cr)'!$C:$FB,95)</f>
        <v>1373</v>
      </c>
      <c r="L126" s="91">
        <f>VLOOKUP($A126,'Data Vlaue (Cr)'!$C:$FB,97)</f>
        <v>-1018</v>
      </c>
      <c r="M126" s="92">
        <f>VLOOKUP($A126,'Data Vlaue (Cr)'!$C:$FB,98)</f>
        <v>-0.42580000000000001</v>
      </c>
      <c r="N126" s="91">
        <f>VLOOKUP($A126,'Data Vlaue (Cr)'!$C:$FB,79)</f>
        <v>358</v>
      </c>
      <c r="O126" s="92">
        <f>VLOOKUP($A126,'Data Vlaue (Cr)'!$C:$FB,82)</f>
        <v>-0.62360000000000004</v>
      </c>
    </row>
    <row r="127" spans="1:15" x14ac:dyDescent="0.25">
      <c r="A127" s="97" t="str">
        <f>'Data Vlaue (Cr)'!C122</f>
        <v>LTF</v>
      </c>
      <c r="B127" s="142">
        <f>VLOOKUP(A127,'Data Vlaue (Cr)'!C122:CW336,99,0)</f>
        <v>1619</v>
      </c>
      <c r="C127" s="90">
        <f>VLOOKUP(A127,'Data Vlaue (Cr)'!C122:CY336,101,0)</f>
        <v>-706</v>
      </c>
      <c r="D127" s="139">
        <f>VLOOKUP(A127,'Data Vlaue (Cr)'!C122:CZ336,102,0)</f>
        <v>-0.30359999999999998</v>
      </c>
      <c r="E127" s="91">
        <f>VLOOKUP($A127,'Data Vlaue (Cr)'!$C:$FB,75)</f>
        <v>1157</v>
      </c>
      <c r="F127" s="91">
        <f>VLOOKUP($A127,'Data Vlaue (Cr)'!$C:$FB,77)</f>
        <v>-114</v>
      </c>
      <c r="G127" s="92">
        <f>VLOOKUP(A127,'Data Vlaue (Cr)'!C122:CB336,78,0)</f>
        <v>-8.9499999999999996E-2</v>
      </c>
      <c r="H127" s="91">
        <f>VLOOKUP($A127,'Data Vlaue (Cr)'!$C:$FB,91)</f>
        <v>241</v>
      </c>
      <c r="I127" s="91">
        <f>VLOOKUP($A127,'Data Vlaue (Cr)'!$C:$FB,93)</f>
        <v>-382</v>
      </c>
      <c r="J127" s="92">
        <f>VLOOKUP($A127,'Data Vlaue (Cr)'!$C:$FB,94)</f>
        <v>-0.61309999999999998</v>
      </c>
      <c r="K127" s="91">
        <f>VLOOKUP($A127,'Data Vlaue (Cr)'!$C:$FB,95)</f>
        <v>221</v>
      </c>
      <c r="L127" s="91">
        <f>VLOOKUP($A127,'Data Vlaue (Cr)'!$C:$FB,97)</f>
        <v>-210</v>
      </c>
      <c r="M127" s="92">
        <f>VLOOKUP($A127,'Data Vlaue (Cr)'!$C:$FB,98)</f>
        <v>-0.48759999999999998</v>
      </c>
      <c r="N127" s="91">
        <f>VLOOKUP($A127,'Data Vlaue (Cr)'!$C:$FB,79)</f>
        <v>116</v>
      </c>
      <c r="O127" s="92">
        <f>VLOOKUP($A127,'Data Vlaue (Cr)'!$C:$FB,82)</f>
        <v>-0.42849999999999999</v>
      </c>
    </row>
    <row r="128" spans="1:15" x14ac:dyDescent="0.25">
      <c r="A128" s="97" t="str">
        <f>'Data Vlaue (Cr)'!C123</f>
        <v>LTM</v>
      </c>
      <c r="B128" s="142">
        <f>VLOOKUP(A128,'Data Vlaue (Cr)'!C123:CW337,99,0)</f>
        <v>1939</v>
      </c>
      <c r="C128" s="90">
        <f>VLOOKUP(A128,'Data Vlaue (Cr)'!C123:CY337,101,0)</f>
        <v>-930</v>
      </c>
      <c r="D128" s="139">
        <f>VLOOKUP(A128,'Data Vlaue (Cr)'!C123:CZ337,102,0)</f>
        <v>-0.32419999999999999</v>
      </c>
      <c r="E128" s="91">
        <f>VLOOKUP($A128,'Data Vlaue (Cr)'!$C:$FB,75)</f>
        <v>1500</v>
      </c>
      <c r="F128" s="91">
        <f>VLOOKUP($A128,'Data Vlaue (Cr)'!$C:$FB,77)</f>
        <v>-276</v>
      </c>
      <c r="G128" s="92">
        <f>VLOOKUP(A128,'Data Vlaue (Cr)'!C123:CB337,78,0)</f>
        <v>-0.1555</v>
      </c>
      <c r="H128" s="91">
        <f>VLOOKUP($A128,'Data Vlaue (Cr)'!$C:$FB,91)</f>
        <v>255</v>
      </c>
      <c r="I128" s="91">
        <f>VLOOKUP($A128,'Data Vlaue (Cr)'!$C:$FB,93)</f>
        <v>-457</v>
      </c>
      <c r="J128" s="92">
        <f>VLOOKUP($A128,'Data Vlaue (Cr)'!$C:$FB,94)</f>
        <v>-0.64200000000000002</v>
      </c>
      <c r="K128" s="91">
        <f>VLOOKUP($A128,'Data Vlaue (Cr)'!$C:$FB,95)</f>
        <v>184</v>
      </c>
      <c r="L128" s="91">
        <f>VLOOKUP($A128,'Data Vlaue (Cr)'!$C:$FB,97)</f>
        <v>-197</v>
      </c>
      <c r="M128" s="92">
        <f>VLOOKUP($A128,'Data Vlaue (Cr)'!$C:$FB,98)</f>
        <v>-0.51700000000000002</v>
      </c>
      <c r="N128" s="91">
        <f>VLOOKUP($A128,'Data Vlaue (Cr)'!$C:$FB,79)</f>
        <v>146</v>
      </c>
      <c r="O128" s="92">
        <f>VLOOKUP($A128,'Data Vlaue (Cr)'!$C:$FB,82)</f>
        <v>-0.48670000000000002</v>
      </c>
    </row>
    <row r="129" spans="1:15" x14ac:dyDescent="0.25">
      <c r="A129" s="97" t="str">
        <f>'Data Vlaue (Cr)'!C124</f>
        <v>LUPIN</v>
      </c>
      <c r="B129" s="142">
        <f>VLOOKUP(A129,'Data Vlaue (Cr)'!C124:CW338,99,0)</f>
        <v>2058</v>
      </c>
      <c r="C129" s="90">
        <f>VLOOKUP(A129,'Data Vlaue (Cr)'!C124:CY338,101,0)</f>
        <v>-2284</v>
      </c>
      <c r="D129" s="139">
        <f>VLOOKUP(A129,'Data Vlaue (Cr)'!C124:CZ338,102,0)</f>
        <v>-0.52610000000000001</v>
      </c>
      <c r="E129" s="91">
        <f>VLOOKUP($A129,'Data Vlaue (Cr)'!$C:$FB,75)</f>
        <v>1581</v>
      </c>
      <c r="F129" s="91">
        <f>VLOOKUP($A129,'Data Vlaue (Cr)'!$C:$FB,77)</f>
        <v>-287</v>
      </c>
      <c r="G129" s="92">
        <f>VLOOKUP(A129,'Data Vlaue (Cr)'!C124:CB338,78,0)</f>
        <v>-0.1535</v>
      </c>
      <c r="H129" s="91">
        <f>VLOOKUP($A129,'Data Vlaue (Cr)'!$C:$FB,91)</f>
        <v>263</v>
      </c>
      <c r="I129" s="91">
        <f>VLOOKUP($A129,'Data Vlaue (Cr)'!$C:$FB,93)</f>
        <v>-1388</v>
      </c>
      <c r="J129" s="92">
        <f>VLOOKUP($A129,'Data Vlaue (Cr)'!$C:$FB,94)</f>
        <v>-0.84050000000000002</v>
      </c>
      <c r="K129" s="91">
        <f>VLOOKUP($A129,'Data Vlaue (Cr)'!$C:$FB,95)</f>
        <v>214</v>
      </c>
      <c r="L129" s="91">
        <f>VLOOKUP($A129,'Data Vlaue (Cr)'!$C:$FB,97)</f>
        <v>-610</v>
      </c>
      <c r="M129" s="92">
        <f>VLOOKUP($A129,'Data Vlaue (Cr)'!$C:$FB,98)</f>
        <v>-0.74050000000000005</v>
      </c>
      <c r="N129" s="91">
        <f>VLOOKUP($A129,'Data Vlaue (Cr)'!$C:$FB,79)</f>
        <v>497</v>
      </c>
      <c r="O129" s="92">
        <f>VLOOKUP($A129,'Data Vlaue (Cr)'!$C:$FB,82)</f>
        <v>-1.5299999999999999E-2</v>
      </c>
    </row>
    <row r="130" spans="1:15" x14ac:dyDescent="0.25">
      <c r="A130" s="97" t="str">
        <f>'Data Vlaue (Cr)'!C125</f>
        <v>M&amp;M</v>
      </c>
      <c r="B130" s="142">
        <f>VLOOKUP(A130,'Data Vlaue (Cr)'!C125:CW339,99,0)</f>
        <v>7376</v>
      </c>
      <c r="C130" s="90">
        <f>VLOOKUP(A130,'Data Vlaue (Cr)'!C125:CY339,101,0)</f>
        <v>-1959</v>
      </c>
      <c r="D130" s="139">
        <f>VLOOKUP(A130,'Data Vlaue (Cr)'!C125:CZ339,102,0)</f>
        <v>-0.2099</v>
      </c>
      <c r="E130" s="91">
        <f>VLOOKUP($A130,'Data Vlaue (Cr)'!$C:$FB,75)</f>
        <v>5757</v>
      </c>
      <c r="F130" s="91">
        <f>VLOOKUP($A130,'Data Vlaue (Cr)'!$C:$FB,77)</f>
        <v>-145</v>
      </c>
      <c r="G130" s="92">
        <f>VLOOKUP(A130,'Data Vlaue (Cr)'!C125:CB339,78,0)</f>
        <v>-2.4500000000000001E-2</v>
      </c>
      <c r="H130" s="91">
        <f>VLOOKUP($A130,'Data Vlaue (Cr)'!$C:$FB,91)</f>
        <v>879</v>
      </c>
      <c r="I130" s="91">
        <f>VLOOKUP($A130,'Data Vlaue (Cr)'!$C:$FB,93)</f>
        <v>-946</v>
      </c>
      <c r="J130" s="92">
        <f>VLOOKUP($A130,'Data Vlaue (Cr)'!$C:$FB,94)</f>
        <v>-0.51839999999999997</v>
      </c>
      <c r="K130" s="91">
        <f>VLOOKUP($A130,'Data Vlaue (Cr)'!$C:$FB,95)</f>
        <v>741</v>
      </c>
      <c r="L130" s="91">
        <f>VLOOKUP($A130,'Data Vlaue (Cr)'!$C:$FB,97)</f>
        <v>-869</v>
      </c>
      <c r="M130" s="92">
        <f>VLOOKUP($A130,'Data Vlaue (Cr)'!$C:$FB,98)</f>
        <v>-0.53959999999999997</v>
      </c>
      <c r="N130" s="91">
        <f>VLOOKUP($A130,'Data Vlaue (Cr)'!$C:$FB,79)</f>
        <v>193</v>
      </c>
      <c r="O130" s="92">
        <f>VLOOKUP($A130,'Data Vlaue (Cr)'!$C:$FB,82)</f>
        <v>-0.59240000000000004</v>
      </c>
    </row>
    <row r="131" spans="1:15" x14ac:dyDescent="0.25">
      <c r="A131" s="97" t="str">
        <f>'Data Vlaue (Cr)'!C126</f>
        <v>MANAPPURAM</v>
      </c>
      <c r="B131" s="142">
        <f>VLOOKUP(A131,'Data Vlaue (Cr)'!C126:CW340,99,0)</f>
        <v>1947</v>
      </c>
      <c r="C131" s="90">
        <f>VLOOKUP(A131,'Data Vlaue (Cr)'!C126:CY340,101,0)</f>
        <v>-564</v>
      </c>
      <c r="D131" s="139">
        <f>VLOOKUP(A131,'Data Vlaue (Cr)'!C126:CZ340,102,0)</f>
        <v>-0.22450000000000001</v>
      </c>
      <c r="E131" s="91">
        <f>VLOOKUP($A131,'Data Vlaue (Cr)'!$C:$FB,75)</f>
        <v>1582</v>
      </c>
      <c r="F131" s="91">
        <f>VLOOKUP($A131,'Data Vlaue (Cr)'!$C:$FB,77)</f>
        <v>-208</v>
      </c>
      <c r="G131" s="92">
        <f>VLOOKUP(A131,'Data Vlaue (Cr)'!C126:CB340,78,0)</f>
        <v>-0.1163</v>
      </c>
      <c r="H131" s="91">
        <f>VLOOKUP($A131,'Data Vlaue (Cr)'!$C:$FB,91)</f>
        <v>248</v>
      </c>
      <c r="I131" s="91">
        <f>VLOOKUP($A131,'Data Vlaue (Cr)'!$C:$FB,93)</f>
        <v>-133</v>
      </c>
      <c r="J131" s="92">
        <f>VLOOKUP($A131,'Data Vlaue (Cr)'!$C:$FB,94)</f>
        <v>-0.3498</v>
      </c>
      <c r="K131" s="91">
        <f>VLOOKUP($A131,'Data Vlaue (Cr)'!$C:$FB,95)</f>
        <v>117</v>
      </c>
      <c r="L131" s="91">
        <f>VLOOKUP($A131,'Data Vlaue (Cr)'!$C:$FB,97)</f>
        <v>-222</v>
      </c>
      <c r="M131" s="92">
        <f>VLOOKUP($A131,'Data Vlaue (Cr)'!$C:$FB,98)</f>
        <v>-0.65549999999999997</v>
      </c>
      <c r="N131" s="91">
        <f>VLOOKUP($A131,'Data Vlaue (Cr)'!$C:$FB,79)</f>
        <v>220</v>
      </c>
      <c r="O131" s="92">
        <f>VLOOKUP($A131,'Data Vlaue (Cr)'!$C:$FB,82)</f>
        <v>-0.35730000000000001</v>
      </c>
    </row>
    <row r="132" spans="1:15" x14ac:dyDescent="0.25">
      <c r="A132" s="97" t="str">
        <f>'Data Vlaue (Cr)'!C127</f>
        <v>MANKIND</v>
      </c>
      <c r="B132" s="142">
        <f>VLOOKUP(A132,'Data Vlaue (Cr)'!C127:CW341,99,0)</f>
        <v>1016</v>
      </c>
      <c r="C132" s="90">
        <f>VLOOKUP(A132,'Data Vlaue (Cr)'!C127:CY341,101,0)</f>
        <v>-454</v>
      </c>
      <c r="D132" s="139">
        <f>VLOOKUP(A132,'Data Vlaue (Cr)'!C127:CZ341,102,0)</f>
        <v>-0.30909999999999999</v>
      </c>
      <c r="E132" s="91">
        <f>VLOOKUP($A132,'Data Vlaue (Cr)'!$C:$FB,75)</f>
        <v>887</v>
      </c>
      <c r="F132" s="91">
        <f>VLOOKUP($A132,'Data Vlaue (Cr)'!$C:$FB,77)</f>
        <v>-84</v>
      </c>
      <c r="G132" s="92">
        <f>VLOOKUP(A132,'Data Vlaue (Cr)'!C127:CB341,78,0)</f>
        <v>-8.6199999999999999E-2</v>
      </c>
      <c r="H132" s="91">
        <f>VLOOKUP($A132,'Data Vlaue (Cr)'!$C:$FB,91)</f>
        <v>78</v>
      </c>
      <c r="I132" s="91">
        <f>VLOOKUP($A132,'Data Vlaue (Cr)'!$C:$FB,93)</f>
        <v>-239</v>
      </c>
      <c r="J132" s="92">
        <f>VLOOKUP($A132,'Data Vlaue (Cr)'!$C:$FB,94)</f>
        <v>-0.75290000000000001</v>
      </c>
      <c r="K132" s="91">
        <f>VLOOKUP($A132,'Data Vlaue (Cr)'!$C:$FB,95)</f>
        <v>51</v>
      </c>
      <c r="L132" s="91">
        <f>VLOOKUP($A132,'Data Vlaue (Cr)'!$C:$FB,97)</f>
        <v>-132</v>
      </c>
      <c r="M132" s="92">
        <f>VLOOKUP($A132,'Data Vlaue (Cr)'!$C:$FB,98)</f>
        <v>-0.72270000000000001</v>
      </c>
      <c r="N132" s="91">
        <f>VLOOKUP($A132,'Data Vlaue (Cr)'!$C:$FB,79)</f>
        <v>63</v>
      </c>
      <c r="O132" s="92">
        <f>VLOOKUP($A132,'Data Vlaue (Cr)'!$C:$FB,82)</f>
        <v>-0.45219999999999999</v>
      </c>
    </row>
    <row r="133" spans="1:15" x14ac:dyDescent="0.25">
      <c r="A133" s="97" t="str">
        <f>'Data Vlaue (Cr)'!C128</f>
        <v>MARICO</v>
      </c>
      <c r="B133" s="142">
        <f>VLOOKUP(A133,'Data Vlaue (Cr)'!C128:CW342,99,0)</f>
        <v>1591</v>
      </c>
      <c r="C133" s="90">
        <f>VLOOKUP(A133,'Data Vlaue (Cr)'!C128:CY342,101,0)</f>
        <v>-712</v>
      </c>
      <c r="D133" s="139">
        <f>VLOOKUP(A133,'Data Vlaue (Cr)'!C128:CZ342,102,0)</f>
        <v>-0.30909999999999999</v>
      </c>
      <c r="E133" s="91">
        <f>VLOOKUP($A133,'Data Vlaue (Cr)'!$C:$FB,75)</f>
        <v>1473</v>
      </c>
      <c r="F133" s="91">
        <f>VLOOKUP($A133,'Data Vlaue (Cr)'!$C:$FB,77)</f>
        <v>-36</v>
      </c>
      <c r="G133" s="92">
        <f>VLOOKUP(A133,'Data Vlaue (Cr)'!C128:CB342,78,0)</f>
        <v>-2.3900000000000001E-2</v>
      </c>
      <c r="H133" s="91">
        <f>VLOOKUP($A133,'Data Vlaue (Cr)'!$C:$FB,91)</f>
        <v>62</v>
      </c>
      <c r="I133" s="91">
        <f>VLOOKUP($A133,'Data Vlaue (Cr)'!$C:$FB,93)</f>
        <v>-407</v>
      </c>
      <c r="J133" s="92">
        <f>VLOOKUP($A133,'Data Vlaue (Cr)'!$C:$FB,94)</f>
        <v>-0.86729999999999996</v>
      </c>
      <c r="K133" s="91">
        <f>VLOOKUP($A133,'Data Vlaue (Cr)'!$C:$FB,95)</f>
        <v>55</v>
      </c>
      <c r="L133" s="91">
        <f>VLOOKUP($A133,'Data Vlaue (Cr)'!$C:$FB,97)</f>
        <v>-269</v>
      </c>
      <c r="M133" s="92">
        <f>VLOOKUP($A133,'Data Vlaue (Cr)'!$C:$FB,98)</f>
        <v>-0.82920000000000005</v>
      </c>
      <c r="N133" s="91">
        <f>VLOOKUP($A133,'Data Vlaue (Cr)'!$C:$FB,79)</f>
        <v>54</v>
      </c>
      <c r="O133" s="92">
        <f>VLOOKUP($A133,'Data Vlaue (Cr)'!$C:$FB,82)</f>
        <v>-0.54830000000000001</v>
      </c>
    </row>
    <row r="134" spans="1:15" x14ac:dyDescent="0.25">
      <c r="A134" s="97" t="str">
        <f>'Data Vlaue (Cr)'!C129</f>
        <v>MARUTI</v>
      </c>
      <c r="B134" s="142">
        <f>VLOOKUP(A134,'Data Vlaue (Cr)'!C129:CW343,99,0)</f>
        <v>5364</v>
      </c>
      <c r="C134" s="90">
        <f>VLOOKUP(A134,'Data Vlaue (Cr)'!C129:CY343,101,0)</f>
        <v>-3667</v>
      </c>
      <c r="D134" s="139">
        <f>VLOOKUP(A134,'Data Vlaue (Cr)'!C129:CZ343,102,0)</f>
        <v>-0.40600000000000003</v>
      </c>
      <c r="E134" s="91">
        <f>VLOOKUP($A134,'Data Vlaue (Cr)'!$C:$FB,75)</f>
        <v>4134</v>
      </c>
      <c r="F134" s="91">
        <f>VLOOKUP($A134,'Data Vlaue (Cr)'!$C:$FB,77)</f>
        <v>-165</v>
      </c>
      <c r="G134" s="92">
        <f>VLOOKUP(A134,'Data Vlaue (Cr)'!C129:CB343,78,0)</f>
        <v>-3.8399999999999997E-2</v>
      </c>
      <c r="H134" s="91">
        <f>VLOOKUP($A134,'Data Vlaue (Cr)'!$C:$FB,91)</f>
        <v>716</v>
      </c>
      <c r="I134" s="91">
        <f>VLOOKUP($A134,'Data Vlaue (Cr)'!$C:$FB,93)</f>
        <v>-2603</v>
      </c>
      <c r="J134" s="92">
        <f>VLOOKUP($A134,'Data Vlaue (Cr)'!$C:$FB,94)</f>
        <v>-0.78420000000000001</v>
      </c>
      <c r="K134" s="91">
        <f>VLOOKUP($A134,'Data Vlaue (Cr)'!$C:$FB,95)</f>
        <v>514</v>
      </c>
      <c r="L134" s="91">
        <f>VLOOKUP($A134,'Data Vlaue (Cr)'!$C:$FB,97)</f>
        <v>-899</v>
      </c>
      <c r="M134" s="92">
        <f>VLOOKUP($A134,'Data Vlaue (Cr)'!$C:$FB,98)</f>
        <v>-0.63590000000000002</v>
      </c>
      <c r="N134" s="91">
        <f>VLOOKUP($A134,'Data Vlaue (Cr)'!$C:$FB,79)</f>
        <v>242</v>
      </c>
      <c r="O134" s="92">
        <f>VLOOKUP($A134,'Data Vlaue (Cr)'!$C:$FB,82)</f>
        <v>-0.32929999999999998</v>
      </c>
    </row>
    <row r="135" spans="1:15" x14ac:dyDescent="0.25">
      <c r="A135" s="97" t="str">
        <f>'Data Vlaue (Cr)'!C130</f>
        <v>MAXHEALTH</v>
      </c>
      <c r="B135" s="142">
        <f>VLOOKUP(A135,'Data Vlaue (Cr)'!C130:CW344,99,0)</f>
        <v>2021</v>
      </c>
      <c r="C135" s="90">
        <f>VLOOKUP(A135,'Data Vlaue (Cr)'!C130:CY344,101,0)</f>
        <v>-609</v>
      </c>
      <c r="D135" s="139">
        <f>VLOOKUP(A135,'Data Vlaue (Cr)'!C130:CZ344,102,0)</f>
        <v>-0.23150000000000001</v>
      </c>
      <c r="E135" s="91">
        <f>VLOOKUP($A135,'Data Vlaue (Cr)'!$C:$FB,75)</f>
        <v>1374</v>
      </c>
      <c r="F135" s="91">
        <f>VLOOKUP($A135,'Data Vlaue (Cr)'!$C:$FB,77)</f>
        <v>-95</v>
      </c>
      <c r="G135" s="92">
        <f>VLOOKUP(A135,'Data Vlaue (Cr)'!C130:CB344,78,0)</f>
        <v>-6.4699999999999994E-2</v>
      </c>
      <c r="H135" s="91">
        <f>VLOOKUP($A135,'Data Vlaue (Cr)'!$C:$FB,91)</f>
        <v>454</v>
      </c>
      <c r="I135" s="91">
        <f>VLOOKUP($A135,'Data Vlaue (Cr)'!$C:$FB,93)</f>
        <v>-339</v>
      </c>
      <c r="J135" s="92">
        <f>VLOOKUP($A135,'Data Vlaue (Cr)'!$C:$FB,94)</f>
        <v>-0.4274</v>
      </c>
      <c r="K135" s="91">
        <f>VLOOKUP($A135,'Data Vlaue (Cr)'!$C:$FB,95)</f>
        <v>193</v>
      </c>
      <c r="L135" s="91">
        <f>VLOOKUP($A135,'Data Vlaue (Cr)'!$C:$FB,97)</f>
        <v>-175</v>
      </c>
      <c r="M135" s="92">
        <f>VLOOKUP($A135,'Data Vlaue (Cr)'!$C:$FB,98)</f>
        <v>-0.47549999999999998</v>
      </c>
      <c r="N135" s="91">
        <f>VLOOKUP($A135,'Data Vlaue (Cr)'!$C:$FB,79)</f>
        <v>124</v>
      </c>
      <c r="O135" s="92">
        <f>VLOOKUP($A135,'Data Vlaue (Cr)'!$C:$FB,82)</f>
        <v>-0.34560000000000002</v>
      </c>
    </row>
    <row r="136" spans="1:15" x14ac:dyDescent="0.25">
      <c r="A136" s="97" t="str">
        <f>'Data Vlaue (Cr)'!C131</f>
        <v>MAZDOCK</v>
      </c>
      <c r="B136" s="142">
        <f>VLOOKUP(A136,'Data Vlaue (Cr)'!C131:CW345,99,0)</f>
        <v>1425</v>
      </c>
      <c r="C136" s="90">
        <f>VLOOKUP(A136,'Data Vlaue (Cr)'!C131:CY345,101,0)</f>
        <v>-1489</v>
      </c>
      <c r="D136" s="139">
        <f>VLOOKUP(A136,'Data Vlaue (Cr)'!C131:CZ345,102,0)</f>
        <v>-0.51090000000000002</v>
      </c>
      <c r="E136" s="91">
        <f>VLOOKUP($A136,'Data Vlaue (Cr)'!$C:$FB,75)</f>
        <v>1043</v>
      </c>
      <c r="F136" s="91">
        <f>VLOOKUP($A136,'Data Vlaue (Cr)'!$C:$FB,77)</f>
        <v>-207</v>
      </c>
      <c r="G136" s="92">
        <f>VLOOKUP(A136,'Data Vlaue (Cr)'!C131:CB345,78,0)</f>
        <v>-0.16539999999999999</v>
      </c>
      <c r="H136" s="91">
        <f>VLOOKUP($A136,'Data Vlaue (Cr)'!$C:$FB,91)</f>
        <v>217</v>
      </c>
      <c r="I136" s="91">
        <f>VLOOKUP($A136,'Data Vlaue (Cr)'!$C:$FB,93)</f>
        <v>-926</v>
      </c>
      <c r="J136" s="92">
        <f>VLOOKUP($A136,'Data Vlaue (Cr)'!$C:$FB,94)</f>
        <v>-0.81</v>
      </c>
      <c r="K136" s="91">
        <f>VLOOKUP($A136,'Data Vlaue (Cr)'!$C:$FB,95)</f>
        <v>165</v>
      </c>
      <c r="L136" s="91">
        <f>VLOOKUP($A136,'Data Vlaue (Cr)'!$C:$FB,97)</f>
        <v>-356</v>
      </c>
      <c r="M136" s="92">
        <f>VLOOKUP($A136,'Data Vlaue (Cr)'!$C:$FB,98)</f>
        <v>-0.68340000000000001</v>
      </c>
      <c r="N136" s="91">
        <f>VLOOKUP($A136,'Data Vlaue (Cr)'!$C:$FB,79)</f>
        <v>109</v>
      </c>
      <c r="O136" s="92">
        <f>VLOOKUP($A136,'Data Vlaue (Cr)'!$C:$FB,82)</f>
        <v>-0.6129</v>
      </c>
    </row>
    <row r="137" spans="1:15" x14ac:dyDescent="0.25">
      <c r="A137" s="97" t="str">
        <f>'Data Vlaue (Cr)'!C132</f>
        <v>MCX</v>
      </c>
      <c r="B137" s="142">
        <f>VLOOKUP(A137,'Data Vlaue (Cr)'!C132:CW346,99,0)</f>
        <v>5717</v>
      </c>
      <c r="C137" s="90">
        <f>VLOOKUP(A137,'Data Vlaue (Cr)'!C132:CY346,101,0)</f>
        <v>-2642</v>
      </c>
      <c r="D137" s="139">
        <f>VLOOKUP(A137,'Data Vlaue (Cr)'!C132:CZ346,102,0)</f>
        <v>-0.316</v>
      </c>
      <c r="E137" s="91">
        <f>VLOOKUP($A137,'Data Vlaue (Cr)'!$C:$FB,75)</f>
        <v>3482</v>
      </c>
      <c r="F137" s="91">
        <f>VLOOKUP($A137,'Data Vlaue (Cr)'!$C:$FB,77)</f>
        <v>-272</v>
      </c>
      <c r="G137" s="92">
        <f>VLOOKUP(A137,'Data Vlaue (Cr)'!C132:CB346,78,0)</f>
        <v>-7.2400000000000006E-2</v>
      </c>
      <c r="H137" s="91">
        <f>VLOOKUP($A137,'Data Vlaue (Cr)'!$C:$FB,91)</f>
        <v>1342</v>
      </c>
      <c r="I137" s="91">
        <f>VLOOKUP($A137,'Data Vlaue (Cr)'!$C:$FB,93)</f>
        <v>-1311</v>
      </c>
      <c r="J137" s="92">
        <f>VLOOKUP($A137,'Data Vlaue (Cr)'!$C:$FB,94)</f>
        <v>-0.49409999999999998</v>
      </c>
      <c r="K137" s="91">
        <f>VLOOKUP($A137,'Data Vlaue (Cr)'!$C:$FB,95)</f>
        <v>894</v>
      </c>
      <c r="L137" s="91">
        <f>VLOOKUP($A137,'Data Vlaue (Cr)'!$C:$FB,97)</f>
        <v>-1060</v>
      </c>
      <c r="M137" s="92">
        <f>VLOOKUP($A137,'Data Vlaue (Cr)'!$C:$FB,98)</f>
        <v>-0.54239999999999999</v>
      </c>
      <c r="N137" s="91">
        <f>VLOOKUP($A137,'Data Vlaue (Cr)'!$C:$FB,79)</f>
        <v>287</v>
      </c>
      <c r="O137" s="92">
        <f>VLOOKUP($A137,'Data Vlaue (Cr)'!$C:$FB,82)</f>
        <v>-0.498</v>
      </c>
    </row>
    <row r="138" spans="1:15" x14ac:dyDescent="0.25">
      <c r="A138" s="97" t="str">
        <f>'Data Vlaue (Cr)'!C133</f>
        <v>MFSL</v>
      </c>
      <c r="B138" s="142">
        <f>VLOOKUP(A138,'Data Vlaue (Cr)'!C133:CW347,99,0)</f>
        <v>1817</v>
      </c>
      <c r="C138" s="90">
        <f>VLOOKUP(A138,'Data Vlaue (Cr)'!C133:CY347,101,0)</f>
        <v>-255</v>
      </c>
      <c r="D138" s="139">
        <f>VLOOKUP(A138,'Data Vlaue (Cr)'!C133:CZ347,102,0)</f>
        <v>-0.1231</v>
      </c>
      <c r="E138" s="91">
        <f>VLOOKUP($A138,'Data Vlaue (Cr)'!$C:$FB,75)</f>
        <v>1689</v>
      </c>
      <c r="F138" s="91">
        <f>VLOOKUP($A138,'Data Vlaue (Cr)'!$C:$FB,77)</f>
        <v>2</v>
      </c>
      <c r="G138" s="92">
        <f>VLOOKUP(A138,'Data Vlaue (Cr)'!C133:CB347,78,0)</f>
        <v>1.1999999999999999E-3</v>
      </c>
      <c r="H138" s="91">
        <f>VLOOKUP($A138,'Data Vlaue (Cr)'!$C:$FB,91)</f>
        <v>73</v>
      </c>
      <c r="I138" s="91">
        <f>VLOOKUP($A138,'Data Vlaue (Cr)'!$C:$FB,93)</f>
        <v>-160</v>
      </c>
      <c r="J138" s="92">
        <f>VLOOKUP($A138,'Data Vlaue (Cr)'!$C:$FB,94)</f>
        <v>-0.6855</v>
      </c>
      <c r="K138" s="91">
        <f>VLOOKUP($A138,'Data Vlaue (Cr)'!$C:$FB,95)</f>
        <v>54</v>
      </c>
      <c r="L138" s="91">
        <f>VLOOKUP($A138,'Data Vlaue (Cr)'!$C:$FB,97)</f>
        <v>-97</v>
      </c>
      <c r="M138" s="92">
        <f>VLOOKUP($A138,'Data Vlaue (Cr)'!$C:$FB,98)</f>
        <v>-0.64129999999999998</v>
      </c>
      <c r="N138" s="91">
        <f>VLOOKUP($A138,'Data Vlaue (Cr)'!$C:$FB,79)</f>
        <v>64</v>
      </c>
      <c r="O138" s="92">
        <f>VLOOKUP($A138,'Data Vlaue (Cr)'!$C:$FB,82)</f>
        <v>-0.69750000000000001</v>
      </c>
    </row>
    <row r="139" spans="1:15" x14ac:dyDescent="0.25">
      <c r="A139" s="97" t="str">
        <f>'Data Vlaue (Cr)'!C134</f>
        <v>MIDCPNIFTY</v>
      </c>
      <c r="B139" s="142">
        <f>VLOOKUP(A139,'Data Vlaue (Cr)'!C134:CW348,99,0)</f>
        <v>8044</v>
      </c>
      <c r="C139" s="90">
        <f>VLOOKUP(A139,'Data Vlaue (Cr)'!C134:CY348,101,0)</f>
        <v>-21430</v>
      </c>
      <c r="D139" s="139">
        <f>VLOOKUP(A139,'Data Vlaue (Cr)'!C134:CZ348,102,0)</f>
        <v>-0.72709999999999997</v>
      </c>
      <c r="E139" s="91">
        <f>VLOOKUP($A139,'Data Vlaue (Cr)'!$C:$FB,75)</f>
        <v>3041</v>
      </c>
      <c r="F139" s="91">
        <f>VLOOKUP($A139,'Data Vlaue (Cr)'!$C:$FB,77)</f>
        <v>-547</v>
      </c>
      <c r="G139" s="92">
        <f>VLOOKUP(A139,'Data Vlaue (Cr)'!C134:CB348,78,0)</f>
        <v>-0.15240000000000001</v>
      </c>
      <c r="H139" s="91">
        <f>VLOOKUP($A139,'Data Vlaue (Cr)'!$C:$FB,91)</f>
        <v>2359</v>
      </c>
      <c r="I139" s="91">
        <f>VLOOKUP($A139,'Data Vlaue (Cr)'!$C:$FB,93)</f>
        <v>-9205</v>
      </c>
      <c r="J139" s="92">
        <f>VLOOKUP($A139,'Data Vlaue (Cr)'!$C:$FB,94)</f>
        <v>-0.79600000000000004</v>
      </c>
      <c r="K139" s="91">
        <f>VLOOKUP($A139,'Data Vlaue (Cr)'!$C:$FB,95)</f>
        <v>2644</v>
      </c>
      <c r="L139" s="91">
        <f>VLOOKUP($A139,'Data Vlaue (Cr)'!$C:$FB,97)</f>
        <v>-11678</v>
      </c>
      <c r="M139" s="92">
        <f>VLOOKUP($A139,'Data Vlaue (Cr)'!$C:$FB,98)</f>
        <v>-0.81540000000000001</v>
      </c>
      <c r="N139" s="91">
        <f>VLOOKUP($A139,'Data Vlaue (Cr)'!$C:$FB,79)</f>
        <v>522</v>
      </c>
      <c r="O139" s="92">
        <f>VLOOKUP($A139,'Data Vlaue (Cr)'!$C:$FB,82)</f>
        <v>-0.3659</v>
      </c>
    </row>
    <row r="140" spans="1:15" x14ac:dyDescent="0.25">
      <c r="A140" s="97" t="str">
        <f>'Data Vlaue (Cr)'!C135</f>
        <v>MOTHERSON</v>
      </c>
      <c r="B140" s="142">
        <f>VLOOKUP(A140,'Data Vlaue (Cr)'!C135:CW349,99,0)</f>
        <v>2630</v>
      </c>
      <c r="C140" s="90">
        <f>VLOOKUP(A140,'Data Vlaue (Cr)'!C135:CY349,101,0)</f>
        <v>-962</v>
      </c>
      <c r="D140" s="139">
        <f>VLOOKUP(A140,'Data Vlaue (Cr)'!C135:CZ349,102,0)</f>
        <v>-0.26779999999999998</v>
      </c>
      <c r="E140" s="91">
        <f>VLOOKUP($A140,'Data Vlaue (Cr)'!$C:$FB,75)</f>
        <v>2101</v>
      </c>
      <c r="F140" s="91">
        <f>VLOOKUP($A140,'Data Vlaue (Cr)'!$C:$FB,77)</f>
        <v>-196</v>
      </c>
      <c r="G140" s="92">
        <f>VLOOKUP(A140,'Data Vlaue (Cr)'!C135:CB349,78,0)</f>
        <v>-8.5199999999999998E-2</v>
      </c>
      <c r="H140" s="91">
        <f>VLOOKUP($A140,'Data Vlaue (Cr)'!$C:$FB,91)</f>
        <v>314</v>
      </c>
      <c r="I140" s="91">
        <f>VLOOKUP($A140,'Data Vlaue (Cr)'!$C:$FB,93)</f>
        <v>-393</v>
      </c>
      <c r="J140" s="92">
        <f>VLOOKUP($A140,'Data Vlaue (Cr)'!$C:$FB,94)</f>
        <v>-0.55610000000000004</v>
      </c>
      <c r="K140" s="91">
        <f>VLOOKUP($A140,'Data Vlaue (Cr)'!$C:$FB,95)</f>
        <v>215</v>
      </c>
      <c r="L140" s="91">
        <f>VLOOKUP($A140,'Data Vlaue (Cr)'!$C:$FB,97)</f>
        <v>-373</v>
      </c>
      <c r="M140" s="92">
        <f>VLOOKUP($A140,'Data Vlaue (Cr)'!$C:$FB,98)</f>
        <v>-0.63449999999999995</v>
      </c>
      <c r="N140" s="91">
        <f>VLOOKUP($A140,'Data Vlaue (Cr)'!$C:$FB,79)</f>
        <v>250</v>
      </c>
      <c r="O140" s="92">
        <f>VLOOKUP($A140,'Data Vlaue (Cr)'!$C:$FB,82)</f>
        <v>-0.41570000000000001</v>
      </c>
    </row>
    <row r="141" spans="1:15" x14ac:dyDescent="0.25">
      <c r="A141" s="97" t="str">
        <f>'Data Vlaue (Cr)'!C136</f>
        <v>MOTILALOFS</v>
      </c>
      <c r="B141" s="142">
        <f>VLOOKUP(A141,'Data Vlaue (Cr)'!C136:CW350,99,0)</f>
        <v>464</v>
      </c>
      <c r="C141" s="90">
        <f>VLOOKUP(A141,'Data Vlaue (Cr)'!C136:CY350,101,0)</f>
        <v>-241</v>
      </c>
      <c r="D141" s="139">
        <f>VLOOKUP(A141,'Data Vlaue (Cr)'!C136:CZ350,102,0)</f>
        <v>-0.3417</v>
      </c>
      <c r="E141" s="91">
        <f>VLOOKUP($A141,'Data Vlaue (Cr)'!$C:$FB,75)</f>
        <v>353</v>
      </c>
      <c r="F141" s="91">
        <f>VLOOKUP($A141,'Data Vlaue (Cr)'!$C:$FB,77)</f>
        <v>-17</v>
      </c>
      <c r="G141" s="92">
        <f>VLOOKUP(A141,'Data Vlaue (Cr)'!C136:CB350,78,0)</f>
        <v>-4.65E-2</v>
      </c>
      <c r="H141" s="91">
        <f>VLOOKUP($A141,'Data Vlaue (Cr)'!$C:$FB,91)</f>
        <v>75</v>
      </c>
      <c r="I141" s="91">
        <f>VLOOKUP($A141,'Data Vlaue (Cr)'!$C:$FB,93)</f>
        <v>-128</v>
      </c>
      <c r="J141" s="92">
        <f>VLOOKUP($A141,'Data Vlaue (Cr)'!$C:$FB,94)</f>
        <v>-0.63149999999999995</v>
      </c>
      <c r="K141" s="91">
        <f>VLOOKUP($A141,'Data Vlaue (Cr)'!$C:$FB,95)</f>
        <v>37</v>
      </c>
      <c r="L141" s="91">
        <f>VLOOKUP($A141,'Data Vlaue (Cr)'!$C:$FB,97)</f>
        <v>-96</v>
      </c>
      <c r="M141" s="92">
        <f>VLOOKUP($A141,'Data Vlaue (Cr)'!$C:$FB,98)</f>
        <v>-0.72360000000000002</v>
      </c>
      <c r="N141" s="91">
        <f>VLOOKUP($A141,'Data Vlaue (Cr)'!$C:$FB,79)</f>
        <v>20</v>
      </c>
      <c r="O141" s="92">
        <f>VLOOKUP($A141,'Data Vlaue (Cr)'!$C:$FB,82)</f>
        <v>-0.60850000000000004</v>
      </c>
    </row>
    <row r="142" spans="1:15" x14ac:dyDescent="0.25">
      <c r="A142" s="97" t="str">
        <f>'Data Vlaue (Cr)'!C137</f>
        <v>MPHASIS</v>
      </c>
      <c r="B142" s="142">
        <f>VLOOKUP(A142,'Data Vlaue (Cr)'!C137:CW351,99,0)</f>
        <v>1163</v>
      </c>
      <c r="C142" s="90">
        <f>VLOOKUP(A142,'Data Vlaue (Cr)'!C137:CY351,101,0)</f>
        <v>-646</v>
      </c>
      <c r="D142" s="139">
        <f>VLOOKUP(A142,'Data Vlaue (Cr)'!C137:CZ351,102,0)</f>
        <v>-0.35709999999999997</v>
      </c>
      <c r="E142" s="91">
        <f>VLOOKUP($A142,'Data Vlaue (Cr)'!$C:$FB,75)</f>
        <v>973</v>
      </c>
      <c r="F142" s="91">
        <f>VLOOKUP($A142,'Data Vlaue (Cr)'!$C:$FB,77)</f>
        <v>-154</v>
      </c>
      <c r="G142" s="92">
        <f>VLOOKUP(A142,'Data Vlaue (Cr)'!C137:CB351,78,0)</f>
        <v>-0.1363</v>
      </c>
      <c r="H142" s="91">
        <f>VLOOKUP($A142,'Data Vlaue (Cr)'!$C:$FB,91)</f>
        <v>103</v>
      </c>
      <c r="I142" s="91">
        <f>VLOOKUP($A142,'Data Vlaue (Cr)'!$C:$FB,93)</f>
        <v>-269</v>
      </c>
      <c r="J142" s="92">
        <f>VLOOKUP($A142,'Data Vlaue (Cr)'!$C:$FB,94)</f>
        <v>-0.72299999999999998</v>
      </c>
      <c r="K142" s="91">
        <f>VLOOKUP($A142,'Data Vlaue (Cr)'!$C:$FB,95)</f>
        <v>87</v>
      </c>
      <c r="L142" s="91">
        <f>VLOOKUP($A142,'Data Vlaue (Cr)'!$C:$FB,97)</f>
        <v>-224</v>
      </c>
      <c r="M142" s="92">
        <f>VLOOKUP($A142,'Data Vlaue (Cr)'!$C:$FB,98)</f>
        <v>-0.71970000000000001</v>
      </c>
      <c r="N142" s="91">
        <f>VLOOKUP($A142,'Data Vlaue (Cr)'!$C:$FB,79)</f>
        <v>163</v>
      </c>
      <c r="O142" s="92">
        <f>VLOOKUP($A142,'Data Vlaue (Cr)'!$C:$FB,82)</f>
        <v>-0.39460000000000001</v>
      </c>
    </row>
    <row r="143" spans="1:15" x14ac:dyDescent="0.25">
      <c r="A143" s="97" t="str">
        <f>'Data Vlaue (Cr)'!C138</f>
        <v>MUTHOOTFIN</v>
      </c>
      <c r="B143" s="142">
        <f>VLOOKUP(A143,'Data Vlaue (Cr)'!C138:CW352,99,0)</f>
        <v>1789</v>
      </c>
      <c r="C143" s="90">
        <f>VLOOKUP(A143,'Data Vlaue (Cr)'!C138:CY352,101,0)</f>
        <v>-1338</v>
      </c>
      <c r="D143" s="139">
        <f>VLOOKUP(A143,'Data Vlaue (Cr)'!C138:CZ352,102,0)</f>
        <v>-0.42780000000000001</v>
      </c>
      <c r="E143" s="91">
        <f>VLOOKUP($A143,'Data Vlaue (Cr)'!$C:$FB,75)</f>
        <v>1239</v>
      </c>
      <c r="F143" s="91">
        <f>VLOOKUP($A143,'Data Vlaue (Cr)'!$C:$FB,77)</f>
        <v>-282</v>
      </c>
      <c r="G143" s="92">
        <f>VLOOKUP(A143,'Data Vlaue (Cr)'!C138:CB352,78,0)</f>
        <v>-0.1852</v>
      </c>
      <c r="H143" s="91">
        <f>VLOOKUP($A143,'Data Vlaue (Cr)'!$C:$FB,91)</f>
        <v>333</v>
      </c>
      <c r="I143" s="91">
        <f>VLOOKUP($A143,'Data Vlaue (Cr)'!$C:$FB,93)</f>
        <v>-634</v>
      </c>
      <c r="J143" s="92">
        <f>VLOOKUP($A143,'Data Vlaue (Cr)'!$C:$FB,94)</f>
        <v>-0.65580000000000005</v>
      </c>
      <c r="K143" s="91">
        <f>VLOOKUP($A143,'Data Vlaue (Cr)'!$C:$FB,95)</f>
        <v>218</v>
      </c>
      <c r="L143" s="91">
        <f>VLOOKUP($A143,'Data Vlaue (Cr)'!$C:$FB,97)</f>
        <v>-422</v>
      </c>
      <c r="M143" s="92">
        <f>VLOOKUP($A143,'Data Vlaue (Cr)'!$C:$FB,98)</f>
        <v>-0.65990000000000004</v>
      </c>
      <c r="N143" s="91">
        <f>VLOOKUP($A143,'Data Vlaue (Cr)'!$C:$FB,79)</f>
        <v>253</v>
      </c>
      <c r="O143" s="92">
        <f>VLOOKUP($A143,'Data Vlaue (Cr)'!$C:$FB,82)</f>
        <v>-0.17749999999999999</v>
      </c>
    </row>
    <row r="144" spans="1:15" x14ac:dyDescent="0.25">
      <c r="A144" s="97" t="str">
        <f>'Data Vlaue (Cr)'!C139</f>
        <v>NAM-INDIA</v>
      </c>
      <c r="B144" s="142">
        <f>VLOOKUP(A144,'Data Vlaue (Cr)'!C139:CW353,99,0)</f>
        <v>407</v>
      </c>
      <c r="C144" s="90">
        <f>VLOOKUP(A144,'Data Vlaue (Cr)'!C139:CY353,101,0)</f>
        <v>-306</v>
      </c>
      <c r="D144" s="139">
        <f>VLOOKUP(A144,'Data Vlaue (Cr)'!C139:CZ353,102,0)</f>
        <v>-0.4294</v>
      </c>
      <c r="E144" s="91">
        <f>VLOOKUP($A144,'Data Vlaue (Cr)'!$C:$FB,75)</f>
        <v>365</v>
      </c>
      <c r="F144" s="91">
        <f>VLOOKUP($A144,'Data Vlaue (Cr)'!$C:$FB,77)</f>
        <v>-54</v>
      </c>
      <c r="G144" s="92">
        <f>VLOOKUP(A144,'Data Vlaue (Cr)'!C139:CB353,78,0)</f>
        <v>-0.12889999999999999</v>
      </c>
      <c r="H144" s="91">
        <f>VLOOKUP($A144,'Data Vlaue (Cr)'!$C:$FB,91)</f>
        <v>23</v>
      </c>
      <c r="I144" s="91">
        <f>VLOOKUP($A144,'Data Vlaue (Cr)'!$C:$FB,93)</f>
        <v>-143</v>
      </c>
      <c r="J144" s="92">
        <f>VLOOKUP($A144,'Data Vlaue (Cr)'!$C:$FB,94)</f>
        <v>-0.86170000000000002</v>
      </c>
      <c r="K144" s="91">
        <f>VLOOKUP($A144,'Data Vlaue (Cr)'!$C:$FB,95)</f>
        <v>19</v>
      </c>
      <c r="L144" s="91">
        <f>VLOOKUP($A144,'Data Vlaue (Cr)'!$C:$FB,97)</f>
        <v>-109</v>
      </c>
      <c r="M144" s="92">
        <f>VLOOKUP($A144,'Data Vlaue (Cr)'!$C:$FB,98)</f>
        <v>-0.85319999999999996</v>
      </c>
      <c r="N144" s="91">
        <f>VLOOKUP($A144,'Data Vlaue (Cr)'!$C:$FB,79)</f>
        <v>28</v>
      </c>
      <c r="O144" s="92">
        <f>VLOOKUP($A144,'Data Vlaue (Cr)'!$C:$FB,82)</f>
        <v>-0.59099999999999997</v>
      </c>
    </row>
    <row r="145" spans="1:15" x14ac:dyDescent="0.25">
      <c r="A145" s="97" t="str">
        <f>'Data Vlaue (Cr)'!C140</f>
        <v>NATIONALUM</v>
      </c>
      <c r="B145" s="142">
        <f>VLOOKUP(A145,'Data Vlaue (Cr)'!C140:CW354,99,0)</f>
        <v>2463</v>
      </c>
      <c r="C145" s="90">
        <f>VLOOKUP(A145,'Data Vlaue (Cr)'!C140:CY354,101,0)</f>
        <v>-1242</v>
      </c>
      <c r="D145" s="139">
        <f>VLOOKUP(A145,'Data Vlaue (Cr)'!C140:CZ354,102,0)</f>
        <v>-0.33510000000000001</v>
      </c>
      <c r="E145" s="91">
        <f>VLOOKUP($A145,'Data Vlaue (Cr)'!$C:$FB,75)</f>
        <v>1738</v>
      </c>
      <c r="F145" s="91">
        <f>VLOOKUP($A145,'Data Vlaue (Cr)'!$C:$FB,77)</f>
        <v>-142</v>
      </c>
      <c r="G145" s="92">
        <f>VLOOKUP(A145,'Data Vlaue (Cr)'!C140:CB354,78,0)</f>
        <v>-7.5800000000000006E-2</v>
      </c>
      <c r="H145" s="91">
        <f>VLOOKUP($A145,'Data Vlaue (Cr)'!$C:$FB,91)</f>
        <v>426</v>
      </c>
      <c r="I145" s="91">
        <f>VLOOKUP($A145,'Data Vlaue (Cr)'!$C:$FB,93)</f>
        <v>-734</v>
      </c>
      <c r="J145" s="92">
        <f>VLOOKUP($A145,'Data Vlaue (Cr)'!$C:$FB,94)</f>
        <v>-0.63260000000000005</v>
      </c>
      <c r="K145" s="91">
        <f>VLOOKUP($A145,'Data Vlaue (Cr)'!$C:$FB,95)</f>
        <v>299</v>
      </c>
      <c r="L145" s="91">
        <f>VLOOKUP($A145,'Data Vlaue (Cr)'!$C:$FB,97)</f>
        <v>-365</v>
      </c>
      <c r="M145" s="92">
        <f>VLOOKUP($A145,'Data Vlaue (Cr)'!$C:$FB,98)</f>
        <v>-0.54990000000000006</v>
      </c>
      <c r="N145" s="91">
        <f>VLOOKUP($A145,'Data Vlaue (Cr)'!$C:$FB,79)</f>
        <v>129</v>
      </c>
      <c r="O145" s="92">
        <f>VLOOKUP($A145,'Data Vlaue (Cr)'!$C:$FB,82)</f>
        <v>-0.77810000000000001</v>
      </c>
    </row>
    <row r="146" spans="1:15" x14ac:dyDescent="0.25">
      <c r="A146" s="97" t="str">
        <f>'Data Vlaue (Cr)'!C141</f>
        <v>NAUKRI</v>
      </c>
      <c r="B146" s="142">
        <f>VLOOKUP(A146,'Data Vlaue (Cr)'!C141:CW355,99,0)</f>
        <v>1961</v>
      </c>
      <c r="C146" s="90">
        <f>VLOOKUP(A146,'Data Vlaue (Cr)'!C141:CY355,101,0)</f>
        <v>-482</v>
      </c>
      <c r="D146" s="139">
        <f>VLOOKUP(A146,'Data Vlaue (Cr)'!C141:CZ355,102,0)</f>
        <v>-0.19719999999999999</v>
      </c>
      <c r="E146" s="91">
        <f>VLOOKUP($A146,'Data Vlaue (Cr)'!$C:$FB,75)</f>
        <v>1515</v>
      </c>
      <c r="F146" s="91">
        <f>VLOOKUP($A146,'Data Vlaue (Cr)'!$C:$FB,77)</f>
        <v>-17</v>
      </c>
      <c r="G146" s="92">
        <f>VLOOKUP(A146,'Data Vlaue (Cr)'!C141:CB355,78,0)</f>
        <v>-1.12E-2</v>
      </c>
      <c r="H146" s="91">
        <f>VLOOKUP($A146,'Data Vlaue (Cr)'!$C:$FB,91)</f>
        <v>253</v>
      </c>
      <c r="I146" s="91">
        <f>VLOOKUP($A146,'Data Vlaue (Cr)'!$C:$FB,93)</f>
        <v>-312</v>
      </c>
      <c r="J146" s="92">
        <f>VLOOKUP($A146,'Data Vlaue (Cr)'!$C:$FB,94)</f>
        <v>-0.55220000000000002</v>
      </c>
      <c r="K146" s="91">
        <f>VLOOKUP($A146,'Data Vlaue (Cr)'!$C:$FB,95)</f>
        <v>193</v>
      </c>
      <c r="L146" s="91">
        <f>VLOOKUP($A146,'Data Vlaue (Cr)'!$C:$FB,97)</f>
        <v>-153</v>
      </c>
      <c r="M146" s="92">
        <f>VLOOKUP($A146,'Data Vlaue (Cr)'!$C:$FB,98)</f>
        <v>-0.44190000000000002</v>
      </c>
      <c r="N146" s="91">
        <f>VLOOKUP($A146,'Data Vlaue (Cr)'!$C:$FB,79)</f>
        <v>23</v>
      </c>
      <c r="O146" s="92">
        <f>VLOOKUP($A146,'Data Vlaue (Cr)'!$C:$FB,82)</f>
        <v>-0.82520000000000004</v>
      </c>
    </row>
    <row r="147" spans="1:15" x14ac:dyDescent="0.25">
      <c r="A147" s="97" t="str">
        <f>'Data Vlaue (Cr)'!C142</f>
        <v>NBCC</v>
      </c>
      <c r="B147" s="142">
        <f>VLOOKUP(A147,'Data Vlaue (Cr)'!C142:CW356,99,0)</f>
        <v>1205</v>
      </c>
      <c r="C147" s="90">
        <f>VLOOKUP(A147,'Data Vlaue (Cr)'!C142:CY356,101,0)</f>
        <v>-138</v>
      </c>
      <c r="D147" s="139">
        <f>VLOOKUP(A147,'Data Vlaue (Cr)'!C142:CZ356,102,0)</f>
        <v>-0.1026</v>
      </c>
      <c r="E147" s="91">
        <f>VLOOKUP($A147,'Data Vlaue (Cr)'!$C:$FB,75)</f>
        <v>926</v>
      </c>
      <c r="F147" s="91">
        <f>VLOOKUP($A147,'Data Vlaue (Cr)'!$C:$FB,77)</f>
        <v>-14</v>
      </c>
      <c r="G147" s="92">
        <f>VLOOKUP(A147,'Data Vlaue (Cr)'!C142:CB356,78,0)</f>
        <v>-1.5299999999999999E-2</v>
      </c>
      <c r="H147" s="91">
        <f>VLOOKUP($A147,'Data Vlaue (Cr)'!$C:$FB,91)</f>
        <v>173</v>
      </c>
      <c r="I147" s="91">
        <f>VLOOKUP($A147,'Data Vlaue (Cr)'!$C:$FB,93)</f>
        <v>-65</v>
      </c>
      <c r="J147" s="92">
        <f>VLOOKUP($A147,'Data Vlaue (Cr)'!$C:$FB,94)</f>
        <v>-0.27289999999999998</v>
      </c>
      <c r="K147" s="91">
        <f>VLOOKUP($A147,'Data Vlaue (Cr)'!$C:$FB,95)</f>
        <v>106</v>
      </c>
      <c r="L147" s="91">
        <f>VLOOKUP($A147,'Data Vlaue (Cr)'!$C:$FB,97)</f>
        <v>-58</v>
      </c>
      <c r="M147" s="92">
        <f>VLOOKUP($A147,'Data Vlaue (Cr)'!$C:$FB,98)</f>
        <v>-0.3548</v>
      </c>
      <c r="N147" s="91">
        <f>VLOOKUP($A147,'Data Vlaue (Cr)'!$C:$FB,79)</f>
        <v>19</v>
      </c>
      <c r="O147" s="92">
        <f>VLOOKUP($A147,'Data Vlaue (Cr)'!$C:$FB,82)</f>
        <v>-0.87580000000000002</v>
      </c>
    </row>
    <row r="148" spans="1:15" x14ac:dyDescent="0.25">
      <c r="A148" s="97" t="str">
        <f>'Data Vlaue (Cr)'!C143</f>
        <v>NESTLEIND</v>
      </c>
      <c r="B148" s="142">
        <f>VLOOKUP(A148,'Data Vlaue (Cr)'!C143:CW357,99,0)</f>
        <v>2161</v>
      </c>
      <c r="C148" s="90">
        <f>VLOOKUP(A148,'Data Vlaue (Cr)'!C143:CY357,101,0)</f>
        <v>-1043</v>
      </c>
      <c r="D148" s="139">
        <f>VLOOKUP(A148,'Data Vlaue (Cr)'!C143:CZ357,102,0)</f>
        <v>-0.32550000000000001</v>
      </c>
      <c r="E148" s="91">
        <f>VLOOKUP($A148,'Data Vlaue (Cr)'!$C:$FB,75)</f>
        <v>1932</v>
      </c>
      <c r="F148" s="91">
        <f>VLOOKUP($A148,'Data Vlaue (Cr)'!$C:$FB,77)</f>
        <v>-132</v>
      </c>
      <c r="G148" s="92">
        <f>VLOOKUP(A148,'Data Vlaue (Cr)'!C143:CB357,78,0)</f>
        <v>-6.4000000000000001E-2</v>
      </c>
      <c r="H148" s="91">
        <f>VLOOKUP($A148,'Data Vlaue (Cr)'!$C:$FB,91)</f>
        <v>121</v>
      </c>
      <c r="I148" s="91">
        <f>VLOOKUP($A148,'Data Vlaue (Cr)'!$C:$FB,93)</f>
        <v>-540</v>
      </c>
      <c r="J148" s="92">
        <f>VLOOKUP($A148,'Data Vlaue (Cr)'!$C:$FB,94)</f>
        <v>-0.8175</v>
      </c>
      <c r="K148" s="91">
        <f>VLOOKUP($A148,'Data Vlaue (Cr)'!$C:$FB,95)</f>
        <v>108</v>
      </c>
      <c r="L148" s="91">
        <f>VLOOKUP($A148,'Data Vlaue (Cr)'!$C:$FB,97)</f>
        <v>-370</v>
      </c>
      <c r="M148" s="92">
        <f>VLOOKUP($A148,'Data Vlaue (Cr)'!$C:$FB,98)</f>
        <v>-0.77370000000000005</v>
      </c>
      <c r="N148" s="91">
        <f>VLOOKUP($A148,'Data Vlaue (Cr)'!$C:$FB,79)</f>
        <v>124</v>
      </c>
      <c r="O148" s="92">
        <f>VLOOKUP($A148,'Data Vlaue (Cr)'!$C:$FB,82)</f>
        <v>-0.36890000000000001</v>
      </c>
    </row>
    <row r="149" spans="1:15" x14ac:dyDescent="0.25">
      <c r="A149" s="97" t="str">
        <f>'Data Vlaue (Cr)'!C144</f>
        <v>NHPC</v>
      </c>
      <c r="B149" s="142">
        <f>VLOOKUP(A149,'Data Vlaue (Cr)'!C144:CW358,99,0)</f>
        <v>1199</v>
      </c>
      <c r="C149" s="90">
        <f>VLOOKUP(A149,'Data Vlaue (Cr)'!C144:CY358,101,0)</f>
        <v>-488</v>
      </c>
      <c r="D149" s="139">
        <f>VLOOKUP(A149,'Data Vlaue (Cr)'!C144:CZ358,102,0)</f>
        <v>-0.28939999999999999</v>
      </c>
      <c r="E149" s="91">
        <f>VLOOKUP($A149,'Data Vlaue (Cr)'!$C:$FB,75)</f>
        <v>946</v>
      </c>
      <c r="F149" s="91">
        <f>VLOOKUP($A149,'Data Vlaue (Cr)'!$C:$FB,77)</f>
        <v>-65</v>
      </c>
      <c r="G149" s="92">
        <f>VLOOKUP(A149,'Data Vlaue (Cr)'!C144:CB358,78,0)</f>
        <v>-6.4399999999999999E-2</v>
      </c>
      <c r="H149" s="91">
        <f>VLOOKUP($A149,'Data Vlaue (Cr)'!$C:$FB,91)</f>
        <v>150</v>
      </c>
      <c r="I149" s="91">
        <f>VLOOKUP($A149,'Data Vlaue (Cr)'!$C:$FB,93)</f>
        <v>-298</v>
      </c>
      <c r="J149" s="92">
        <f>VLOOKUP($A149,'Data Vlaue (Cr)'!$C:$FB,94)</f>
        <v>-0.66500000000000004</v>
      </c>
      <c r="K149" s="91">
        <f>VLOOKUP($A149,'Data Vlaue (Cr)'!$C:$FB,95)</f>
        <v>103</v>
      </c>
      <c r="L149" s="91">
        <f>VLOOKUP($A149,'Data Vlaue (Cr)'!$C:$FB,97)</f>
        <v>-125</v>
      </c>
      <c r="M149" s="92">
        <f>VLOOKUP($A149,'Data Vlaue (Cr)'!$C:$FB,98)</f>
        <v>-0.54979999999999996</v>
      </c>
      <c r="N149" s="91">
        <f>VLOOKUP($A149,'Data Vlaue (Cr)'!$C:$FB,79)</f>
        <v>39</v>
      </c>
      <c r="O149" s="92">
        <f>VLOOKUP($A149,'Data Vlaue (Cr)'!$C:$FB,82)</f>
        <v>-0.60489999999999999</v>
      </c>
    </row>
    <row r="150" spans="1:15" x14ac:dyDescent="0.25">
      <c r="A150" s="97" t="str">
        <f>'Data Vlaue (Cr)'!C145</f>
        <v>NIFTY</v>
      </c>
      <c r="B150" s="142">
        <f>VLOOKUP(A150,'Data Vlaue (Cr)'!C145:CW359,99,0)</f>
        <v>741644</v>
      </c>
      <c r="C150" s="90">
        <f>VLOOKUP(A150,'Data Vlaue (Cr)'!C145:CY359,101,0)</f>
        <v>-635887</v>
      </c>
      <c r="D150" s="139">
        <f>VLOOKUP(A150,'Data Vlaue (Cr)'!C145:CZ359,102,0)</f>
        <v>-0.46160000000000001</v>
      </c>
      <c r="E150" s="91">
        <f>VLOOKUP($A150,'Data Vlaue (Cr)'!$C:$FB,75)</f>
        <v>37036</v>
      </c>
      <c r="F150" s="91">
        <f>VLOOKUP($A150,'Data Vlaue (Cr)'!$C:$FB,77)</f>
        <v>-12925</v>
      </c>
      <c r="G150" s="92">
        <f>VLOOKUP(A150,'Data Vlaue (Cr)'!C145:CB359,78,0)</f>
        <v>-0.25869999999999999</v>
      </c>
      <c r="H150" s="91">
        <f>VLOOKUP($A150,'Data Vlaue (Cr)'!$C:$FB,91)</f>
        <v>340252</v>
      </c>
      <c r="I150" s="91">
        <f>VLOOKUP($A150,'Data Vlaue (Cr)'!$C:$FB,93)</f>
        <v>-247527</v>
      </c>
      <c r="J150" s="92">
        <f>VLOOKUP($A150,'Data Vlaue (Cr)'!$C:$FB,94)</f>
        <v>-0.42109999999999997</v>
      </c>
      <c r="K150" s="91">
        <f>VLOOKUP($A150,'Data Vlaue (Cr)'!$C:$FB,95)</f>
        <v>364356</v>
      </c>
      <c r="L150" s="91">
        <f>VLOOKUP($A150,'Data Vlaue (Cr)'!$C:$FB,97)</f>
        <v>-375434</v>
      </c>
      <c r="M150" s="92">
        <f>VLOOKUP($A150,'Data Vlaue (Cr)'!$C:$FB,98)</f>
        <v>-0.50749999999999995</v>
      </c>
      <c r="N150" s="91">
        <f>VLOOKUP($A150,'Data Vlaue (Cr)'!$C:$FB,79)</f>
        <v>15890</v>
      </c>
      <c r="O150" s="92">
        <f>VLOOKUP($A150,'Data Vlaue (Cr)'!$C:$FB,82)</f>
        <v>-0.20810000000000001</v>
      </c>
    </row>
    <row r="151" spans="1:15" x14ac:dyDescent="0.25">
      <c r="A151" s="97" t="str">
        <f>'Data Vlaue (Cr)'!C146</f>
        <v>NIFTYNXT50</v>
      </c>
      <c r="B151" s="142">
        <f>VLOOKUP(A151,'Data Vlaue (Cr)'!C146:CW360,99,0)</f>
        <v>117</v>
      </c>
      <c r="C151" s="90">
        <f>VLOOKUP(A151,'Data Vlaue (Cr)'!C146:CY360,101,0)</f>
        <v>-281</v>
      </c>
      <c r="D151" s="139">
        <f>VLOOKUP(A151,'Data Vlaue (Cr)'!C146:CZ360,102,0)</f>
        <v>-0.70650000000000002</v>
      </c>
      <c r="E151" s="91">
        <f>VLOOKUP($A151,'Data Vlaue (Cr)'!$C:$FB,75)</f>
        <v>116</v>
      </c>
      <c r="F151" s="91">
        <f>VLOOKUP($A151,'Data Vlaue (Cr)'!$C:$FB,77)</f>
        <v>-25</v>
      </c>
      <c r="G151" s="92">
        <f>VLOOKUP(A151,'Data Vlaue (Cr)'!C146:CB360,78,0)</f>
        <v>-0.1757</v>
      </c>
      <c r="H151" s="91">
        <f>VLOOKUP($A151,'Data Vlaue (Cr)'!$C:$FB,91)</f>
        <v>0</v>
      </c>
      <c r="I151" s="91">
        <f>VLOOKUP($A151,'Data Vlaue (Cr)'!$C:$FB,93)</f>
        <v>-137</v>
      </c>
      <c r="J151" s="92">
        <f>VLOOKUP($A151,'Data Vlaue (Cr)'!$C:$FB,94)</f>
        <v>-0.99870000000000003</v>
      </c>
      <c r="K151" s="91">
        <f>VLOOKUP($A151,'Data Vlaue (Cr)'!$C:$FB,95)</f>
        <v>0</v>
      </c>
      <c r="L151" s="91">
        <f>VLOOKUP($A151,'Data Vlaue (Cr)'!$C:$FB,97)</f>
        <v>-119</v>
      </c>
      <c r="M151" s="92">
        <f>VLOOKUP($A151,'Data Vlaue (Cr)'!$C:$FB,98)</f>
        <v>-0.99850000000000005</v>
      </c>
      <c r="N151" s="91">
        <f>VLOOKUP($A151,'Data Vlaue (Cr)'!$C:$FB,79)</f>
        <v>15</v>
      </c>
      <c r="O151" s="92">
        <f>VLOOKUP($A151,'Data Vlaue (Cr)'!$C:$FB,82)</f>
        <v>-0.64039999999999997</v>
      </c>
    </row>
    <row r="152" spans="1:15" x14ac:dyDescent="0.25">
      <c r="A152" s="97" t="str">
        <f>'Data Vlaue (Cr)'!C147</f>
        <v>NMDC</v>
      </c>
      <c r="B152" s="142">
        <f>VLOOKUP(A152,'Data Vlaue (Cr)'!C147:CW361,99,0)</f>
        <v>3957</v>
      </c>
      <c r="C152" s="90">
        <f>VLOOKUP(A152,'Data Vlaue (Cr)'!C147:CY361,101,0)</f>
        <v>-436</v>
      </c>
      <c r="D152" s="139">
        <f>VLOOKUP(A152,'Data Vlaue (Cr)'!C147:CZ361,102,0)</f>
        <v>-9.9400000000000002E-2</v>
      </c>
      <c r="E152" s="91">
        <f>VLOOKUP($A152,'Data Vlaue (Cr)'!$C:$FB,75)</f>
        <v>3218</v>
      </c>
      <c r="F152" s="91">
        <f>VLOOKUP($A152,'Data Vlaue (Cr)'!$C:$FB,77)</f>
        <v>-16</v>
      </c>
      <c r="G152" s="92">
        <f>VLOOKUP(A152,'Data Vlaue (Cr)'!C147:CB361,78,0)</f>
        <v>-5.0000000000000001E-3</v>
      </c>
      <c r="H152" s="91">
        <f>VLOOKUP($A152,'Data Vlaue (Cr)'!$C:$FB,91)</f>
        <v>485</v>
      </c>
      <c r="I152" s="91">
        <f>VLOOKUP($A152,'Data Vlaue (Cr)'!$C:$FB,93)</f>
        <v>-274</v>
      </c>
      <c r="J152" s="92">
        <f>VLOOKUP($A152,'Data Vlaue (Cr)'!$C:$FB,94)</f>
        <v>-0.36130000000000001</v>
      </c>
      <c r="K152" s="91">
        <f>VLOOKUP($A152,'Data Vlaue (Cr)'!$C:$FB,95)</f>
        <v>253</v>
      </c>
      <c r="L152" s="91">
        <f>VLOOKUP($A152,'Data Vlaue (Cr)'!$C:$FB,97)</f>
        <v>-146</v>
      </c>
      <c r="M152" s="92">
        <f>VLOOKUP($A152,'Data Vlaue (Cr)'!$C:$FB,98)</f>
        <v>-0.3654</v>
      </c>
      <c r="N152" s="91">
        <f>VLOOKUP($A152,'Data Vlaue (Cr)'!$C:$FB,79)</f>
        <v>81</v>
      </c>
      <c r="O152" s="92">
        <f>VLOOKUP($A152,'Data Vlaue (Cr)'!$C:$FB,82)</f>
        <v>-0.81859999999999999</v>
      </c>
    </row>
    <row r="153" spans="1:15" x14ac:dyDescent="0.25">
      <c r="A153" s="97" t="str">
        <f>'Data Vlaue (Cr)'!C148</f>
        <v>NTPC</v>
      </c>
      <c r="B153" s="142">
        <f>VLOOKUP(A153,'Data Vlaue (Cr)'!C148:CW362,99,0)</f>
        <v>5800</v>
      </c>
      <c r="C153" s="90">
        <f>VLOOKUP(A153,'Data Vlaue (Cr)'!C148:CY362,101,0)</f>
        <v>-3714</v>
      </c>
      <c r="D153" s="139">
        <f>VLOOKUP(A153,'Data Vlaue (Cr)'!C148:CZ362,102,0)</f>
        <v>-0.39040000000000002</v>
      </c>
      <c r="E153" s="91">
        <f>VLOOKUP($A153,'Data Vlaue (Cr)'!$C:$FB,75)</f>
        <v>5084</v>
      </c>
      <c r="F153" s="91">
        <f>VLOOKUP($A153,'Data Vlaue (Cr)'!$C:$FB,77)</f>
        <v>-162</v>
      </c>
      <c r="G153" s="92">
        <f>VLOOKUP(A153,'Data Vlaue (Cr)'!C148:CB362,78,0)</f>
        <v>-3.09E-2</v>
      </c>
      <c r="H153" s="91">
        <f>VLOOKUP($A153,'Data Vlaue (Cr)'!$C:$FB,91)</f>
        <v>409</v>
      </c>
      <c r="I153" s="91">
        <f>VLOOKUP($A153,'Data Vlaue (Cr)'!$C:$FB,93)</f>
        <v>-2954</v>
      </c>
      <c r="J153" s="92">
        <f>VLOOKUP($A153,'Data Vlaue (Cr)'!$C:$FB,94)</f>
        <v>-0.87829999999999997</v>
      </c>
      <c r="K153" s="91">
        <f>VLOOKUP($A153,'Data Vlaue (Cr)'!$C:$FB,95)</f>
        <v>306</v>
      </c>
      <c r="L153" s="91">
        <f>VLOOKUP($A153,'Data Vlaue (Cr)'!$C:$FB,97)</f>
        <v>-598</v>
      </c>
      <c r="M153" s="92">
        <f>VLOOKUP($A153,'Data Vlaue (Cr)'!$C:$FB,98)</f>
        <v>-0.66139999999999999</v>
      </c>
      <c r="N153" s="91">
        <f>VLOOKUP($A153,'Data Vlaue (Cr)'!$C:$FB,79)</f>
        <v>518</v>
      </c>
      <c r="O153" s="92">
        <f>VLOOKUP($A153,'Data Vlaue (Cr)'!$C:$FB,82)</f>
        <v>-0.15620000000000001</v>
      </c>
    </row>
    <row r="154" spans="1:15" x14ac:dyDescent="0.25">
      <c r="A154" s="97" t="str">
        <f>'Data Vlaue (Cr)'!C149</f>
        <v>NUVAMA</v>
      </c>
      <c r="B154" s="142">
        <f>VLOOKUP(A154,'Data Vlaue (Cr)'!C149:CW363,99,0)</f>
        <v>307</v>
      </c>
      <c r="C154" s="90">
        <f>VLOOKUP(A154,'Data Vlaue (Cr)'!C149:CY363,101,0)</f>
        <v>-383</v>
      </c>
      <c r="D154" s="139">
        <f>VLOOKUP(A154,'Data Vlaue (Cr)'!C149:CZ363,102,0)</f>
        <v>-0.55569999999999997</v>
      </c>
      <c r="E154" s="91">
        <f>VLOOKUP($A154,'Data Vlaue (Cr)'!$C:$FB,75)</f>
        <v>240</v>
      </c>
      <c r="F154" s="91">
        <f>VLOOKUP($A154,'Data Vlaue (Cr)'!$C:$FB,77)</f>
        <v>-15</v>
      </c>
      <c r="G154" s="92">
        <f>VLOOKUP(A154,'Data Vlaue (Cr)'!C149:CB363,78,0)</f>
        <v>-6.0600000000000001E-2</v>
      </c>
      <c r="H154" s="91">
        <f>VLOOKUP($A154,'Data Vlaue (Cr)'!$C:$FB,91)</f>
        <v>43</v>
      </c>
      <c r="I154" s="91">
        <f>VLOOKUP($A154,'Data Vlaue (Cr)'!$C:$FB,93)</f>
        <v>-226</v>
      </c>
      <c r="J154" s="92">
        <f>VLOOKUP($A154,'Data Vlaue (Cr)'!$C:$FB,94)</f>
        <v>-0.84019999999999995</v>
      </c>
      <c r="K154" s="91">
        <f>VLOOKUP($A154,'Data Vlaue (Cr)'!$C:$FB,95)</f>
        <v>24</v>
      </c>
      <c r="L154" s="91">
        <f>VLOOKUP($A154,'Data Vlaue (Cr)'!$C:$FB,97)</f>
        <v>-142</v>
      </c>
      <c r="M154" s="92">
        <f>VLOOKUP($A154,'Data Vlaue (Cr)'!$C:$FB,98)</f>
        <v>-0.85660000000000003</v>
      </c>
      <c r="N154" s="91">
        <f>VLOOKUP($A154,'Data Vlaue (Cr)'!$C:$FB,79)</f>
        <v>66</v>
      </c>
      <c r="O154" s="92">
        <f>VLOOKUP($A154,'Data Vlaue (Cr)'!$C:$FB,82)</f>
        <v>0.1268</v>
      </c>
    </row>
    <row r="155" spans="1:15" x14ac:dyDescent="0.25">
      <c r="A155" s="97" t="str">
        <f>'Data Vlaue (Cr)'!C150</f>
        <v>NYKAA</v>
      </c>
      <c r="B155" s="142">
        <f>VLOOKUP(A155,'Data Vlaue (Cr)'!C150:CW364,99,0)</f>
        <v>2157</v>
      </c>
      <c r="C155" s="90">
        <f>VLOOKUP(A155,'Data Vlaue (Cr)'!C150:CY364,101,0)</f>
        <v>-490</v>
      </c>
      <c r="D155" s="139">
        <f>VLOOKUP(A155,'Data Vlaue (Cr)'!C150:CZ364,102,0)</f>
        <v>-0.185</v>
      </c>
      <c r="E155" s="91">
        <f>VLOOKUP($A155,'Data Vlaue (Cr)'!$C:$FB,75)</f>
        <v>1368</v>
      </c>
      <c r="F155" s="91">
        <f>VLOOKUP($A155,'Data Vlaue (Cr)'!$C:$FB,77)</f>
        <v>-34</v>
      </c>
      <c r="G155" s="92">
        <f>VLOOKUP(A155,'Data Vlaue (Cr)'!C150:CB364,78,0)</f>
        <v>-2.4400000000000002E-2</v>
      </c>
      <c r="H155" s="91">
        <f>VLOOKUP($A155,'Data Vlaue (Cr)'!$C:$FB,91)</f>
        <v>591</v>
      </c>
      <c r="I155" s="91">
        <f>VLOOKUP($A155,'Data Vlaue (Cr)'!$C:$FB,93)</f>
        <v>-340</v>
      </c>
      <c r="J155" s="92">
        <f>VLOOKUP($A155,'Data Vlaue (Cr)'!$C:$FB,94)</f>
        <v>-0.3654</v>
      </c>
      <c r="K155" s="91">
        <f>VLOOKUP($A155,'Data Vlaue (Cr)'!$C:$FB,95)</f>
        <v>197</v>
      </c>
      <c r="L155" s="91">
        <f>VLOOKUP($A155,'Data Vlaue (Cr)'!$C:$FB,97)</f>
        <v>-115</v>
      </c>
      <c r="M155" s="92">
        <f>VLOOKUP($A155,'Data Vlaue (Cr)'!$C:$FB,98)</f>
        <v>-0.36849999999999999</v>
      </c>
      <c r="N155" s="91">
        <f>VLOOKUP($A155,'Data Vlaue (Cr)'!$C:$FB,79)</f>
        <v>42</v>
      </c>
      <c r="O155" s="92">
        <f>VLOOKUP($A155,'Data Vlaue (Cr)'!$C:$FB,82)</f>
        <v>-0.81759999999999999</v>
      </c>
    </row>
    <row r="156" spans="1:15" x14ac:dyDescent="0.25">
      <c r="A156" s="97" t="str">
        <f>'Data Vlaue (Cr)'!C151</f>
        <v>OBEROIRLTY</v>
      </c>
      <c r="B156" s="142">
        <f>VLOOKUP(A156,'Data Vlaue (Cr)'!C151:CW365,99,0)</f>
        <v>1142</v>
      </c>
      <c r="C156" s="90">
        <f>VLOOKUP(A156,'Data Vlaue (Cr)'!C151:CY365,101,0)</f>
        <v>-535</v>
      </c>
      <c r="D156" s="139">
        <f>VLOOKUP(A156,'Data Vlaue (Cr)'!C151:CZ365,102,0)</f>
        <v>-0.31890000000000002</v>
      </c>
      <c r="E156" s="91">
        <f>VLOOKUP($A156,'Data Vlaue (Cr)'!$C:$FB,75)</f>
        <v>1049</v>
      </c>
      <c r="F156" s="91">
        <f>VLOOKUP($A156,'Data Vlaue (Cr)'!$C:$FB,77)</f>
        <v>-279</v>
      </c>
      <c r="G156" s="92">
        <f>VLOOKUP(A156,'Data Vlaue (Cr)'!C151:CB365,78,0)</f>
        <v>-0.21</v>
      </c>
      <c r="H156" s="91">
        <f>VLOOKUP($A156,'Data Vlaue (Cr)'!$C:$FB,91)</f>
        <v>52</v>
      </c>
      <c r="I156" s="91">
        <f>VLOOKUP($A156,'Data Vlaue (Cr)'!$C:$FB,93)</f>
        <v>-163</v>
      </c>
      <c r="J156" s="92">
        <f>VLOOKUP($A156,'Data Vlaue (Cr)'!$C:$FB,94)</f>
        <v>-0.75649999999999995</v>
      </c>
      <c r="K156" s="91">
        <f>VLOOKUP($A156,'Data Vlaue (Cr)'!$C:$FB,95)</f>
        <v>41</v>
      </c>
      <c r="L156" s="91">
        <f>VLOOKUP($A156,'Data Vlaue (Cr)'!$C:$FB,97)</f>
        <v>-93</v>
      </c>
      <c r="M156" s="92">
        <f>VLOOKUP($A156,'Data Vlaue (Cr)'!$C:$FB,98)</f>
        <v>-0.69620000000000004</v>
      </c>
      <c r="N156" s="91">
        <f>VLOOKUP($A156,'Data Vlaue (Cr)'!$C:$FB,79)</f>
        <v>185</v>
      </c>
      <c r="O156" s="92">
        <f>VLOOKUP($A156,'Data Vlaue (Cr)'!$C:$FB,82)</f>
        <v>-0.36799999999999999</v>
      </c>
    </row>
    <row r="157" spans="1:15" x14ac:dyDescent="0.25">
      <c r="A157" s="97" t="str">
        <f>'Data Vlaue (Cr)'!C152</f>
        <v>OFSS</v>
      </c>
      <c r="B157" s="142">
        <f>VLOOKUP(A157,'Data Vlaue (Cr)'!C152:CW366,99,0)</f>
        <v>1473</v>
      </c>
      <c r="C157" s="90">
        <f>VLOOKUP(A157,'Data Vlaue (Cr)'!C152:CY366,101,0)</f>
        <v>-1032</v>
      </c>
      <c r="D157" s="139">
        <f>VLOOKUP(A157,'Data Vlaue (Cr)'!C152:CZ366,102,0)</f>
        <v>-0.41210000000000002</v>
      </c>
      <c r="E157" s="91">
        <f>VLOOKUP($A157,'Data Vlaue (Cr)'!$C:$FB,75)</f>
        <v>1034</v>
      </c>
      <c r="F157" s="91">
        <f>VLOOKUP($A157,'Data Vlaue (Cr)'!$C:$FB,77)</f>
        <v>-103</v>
      </c>
      <c r="G157" s="92">
        <f>VLOOKUP(A157,'Data Vlaue (Cr)'!C152:CB366,78,0)</f>
        <v>-9.0499999999999997E-2</v>
      </c>
      <c r="H157" s="91">
        <f>VLOOKUP($A157,'Data Vlaue (Cr)'!$C:$FB,91)</f>
        <v>254</v>
      </c>
      <c r="I157" s="91">
        <f>VLOOKUP($A157,'Data Vlaue (Cr)'!$C:$FB,93)</f>
        <v>-480</v>
      </c>
      <c r="J157" s="92">
        <f>VLOOKUP($A157,'Data Vlaue (Cr)'!$C:$FB,94)</f>
        <v>-0.65400000000000003</v>
      </c>
      <c r="K157" s="91">
        <f>VLOOKUP($A157,'Data Vlaue (Cr)'!$C:$FB,95)</f>
        <v>185</v>
      </c>
      <c r="L157" s="91">
        <f>VLOOKUP($A157,'Data Vlaue (Cr)'!$C:$FB,97)</f>
        <v>-449</v>
      </c>
      <c r="M157" s="92">
        <f>VLOOKUP($A157,'Data Vlaue (Cr)'!$C:$FB,98)</f>
        <v>-0.7087</v>
      </c>
      <c r="N157" s="91">
        <f>VLOOKUP($A157,'Data Vlaue (Cr)'!$C:$FB,79)</f>
        <v>69</v>
      </c>
      <c r="O157" s="92">
        <f>VLOOKUP($A157,'Data Vlaue (Cr)'!$C:$FB,82)</f>
        <v>-0.5131</v>
      </c>
    </row>
    <row r="158" spans="1:15" x14ac:dyDescent="0.25">
      <c r="A158" s="97" t="str">
        <f>'Data Vlaue (Cr)'!C153</f>
        <v>OIL</v>
      </c>
      <c r="B158" s="142">
        <f>VLOOKUP(A158,'Data Vlaue (Cr)'!C153:CW367,99,0)</f>
        <v>940</v>
      </c>
      <c r="C158" s="90">
        <f>VLOOKUP(A158,'Data Vlaue (Cr)'!C153:CY367,101,0)</f>
        <v>-691</v>
      </c>
      <c r="D158" s="139">
        <f>VLOOKUP(A158,'Data Vlaue (Cr)'!C153:CZ367,102,0)</f>
        <v>-0.42380000000000001</v>
      </c>
      <c r="E158" s="91">
        <f>VLOOKUP($A158,'Data Vlaue (Cr)'!$C:$FB,75)</f>
        <v>763</v>
      </c>
      <c r="F158" s="91">
        <f>VLOOKUP($A158,'Data Vlaue (Cr)'!$C:$FB,77)</f>
        <v>-96</v>
      </c>
      <c r="G158" s="92">
        <f>VLOOKUP(A158,'Data Vlaue (Cr)'!C153:CB367,78,0)</f>
        <v>-0.11219999999999999</v>
      </c>
      <c r="H158" s="91">
        <f>VLOOKUP($A158,'Data Vlaue (Cr)'!$C:$FB,91)</f>
        <v>105</v>
      </c>
      <c r="I158" s="91">
        <f>VLOOKUP($A158,'Data Vlaue (Cr)'!$C:$FB,93)</f>
        <v>-354</v>
      </c>
      <c r="J158" s="92">
        <f>VLOOKUP($A158,'Data Vlaue (Cr)'!$C:$FB,94)</f>
        <v>-0.77070000000000005</v>
      </c>
      <c r="K158" s="91">
        <f>VLOOKUP($A158,'Data Vlaue (Cr)'!$C:$FB,95)</f>
        <v>72</v>
      </c>
      <c r="L158" s="91">
        <f>VLOOKUP($A158,'Data Vlaue (Cr)'!$C:$FB,97)</f>
        <v>-240</v>
      </c>
      <c r="M158" s="92">
        <f>VLOOKUP($A158,'Data Vlaue (Cr)'!$C:$FB,98)</f>
        <v>-0.77059999999999995</v>
      </c>
      <c r="N158" s="91">
        <f>VLOOKUP($A158,'Data Vlaue (Cr)'!$C:$FB,79)</f>
        <v>101</v>
      </c>
      <c r="O158" s="92">
        <f>VLOOKUP($A158,'Data Vlaue (Cr)'!$C:$FB,82)</f>
        <v>-0.46610000000000001</v>
      </c>
    </row>
    <row r="159" spans="1:15" x14ac:dyDescent="0.25">
      <c r="A159" s="97" t="str">
        <f>'Data Vlaue (Cr)'!C154</f>
        <v>ONGC</v>
      </c>
      <c r="B159" s="142">
        <f>VLOOKUP(A159,'Data Vlaue (Cr)'!C154:CW368,99,0)</f>
        <v>3725</v>
      </c>
      <c r="C159" s="90">
        <f>VLOOKUP(A159,'Data Vlaue (Cr)'!C154:CY368,101,0)</f>
        <v>-2208</v>
      </c>
      <c r="D159" s="139">
        <f>VLOOKUP(A159,'Data Vlaue (Cr)'!C154:CZ368,102,0)</f>
        <v>-0.37219999999999998</v>
      </c>
      <c r="E159" s="91">
        <f>VLOOKUP($A159,'Data Vlaue (Cr)'!$C:$FB,75)</f>
        <v>2737</v>
      </c>
      <c r="F159" s="91">
        <f>VLOOKUP($A159,'Data Vlaue (Cr)'!$C:$FB,77)</f>
        <v>-172</v>
      </c>
      <c r="G159" s="92">
        <f>VLOOKUP(A159,'Data Vlaue (Cr)'!C154:CB368,78,0)</f>
        <v>-5.91E-2</v>
      </c>
      <c r="H159" s="91">
        <f>VLOOKUP($A159,'Data Vlaue (Cr)'!$C:$FB,91)</f>
        <v>610</v>
      </c>
      <c r="I159" s="91">
        <f>VLOOKUP($A159,'Data Vlaue (Cr)'!$C:$FB,93)</f>
        <v>-1673</v>
      </c>
      <c r="J159" s="92">
        <f>VLOOKUP($A159,'Data Vlaue (Cr)'!$C:$FB,94)</f>
        <v>-0.7329</v>
      </c>
      <c r="K159" s="91">
        <f>VLOOKUP($A159,'Data Vlaue (Cr)'!$C:$FB,95)</f>
        <v>378</v>
      </c>
      <c r="L159" s="91">
        <f>VLOOKUP($A159,'Data Vlaue (Cr)'!$C:$FB,97)</f>
        <v>-363</v>
      </c>
      <c r="M159" s="92">
        <f>VLOOKUP($A159,'Data Vlaue (Cr)'!$C:$FB,98)</f>
        <v>-0.48980000000000001</v>
      </c>
      <c r="N159" s="91">
        <f>VLOOKUP($A159,'Data Vlaue (Cr)'!$C:$FB,79)</f>
        <v>223</v>
      </c>
      <c r="O159" s="92">
        <f>VLOOKUP($A159,'Data Vlaue (Cr)'!$C:$FB,82)</f>
        <v>-0.39040000000000002</v>
      </c>
    </row>
    <row r="160" spans="1:15" x14ac:dyDescent="0.25">
      <c r="A160" s="97" t="str">
        <f>'Data Vlaue (Cr)'!C155</f>
        <v>PAGEIND</v>
      </c>
      <c r="B160" s="142">
        <f>VLOOKUP(A160,'Data Vlaue (Cr)'!C155:CW369,99,0)</f>
        <v>1309</v>
      </c>
      <c r="C160" s="90">
        <f>VLOOKUP(A160,'Data Vlaue (Cr)'!C155:CY369,101,0)</f>
        <v>-675</v>
      </c>
      <c r="D160" s="139">
        <f>VLOOKUP(A160,'Data Vlaue (Cr)'!C155:CZ369,102,0)</f>
        <v>-0.3402</v>
      </c>
      <c r="E160" s="91">
        <f>VLOOKUP($A160,'Data Vlaue (Cr)'!$C:$FB,75)</f>
        <v>1070</v>
      </c>
      <c r="F160" s="91">
        <f>VLOOKUP($A160,'Data Vlaue (Cr)'!$C:$FB,77)</f>
        <v>-74</v>
      </c>
      <c r="G160" s="92">
        <f>VLOOKUP(A160,'Data Vlaue (Cr)'!C155:CB369,78,0)</f>
        <v>-6.4699999999999994E-2</v>
      </c>
      <c r="H160" s="91">
        <f>VLOOKUP($A160,'Data Vlaue (Cr)'!$C:$FB,91)</f>
        <v>172</v>
      </c>
      <c r="I160" s="91">
        <f>VLOOKUP($A160,'Data Vlaue (Cr)'!$C:$FB,93)</f>
        <v>-419</v>
      </c>
      <c r="J160" s="92">
        <f>VLOOKUP($A160,'Data Vlaue (Cr)'!$C:$FB,94)</f>
        <v>-0.70889999999999997</v>
      </c>
      <c r="K160" s="91">
        <f>VLOOKUP($A160,'Data Vlaue (Cr)'!$C:$FB,95)</f>
        <v>66</v>
      </c>
      <c r="L160" s="91">
        <f>VLOOKUP($A160,'Data Vlaue (Cr)'!$C:$FB,97)</f>
        <v>-182</v>
      </c>
      <c r="M160" s="92">
        <f>VLOOKUP($A160,'Data Vlaue (Cr)'!$C:$FB,98)</f>
        <v>-0.7329</v>
      </c>
      <c r="N160" s="91">
        <f>VLOOKUP($A160,'Data Vlaue (Cr)'!$C:$FB,79)</f>
        <v>69</v>
      </c>
      <c r="O160" s="92">
        <f>VLOOKUP($A160,'Data Vlaue (Cr)'!$C:$FB,82)</f>
        <v>-0.32719999999999999</v>
      </c>
    </row>
    <row r="161" spans="1:15" x14ac:dyDescent="0.25">
      <c r="A161" s="97" t="str">
        <f>'Data Vlaue (Cr)'!C156</f>
        <v>PATANJALI</v>
      </c>
      <c r="B161" s="142">
        <f>VLOOKUP(A161,'Data Vlaue (Cr)'!C156:CW370,99,0)</f>
        <v>1710</v>
      </c>
      <c r="C161" s="90">
        <f>VLOOKUP(A161,'Data Vlaue (Cr)'!C156:CY370,101,0)</f>
        <v>-293</v>
      </c>
      <c r="D161" s="139">
        <f>VLOOKUP(A161,'Data Vlaue (Cr)'!C156:CZ370,102,0)</f>
        <v>-0.14630000000000001</v>
      </c>
      <c r="E161" s="91">
        <f>VLOOKUP($A161,'Data Vlaue (Cr)'!$C:$FB,75)</f>
        <v>1512</v>
      </c>
      <c r="F161" s="91">
        <f>VLOOKUP($A161,'Data Vlaue (Cr)'!$C:$FB,77)</f>
        <v>-42</v>
      </c>
      <c r="G161" s="92">
        <f>VLOOKUP(A161,'Data Vlaue (Cr)'!C156:CB370,78,0)</f>
        <v>-2.7E-2</v>
      </c>
      <c r="H161" s="91">
        <f>VLOOKUP($A161,'Data Vlaue (Cr)'!$C:$FB,91)</f>
        <v>102</v>
      </c>
      <c r="I161" s="91">
        <f>VLOOKUP($A161,'Data Vlaue (Cr)'!$C:$FB,93)</f>
        <v>-148</v>
      </c>
      <c r="J161" s="92">
        <f>VLOOKUP($A161,'Data Vlaue (Cr)'!$C:$FB,94)</f>
        <v>-0.59040000000000004</v>
      </c>
      <c r="K161" s="91">
        <f>VLOOKUP($A161,'Data Vlaue (Cr)'!$C:$FB,95)</f>
        <v>96</v>
      </c>
      <c r="L161" s="91">
        <f>VLOOKUP($A161,'Data Vlaue (Cr)'!$C:$FB,97)</f>
        <v>-104</v>
      </c>
      <c r="M161" s="92">
        <f>VLOOKUP($A161,'Data Vlaue (Cr)'!$C:$FB,98)</f>
        <v>-0.51890000000000003</v>
      </c>
      <c r="N161" s="91">
        <f>VLOOKUP($A161,'Data Vlaue (Cr)'!$C:$FB,79)</f>
        <v>24</v>
      </c>
      <c r="O161" s="92">
        <f>VLOOKUP($A161,'Data Vlaue (Cr)'!$C:$FB,82)</f>
        <v>-0.89100000000000001</v>
      </c>
    </row>
    <row r="162" spans="1:15" x14ac:dyDescent="0.25">
      <c r="A162" s="97" t="str">
        <f>'Data Vlaue (Cr)'!C157</f>
        <v>PAYTM</v>
      </c>
      <c r="B162" s="142">
        <f>VLOOKUP(A162,'Data Vlaue (Cr)'!C157:CW371,99,0)</f>
        <v>2526</v>
      </c>
      <c r="C162" s="90">
        <f>VLOOKUP(A162,'Data Vlaue (Cr)'!C157:CY371,101,0)</f>
        <v>-1157</v>
      </c>
      <c r="D162" s="139">
        <f>VLOOKUP(A162,'Data Vlaue (Cr)'!C157:CZ371,102,0)</f>
        <v>-0.31409999999999999</v>
      </c>
      <c r="E162" s="91">
        <f>VLOOKUP($A162,'Data Vlaue (Cr)'!$C:$FB,75)</f>
        <v>1957</v>
      </c>
      <c r="F162" s="91">
        <f>VLOOKUP($A162,'Data Vlaue (Cr)'!$C:$FB,77)</f>
        <v>63</v>
      </c>
      <c r="G162" s="92">
        <f>VLOOKUP(A162,'Data Vlaue (Cr)'!C157:CB371,78,0)</f>
        <v>3.3300000000000003E-2</v>
      </c>
      <c r="H162" s="91">
        <f>VLOOKUP($A162,'Data Vlaue (Cr)'!$C:$FB,91)</f>
        <v>345</v>
      </c>
      <c r="I162" s="91">
        <f>VLOOKUP($A162,'Data Vlaue (Cr)'!$C:$FB,93)</f>
        <v>-691</v>
      </c>
      <c r="J162" s="92">
        <f>VLOOKUP($A162,'Data Vlaue (Cr)'!$C:$FB,94)</f>
        <v>-0.66700000000000004</v>
      </c>
      <c r="K162" s="91">
        <f>VLOOKUP($A162,'Data Vlaue (Cr)'!$C:$FB,95)</f>
        <v>224</v>
      </c>
      <c r="L162" s="91">
        <f>VLOOKUP($A162,'Data Vlaue (Cr)'!$C:$FB,97)</f>
        <v>-529</v>
      </c>
      <c r="M162" s="92">
        <f>VLOOKUP($A162,'Data Vlaue (Cr)'!$C:$FB,98)</f>
        <v>-0.70230000000000004</v>
      </c>
      <c r="N162" s="91">
        <f>VLOOKUP($A162,'Data Vlaue (Cr)'!$C:$FB,79)</f>
        <v>334</v>
      </c>
      <c r="O162" s="92">
        <f>VLOOKUP($A162,'Data Vlaue (Cr)'!$C:$FB,82)</f>
        <v>-4.9599999999999998E-2</v>
      </c>
    </row>
    <row r="163" spans="1:15" x14ac:dyDescent="0.25">
      <c r="A163" s="97" t="str">
        <f>'Data Vlaue (Cr)'!C158</f>
        <v>PERSISTENT</v>
      </c>
      <c r="B163" s="142">
        <f>VLOOKUP(A163,'Data Vlaue (Cr)'!C158:CW372,99,0)</f>
        <v>2103</v>
      </c>
      <c r="C163" s="90">
        <f>VLOOKUP(A163,'Data Vlaue (Cr)'!C158:CY372,101,0)</f>
        <v>-1308</v>
      </c>
      <c r="D163" s="139">
        <f>VLOOKUP(A163,'Data Vlaue (Cr)'!C158:CZ372,102,0)</f>
        <v>-0.38340000000000002</v>
      </c>
      <c r="E163" s="91">
        <f>VLOOKUP($A163,'Data Vlaue (Cr)'!$C:$FB,75)</f>
        <v>1733</v>
      </c>
      <c r="F163" s="91">
        <f>VLOOKUP($A163,'Data Vlaue (Cr)'!$C:$FB,77)</f>
        <v>-327</v>
      </c>
      <c r="G163" s="92">
        <f>VLOOKUP(A163,'Data Vlaue (Cr)'!C158:CB372,78,0)</f>
        <v>-0.1588</v>
      </c>
      <c r="H163" s="91">
        <f>VLOOKUP($A163,'Data Vlaue (Cr)'!$C:$FB,91)</f>
        <v>210</v>
      </c>
      <c r="I163" s="91">
        <f>VLOOKUP($A163,'Data Vlaue (Cr)'!$C:$FB,93)</f>
        <v>-527</v>
      </c>
      <c r="J163" s="92">
        <f>VLOOKUP($A163,'Data Vlaue (Cr)'!$C:$FB,94)</f>
        <v>-0.71499999999999997</v>
      </c>
      <c r="K163" s="91">
        <f>VLOOKUP($A163,'Data Vlaue (Cr)'!$C:$FB,95)</f>
        <v>160</v>
      </c>
      <c r="L163" s="91">
        <f>VLOOKUP($A163,'Data Vlaue (Cr)'!$C:$FB,97)</f>
        <v>-454</v>
      </c>
      <c r="M163" s="92">
        <f>VLOOKUP($A163,'Data Vlaue (Cr)'!$C:$FB,98)</f>
        <v>-0.73970000000000002</v>
      </c>
      <c r="N163" s="91">
        <f>VLOOKUP($A163,'Data Vlaue (Cr)'!$C:$FB,79)</f>
        <v>287</v>
      </c>
      <c r="O163" s="92">
        <f>VLOOKUP($A163,'Data Vlaue (Cr)'!$C:$FB,82)</f>
        <v>-0.1696</v>
      </c>
    </row>
    <row r="164" spans="1:15" x14ac:dyDescent="0.25">
      <c r="A164" s="97" t="str">
        <f>'Data Vlaue (Cr)'!C159</f>
        <v>PETRONET</v>
      </c>
      <c r="B164" s="142">
        <f>VLOOKUP(A164,'Data Vlaue (Cr)'!C159:CW373,99,0)</f>
        <v>1152</v>
      </c>
      <c r="C164" s="90">
        <f>VLOOKUP(A164,'Data Vlaue (Cr)'!C159:CY373,101,0)</f>
        <v>-371</v>
      </c>
      <c r="D164" s="139">
        <f>VLOOKUP(A164,'Data Vlaue (Cr)'!C159:CZ373,102,0)</f>
        <v>-0.24349999999999999</v>
      </c>
      <c r="E164" s="91">
        <f>VLOOKUP($A164,'Data Vlaue (Cr)'!$C:$FB,75)</f>
        <v>764</v>
      </c>
      <c r="F164" s="91">
        <f>VLOOKUP($A164,'Data Vlaue (Cr)'!$C:$FB,77)</f>
        <v>-147</v>
      </c>
      <c r="G164" s="92">
        <f>VLOOKUP(A164,'Data Vlaue (Cr)'!C159:CB373,78,0)</f>
        <v>-0.1613</v>
      </c>
      <c r="H164" s="91">
        <f>VLOOKUP($A164,'Data Vlaue (Cr)'!$C:$FB,91)</f>
        <v>185</v>
      </c>
      <c r="I164" s="91">
        <f>VLOOKUP($A164,'Data Vlaue (Cr)'!$C:$FB,93)</f>
        <v>-117</v>
      </c>
      <c r="J164" s="92">
        <f>VLOOKUP($A164,'Data Vlaue (Cr)'!$C:$FB,94)</f>
        <v>-0.38890000000000002</v>
      </c>
      <c r="K164" s="91">
        <f>VLOOKUP($A164,'Data Vlaue (Cr)'!$C:$FB,95)</f>
        <v>203</v>
      </c>
      <c r="L164" s="91">
        <f>VLOOKUP($A164,'Data Vlaue (Cr)'!$C:$FB,97)</f>
        <v>-106</v>
      </c>
      <c r="M164" s="92">
        <f>VLOOKUP($A164,'Data Vlaue (Cr)'!$C:$FB,98)</f>
        <v>-0.34350000000000003</v>
      </c>
      <c r="N164" s="91">
        <f>VLOOKUP($A164,'Data Vlaue (Cr)'!$C:$FB,79)</f>
        <v>128</v>
      </c>
      <c r="O164" s="92">
        <f>VLOOKUP($A164,'Data Vlaue (Cr)'!$C:$FB,82)</f>
        <v>-0.37759999999999999</v>
      </c>
    </row>
    <row r="165" spans="1:15" x14ac:dyDescent="0.25">
      <c r="A165" s="97" t="str">
        <f>'Data Vlaue (Cr)'!C160</f>
        <v>PFC</v>
      </c>
      <c r="B165" s="142">
        <f>VLOOKUP(A165,'Data Vlaue (Cr)'!C160:CW374,99,0)</f>
        <v>3193</v>
      </c>
      <c r="C165" s="90">
        <f>VLOOKUP(A165,'Data Vlaue (Cr)'!C160:CY374,101,0)</f>
        <v>-1062</v>
      </c>
      <c r="D165" s="139">
        <f>VLOOKUP(A165,'Data Vlaue (Cr)'!C160:CZ374,102,0)</f>
        <v>-0.2495</v>
      </c>
      <c r="E165" s="91">
        <f>VLOOKUP($A165,'Data Vlaue (Cr)'!$C:$FB,75)</f>
        <v>2504</v>
      </c>
      <c r="F165" s="91">
        <f>VLOOKUP($A165,'Data Vlaue (Cr)'!$C:$FB,77)</f>
        <v>-227</v>
      </c>
      <c r="G165" s="92">
        <f>VLOOKUP(A165,'Data Vlaue (Cr)'!C160:CB374,78,0)</f>
        <v>-8.3199999999999996E-2</v>
      </c>
      <c r="H165" s="91">
        <f>VLOOKUP($A165,'Data Vlaue (Cr)'!$C:$FB,91)</f>
        <v>369</v>
      </c>
      <c r="I165" s="91">
        <f>VLOOKUP($A165,'Data Vlaue (Cr)'!$C:$FB,93)</f>
        <v>-573</v>
      </c>
      <c r="J165" s="92">
        <f>VLOOKUP($A165,'Data Vlaue (Cr)'!$C:$FB,94)</f>
        <v>-0.60840000000000005</v>
      </c>
      <c r="K165" s="91">
        <f>VLOOKUP($A165,'Data Vlaue (Cr)'!$C:$FB,95)</f>
        <v>321</v>
      </c>
      <c r="L165" s="91">
        <f>VLOOKUP($A165,'Data Vlaue (Cr)'!$C:$FB,97)</f>
        <v>-262</v>
      </c>
      <c r="M165" s="92">
        <f>VLOOKUP($A165,'Data Vlaue (Cr)'!$C:$FB,98)</f>
        <v>-0.4496</v>
      </c>
      <c r="N165" s="91">
        <f>VLOOKUP($A165,'Data Vlaue (Cr)'!$C:$FB,79)</f>
        <v>246</v>
      </c>
      <c r="O165" s="92">
        <f>VLOOKUP($A165,'Data Vlaue (Cr)'!$C:$FB,82)</f>
        <v>-0.56299999999999994</v>
      </c>
    </row>
    <row r="166" spans="1:15" x14ac:dyDescent="0.25">
      <c r="A166" s="97" t="str">
        <f>'Data Vlaue (Cr)'!C161</f>
        <v>PGEL</v>
      </c>
      <c r="B166" s="142">
        <f>VLOOKUP(A166,'Data Vlaue (Cr)'!C161:CW375,99,0)</f>
        <v>1038</v>
      </c>
      <c r="C166" s="90">
        <f>VLOOKUP(A166,'Data Vlaue (Cr)'!C161:CY375,101,0)</f>
        <v>-423</v>
      </c>
      <c r="D166" s="139">
        <f>VLOOKUP(A166,'Data Vlaue (Cr)'!C161:CZ375,102,0)</f>
        <v>-0.28949999999999998</v>
      </c>
      <c r="E166" s="91">
        <f>VLOOKUP($A166,'Data Vlaue (Cr)'!$C:$FB,75)</f>
        <v>613</v>
      </c>
      <c r="F166" s="91">
        <f>VLOOKUP($A166,'Data Vlaue (Cr)'!$C:$FB,77)</f>
        <v>-59</v>
      </c>
      <c r="G166" s="92">
        <f>VLOOKUP(A166,'Data Vlaue (Cr)'!C161:CB375,78,0)</f>
        <v>-8.8300000000000003E-2</v>
      </c>
      <c r="H166" s="91">
        <f>VLOOKUP($A166,'Data Vlaue (Cr)'!$C:$FB,91)</f>
        <v>229</v>
      </c>
      <c r="I166" s="91">
        <f>VLOOKUP($A166,'Data Vlaue (Cr)'!$C:$FB,93)</f>
        <v>-256</v>
      </c>
      <c r="J166" s="92">
        <f>VLOOKUP($A166,'Data Vlaue (Cr)'!$C:$FB,94)</f>
        <v>-0.52759999999999996</v>
      </c>
      <c r="K166" s="91">
        <f>VLOOKUP($A166,'Data Vlaue (Cr)'!$C:$FB,95)</f>
        <v>195</v>
      </c>
      <c r="L166" s="91">
        <f>VLOOKUP($A166,'Data Vlaue (Cr)'!$C:$FB,97)</f>
        <v>-107</v>
      </c>
      <c r="M166" s="92">
        <f>VLOOKUP($A166,'Data Vlaue (Cr)'!$C:$FB,98)</f>
        <v>-0.35520000000000002</v>
      </c>
      <c r="N166" s="91">
        <f>VLOOKUP($A166,'Data Vlaue (Cr)'!$C:$FB,79)</f>
        <v>68</v>
      </c>
      <c r="O166" s="92">
        <f>VLOOKUP($A166,'Data Vlaue (Cr)'!$C:$FB,82)</f>
        <v>-0.53810000000000002</v>
      </c>
    </row>
    <row r="167" spans="1:15" x14ac:dyDescent="0.25">
      <c r="A167" s="97" t="str">
        <f>'Data Vlaue (Cr)'!C162</f>
        <v>PHOENIXLTD</v>
      </c>
      <c r="B167" s="142">
        <f>VLOOKUP(A167,'Data Vlaue (Cr)'!C162:CW376,99,0)</f>
        <v>679</v>
      </c>
      <c r="C167" s="90">
        <f>VLOOKUP(A167,'Data Vlaue (Cr)'!C162:CY376,101,0)</f>
        <v>-355</v>
      </c>
      <c r="D167" s="139">
        <f>VLOOKUP(A167,'Data Vlaue (Cr)'!C162:CZ376,102,0)</f>
        <v>-0.34370000000000001</v>
      </c>
      <c r="E167" s="91">
        <f>VLOOKUP($A167,'Data Vlaue (Cr)'!$C:$FB,75)</f>
        <v>631</v>
      </c>
      <c r="F167" s="91">
        <f>VLOOKUP($A167,'Data Vlaue (Cr)'!$C:$FB,77)</f>
        <v>-121</v>
      </c>
      <c r="G167" s="92">
        <f>VLOOKUP(A167,'Data Vlaue (Cr)'!C162:CB376,78,0)</f>
        <v>-0.1613</v>
      </c>
      <c r="H167" s="91">
        <f>VLOOKUP($A167,'Data Vlaue (Cr)'!$C:$FB,91)</f>
        <v>34</v>
      </c>
      <c r="I167" s="91">
        <f>VLOOKUP($A167,'Data Vlaue (Cr)'!$C:$FB,93)</f>
        <v>-137</v>
      </c>
      <c r="J167" s="92">
        <f>VLOOKUP($A167,'Data Vlaue (Cr)'!$C:$FB,94)</f>
        <v>-0.80200000000000005</v>
      </c>
      <c r="K167" s="91">
        <f>VLOOKUP($A167,'Data Vlaue (Cr)'!$C:$FB,95)</f>
        <v>14</v>
      </c>
      <c r="L167" s="91">
        <f>VLOOKUP($A167,'Data Vlaue (Cr)'!$C:$FB,97)</f>
        <v>-97</v>
      </c>
      <c r="M167" s="92">
        <f>VLOOKUP($A167,'Data Vlaue (Cr)'!$C:$FB,98)</f>
        <v>-0.87439999999999996</v>
      </c>
      <c r="N167" s="91">
        <f>VLOOKUP($A167,'Data Vlaue (Cr)'!$C:$FB,79)</f>
        <v>120</v>
      </c>
      <c r="O167" s="92">
        <f>VLOOKUP($A167,'Data Vlaue (Cr)'!$C:$FB,82)</f>
        <v>-0.12989999999999999</v>
      </c>
    </row>
    <row r="168" spans="1:15" x14ac:dyDescent="0.25">
      <c r="A168" s="97" t="str">
        <f>'Data Vlaue (Cr)'!C163</f>
        <v>PIDILITIND</v>
      </c>
      <c r="B168" s="142">
        <f>VLOOKUP(A168,'Data Vlaue (Cr)'!C163:CW377,99,0)</f>
        <v>1132</v>
      </c>
      <c r="C168" s="90">
        <f>VLOOKUP(A168,'Data Vlaue (Cr)'!C163:CY377,101,0)</f>
        <v>-677</v>
      </c>
      <c r="D168" s="139">
        <f>VLOOKUP(A168,'Data Vlaue (Cr)'!C163:CZ377,102,0)</f>
        <v>-0.37440000000000001</v>
      </c>
      <c r="E168" s="91">
        <f>VLOOKUP($A168,'Data Vlaue (Cr)'!$C:$FB,75)</f>
        <v>996</v>
      </c>
      <c r="F168" s="91">
        <f>VLOOKUP($A168,'Data Vlaue (Cr)'!$C:$FB,77)</f>
        <v>-65</v>
      </c>
      <c r="G168" s="92">
        <f>VLOOKUP(A168,'Data Vlaue (Cr)'!C163:CB377,78,0)</f>
        <v>-6.0999999999999999E-2</v>
      </c>
      <c r="H168" s="91">
        <f>VLOOKUP($A168,'Data Vlaue (Cr)'!$C:$FB,91)</f>
        <v>85</v>
      </c>
      <c r="I168" s="91">
        <f>VLOOKUP($A168,'Data Vlaue (Cr)'!$C:$FB,93)</f>
        <v>-419</v>
      </c>
      <c r="J168" s="92">
        <f>VLOOKUP($A168,'Data Vlaue (Cr)'!$C:$FB,94)</f>
        <v>-0.83160000000000001</v>
      </c>
      <c r="K168" s="91">
        <f>VLOOKUP($A168,'Data Vlaue (Cr)'!$C:$FB,95)</f>
        <v>51</v>
      </c>
      <c r="L168" s="91">
        <f>VLOOKUP($A168,'Data Vlaue (Cr)'!$C:$FB,97)</f>
        <v>-193</v>
      </c>
      <c r="M168" s="92">
        <f>VLOOKUP($A168,'Data Vlaue (Cr)'!$C:$FB,98)</f>
        <v>-0.79220000000000002</v>
      </c>
      <c r="N168" s="91">
        <f>VLOOKUP($A168,'Data Vlaue (Cr)'!$C:$FB,79)</f>
        <v>40</v>
      </c>
      <c r="O168" s="92">
        <f>VLOOKUP($A168,'Data Vlaue (Cr)'!$C:$FB,82)</f>
        <v>-0.76719999999999999</v>
      </c>
    </row>
    <row r="169" spans="1:15" x14ac:dyDescent="0.25">
      <c r="A169" s="97" t="str">
        <f>'Data Vlaue (Cr)'!C164</f>
        <v>PIIND</v>
      </c>
      <c r="B169" s="142">
        <f>VLOOKUP(A169,'Data Vlaue (Cr)'!C164:CW378,99,0)</f>
        <v>1503</v>
      </c>
      <c r="C169" s="90">
        <f>VLOOKUP(A169,'Data Vlaue (Cr)'!C164:CY378,101,0)</f>
        <v>-598</v>
      </c>
      <c r="D169" s="139">
        <f>VLOOKUP(A169,'Data Vlaue (Cr)'!C164:CZ378,102,0)</f>
        <v>-0.28470000000000001</v>
      </c>
      <c r="E169" s="91">
        <f>VLOOKUP($A169,'Data Vlaue (Cr)'!$C:$FB,75)</f>
        <v>1031</v>
      </c>
      <c r="F169" s="91">
        <f>VLOOKUP($A169,'Data Vlaue (Cr)'!$C:$FB,77)</f>
        <v>-124</v>
      </c>
      <c r="G169" s="92">
        <f>VLOOKUP(A169,'Data Vlaue (Cr)'!C164:CB378,78,0)</f>
        <v>-0.1077</v>
      </c>
      <c r="H169" s="91">
        <f>VLOOKUP($A169,'Data Vlaue (Cr)'!$C:$FB,91)</f>
        <v>317</v>
      </c>
      <c r="I169" s="91">
        <f>VLOOKUP($A169,'Data Vlaue (Cr)'!$C:$FB,93)</f>
        <v>-286</v>
      </c>
      <c r="J169" s="92">
        <f>VLOOKUP($A169,'Data Vlaue (Cr)'!$C:$FB,94)</f>
        <v>-0.47360000000000002</v>
      </c>
      <c r="K169" s="91">
        <f>VLOOKUP($A169,'Data Vlaue (Cr)'!$C:$FB,95)</f>
        <v>154</v>
      </c>
      <c r="L169" s="91">
        <f>VLOOKUP($A169,'Data Vlaue (Cr)'!$C:$FB,97)</f>
        <v>-188</v>
      </c>
      <c r="M169" s="92">
        <f>VLOOKUP($A169,'Data Vlaue (Cr)'!$C:$FB,98)</f>
        <v>-0.55030000000000001</v>
      </c>
      <c r="N169" s="91">
        <f>VLOOKUP($A169,'Data Vlaue (Cr)'!$C:$FB,79)</f>
        <v>72</v>
      </c>
      <c r="O169" s="92">
        <f>VLOOKUP($A169,'Data Vlaue (Cr)'!$C:$FB,82)</f>
        <v>-0.55759999999999998</v>
      </c>
    </row>
    <row r="170" spans="1:15" x14ac:dyDescent="0.25">
      <c r="A170" s="97" t="str">
        <f>'Data Vlaue (Cr)'!C165</f>
        <v>PNB</v>
      </c>
      <c r="B170" s="142">
        <f>VLOOKUP(A170,'Data Vlaue (Cr)'!C165:CW379,99,0)</f>
        <v>4345</v>
      </c>
      <c r="C170" s="90">
        <f>VLOOKUP(A170,'Data Vlaue (Cr)'!C165:CY379,101,0)</f>
        <v>-1238</v>
      </c>
      <c r="D170" s="139">
        <f>VLOOKUP(A170,'Data Vlaue (Cr)'!C165:CZ379,102,0)</f>
        <v>-0.22170000000000001</v>
      </c>
      <c r="E170" s="91">
        <f>VLOOKUP($A170,'Data Vlaue (Cr)'!$C:$FB,75)</f>
        <v>3357</v>
      </c>
      <c r="F170" s="91">
        <f>VLOOKUP($A170,'Data Vlaue (Cr)'!$C:$FB,77)</f>
        <v>-70</v>
      </c>
      <c r="G170" s="92">
        <f>VLOOKUP(A170,'Data Vlaue (Cr)'!C165:CB379,78,0)</f>
        <v>-2.0299999999999999E-2</v>
      </c>
      <c r="H170" s="91">
        <f>VLOOKUP($A170,'Data Vlaue (Cr)'!$C:$FB,91)</f>
        <v>504</v>
      </c>
      <c r="I170" s="91">
        <f>VLOOKUP($A170,'Data Vlaue (Cr)'!$C:$FB,93)</f>
        <v>-729</v>
      </c>
      <c r="J170" s="92">
        <f>VLOOKUP($A170,'Data Vlaue (Cr)'!$C:$FB,94)</f>
        <v>-0.59089999999999998</v>
      </c>
      <c r="K170" s="91">
        <f>VLOOKUP($A170,'Data Vlaue (Cr)'!$C:$FB,95)</f>
        <v>483</v>
      </c>
      <c r="L170" s="91">
        <f>VLOOKUP($A170,'Data Vlaue (Cr)'!$C:$FB,97)</f>
        <v>-440</v>
      </c>
      <c r="M170" s="92">
        <f>VLOOKUP($A170,'Data Vlaue (Cr)'!$C:$FB,98)</f>
        <v>-0.47649999999999998</v>
      </c>
      <c r="N170" s="91">
        <f>VLOOKUP($A170,'Data Vlaue (Cr)'!$C:$FB,79)</f>
        <v>140</v>
      </c>
      <c r="O170" s="92">
        <f>VLOOKUP($A170,'Data Vlaue (Cr)'!$C:$FB,82)</f>
        <v>-0.75380000000000003</v>
      </c>
    </row>
    <row r="171" spans="1:15" x14ac:dyDescent="0.25">
      <c r="A171" s="97" t="str">
        <f>'Data Vlaue (Cr)'!C166</f>
        <v>PNBHOUSING</v>
      </c>
      <c r="B171" s="142">
        <f>VLOOKUP(A171,'Data Vlaue (Cr)'!C166:CW380,99,0)</f>
        <v>1417</v>
      </c>
      <c r="C171" s="90">
        <f>VLOOKUP(A171,'Data Vlaue (Cr)'!C166:CY380,101,0)</f>
        <v>-443</v>
      </c>
      <c r="D171" s="139">
        <f>VLOOKUP(A171,'Data Vlaue (Cr)'!C166:CZ380,102,0)</f>
        <v>-0.2384</v>
      </c>
      <c r="E171" s="91">
        <f>VLOOKUP($A171,'Data Vlaue (Cr)'!$C:$FB,75)</f>
        <v>1277</v>
      </c>
      <c r="F171" s="91">
        <f>VLOOKUP($A171,'Data Vlaue (Cr)'!$C:$FB,77)</f>
        <v>-145</v>
      </c>
      <c r="G171" s="92">
        <f>VLOOKUP(A171,'Data Vlaue (Cr)'!C166:CB380,78,0)</f>
        <v>-0.1019</v>
      </c>
      <c r="H171" s="91">
        <f>VLOOKUP($A171,'Data Vlaue (Cr)'!$C:$FB,91)</f>
        <v>94</v>
      </c>
      <c r="I171" s="91">
        <f>VLOOKUP($A171,'Data Vlaue (Cr)'!$C:$FB,93)</f>
        <v>-178</v>
      </c>
      <c r="J171" s="92">
        <f>VLOOKUP($A171,'Data Vlaue (Cr)'!$C:$FB,94)</f>
        <v>-0.65449999999999997</v>
      </c>
      <c r="K171" s="91">
        <f>VLOOKUP($A171,'Data Vlaue (Cr)'!$C:$FB,95)</f>
        <v>46</v>
      </c>
      <c r="L171" s="91">
        <f>VLOOKUP($A171,'Data Vlaue (Cr)'!$C:$FB,97)</f>
        <v>-121</v>
      </c>
      <c r="M171" s="92">
        <f>VLOOKUP($A171,'Data Vlaue (Cr)'!$C:$FB,98)</f>
        <v>-0.72660000000000002</v>
      </c>
      <c r="N171" s="91">
        <f>VLOOKUP($A171,'Data Vlaue (Cr)'!$C:$FB,79)</f>
        <v>143</v>
      </c>
      <c r="O171" s="92">
        <f>VLOOKUP($A171,'Data Vlaue (Cr)'!$C:$FB,82)</f>
        <v>-0.34050000000000002</v>
      </c>
    </row>
    <row r="172" spans="1:15" x14ac:dyDescent="0.25">
      <c r="A172" s="97" t="str">
        <f>'Data Vlaue (Cr)'!C167</f>
        <v>POLICYBZR</v>
      </c>
      <c r="B172" s="142">
        <f>VLOOKUP(A172,'Data Vlaue (Cr)'!C167:CW381,99,0)</f>
        <v>1528</v>
      </c>
      <c r="C172" s="90">
        <f>VLOOKUP(A172,'Data Vlaue (Cr)'!C167:CY381,101,0)</f>
        <v>-1034</v>
      </c>
      <c r="D172" s="139">
        <f>VLOOKUP(A172,'Data Vlaue (Cr)'!C167:CZ381,102,0)</f>
        <v>-0.40350000000000003</v>
      </c>
      <c r="E172" s="91">
        <f>VLOOKUP($A172,'Data Vlaue (Cr)'!$C:$FB,75)</f>
        <v>1315</v>
      </c>
      <c r="F172" s="91">
        <f>VLOOKUP($A172,'Data Vlaue (Cr)'!$C:$FB,77)</f>
        <v>-249</v>
      </c>
      <c r="G172" s="92">
        <f>VLOOKUP(A172,'Data Vlaue (Cr)'!C167:CB381,78,0)</f>
        <v>-0.15939999999999999</v>
      </c>
      <c r="H172" s="91">
        <f>VLOOKUP($A172,'Data Vlaue (Cr)'!$C:$FB,91)</f>
        <v>127</v>
      </c>
      <c r="I172" s="91">
        <f>VLOOKUP($A172,'Data Vlaue (Cr)'!$C:$FB,93)</f>
        <v>-470</v>
      </c>
      <c r="J172" s="92">
        <f>VLOOKUP($A172,'Data Vlaue (Cr)'!$C:$FB,94)</f>
        <v>-0.78759999999999997</v>
      </c>
      <c r="K172" s="91">
        <f>VLOOKUP($A172,'Data Vlaue (Cr)'!$C:$FB,95)</f>
        <v>86</v>
      </c>
      <c r="L172" s="91">
        <f>VLOOKUP($A172,'Data Vlaue (Cr)'!$C:$FB,97)</f>
        <v>-314</v>
      </c>
      <c r="M172" s="92">
        <f>VLOOKUP($A172,'Data Vlaue (Cr)'!$C:$FB,98)</f>
        <v>-0.78480000000000005</v>
      </c>
      <c r="N172" s="91">
        <f>VLOOKUP($A172,'Data Vlaue (Cr)'!$C:$FB,79)</f>
        <v>285</v>
      </c>
      <c r="O172" s="92">
        <f>VLOOKUP($A172,'Data Vlaue (Cr)'!$C:$FB,82)</f>
        <v>2.7000000000000001E-3</v>
      </c>
    </row>
    <row r="173" spans="1:15" x14ac:dyDescent="0.25">
      <c r="A173" s="97" t="str">
        <f>'Data Vlaue (Cr)'!C168</f>
        <v>POLYCAB</v>
      </c>
      <c r="B173" s="142">
        <f>VLOOKUP(A173,'Data Vlaue (Cr)'!C168:CW382,99,0)</f>
        <v>2739</v>
      </c>
      <c r="C173" s="90">
        <f>VLOOKUP(A173,'Data Vlaue (Cr)'!C168:CY382,101,0)</f>
        <v>-2389</v>
      </c>
      <c r="D173" s="139">
        <f>VLOOKUP(A173,'Data Vlaue (Cr)'!C168:CZ382,102,0)</f>
        <v>-0.46589999999999998</v>
      </c>
      <c r="E173" s="91">
        <f>VLOOKUP($A173,'Data Vlaue (Cr)'!$C:$FB,75)</f>
        <v>1799</v>
      </c>
      <c r="F173" s="91">
        <f>VLOOKUP($A173,'Data Vlaue (Cr)'!$C:$FB,77)</f>
        <v>-311</v>
      </c>
      <c r="G173" s="92">
        <f>VLOOKUP(A173,'Data Vlaue (Cr)'!C168:CB382,78,0)</f>
        <v>-0.1474</v>
      </c>
      <c r="H173" s="91">
        <f>VLOOKUP($A173,'Data Vlaue (Cr)'!$C:$FB,91)</f>
        <v>443</v>
      </c>
      <c r="I173" s="91">
        <f>VLOOKUP($A173,'Data Vlaue (Cr)'!$C:$FB,93)</f>
        <v>-1216</v>
      </c>
      <c r="J173" s="92">
        <f>VLOOKUP($A173,'Data Vlaue (Cr)'!$C:$FB,94)</f>
        <v>-0.73309999999999997</v>
      </c>
      <c r="K173" s="91">
        <f>VLOOKUP($A173,'Data Vlaue (Cr)'!$C:$FB,95)</f>
        <v>497</v>
      </c>
      <c r="L173" s="91">
        <f>VLOOKUP($A173,'Data Vlaue (Cr)'!$C:$FB,97)</f>
        <v>-861</v>
      </c>
      <c r="M173" s="92">
        <f>VLOOKUP($A173,'Data Vlaue (Cr)'!$C:$FB,98)</f>
        <v>-0.63400000000000001</v>
      </c>
      <c r="N173" s="91">
        <f>VLOOKUP($A173,'Data Vlaue (Cr)'!$C:$FB,79)</f>
        <v>319</v>
      </c>
      <c r="O173" s="92">
        <f>VLOOKUP($A173,'Data Vlaue (Cr)'!$C:$FB,82)</f>
        <v>-0.52759999999999996</v>
      </c>
    </row>
    <row r="174" spans="1:15" x14ac:dyDescent="0.25">
      <c r="A174" s="97" t="str">
        <f>'Data Vlaue (Cr)'!C169</f>
        <v>POWERGRID</v>
      </c>
      <c r="B174" s="142">
        <f>VLOOKUP(A174,'Data Vlaue (Cr)'!C169:CW383,99,0)</f>
        <v>3087</v>
      </c>
      <c r="C174" s="90">
        <f>VLOOKUP(A174,'Data Vlaue (Cr)'!C169:CY383,101,0)</f>
        <v>-1065</v>
      </c>
      <c r="D174" s="139">
        <f>VLOOKUP(A174,'Data Vlaue (Cr)'!C169:CZ383,102,0)</f>
        <v>-0.25650000000000001</v>
      </c>
      <c r="E174" s="91">
        <f>VLOOKUP($A174,'Data Vlaue (Cr)'!$C:$FB,75)</f>
        <v>2530</v>
      </c>
      <c r="F174" s="91">
        <f>VLOOKUP($A174,'Data Vlaue (Cr)'!$C:$FB,77)</f>
        <v>-23</v>
      </c>
      <c r="G174" s="92">
        <f>VLOOKUP(A174,'Data Vlaue (Cr)'!C169:CB383,78,0)</f>
        <v>-9.1999999999999998E-3</v>
      </c>
      <c r="H174" s="91">
        <f>VLOOKUP($A174,'Data Vlaue (Cr)'!$C:$FB,91)</f>
        <v>258</v>
      </c>
      <c r="I174" s="91">
        <f>VLOOKUP($A174,'Data Vlaue (Cr)'!$C:$FB,93)</f>
        <v>-808</v>
      </c>
      <c r="J174" s="92">
        <f>VLOOKUP($A174,'Data Vlaue (Cr)'!$C:$FB,94)</f>
        <v>-0.75770000000000004</v>
      </c>
      <c r="K174" s="91">
        <f>VLOOKUP($A174,'Data Vlaue (Cr)'!$C:$FB,95)</f>
        <v>299</v>
      </c>
      <c r="L174" s="91">
        <f>VLOOKUP($A174,'Data Vlaue (Cr)'!$C:$FB,97)</f>
        <v>-234</v>
      </c>
      <c r="M174" s="92">
        <f>VLOOKUP($A174,'Data Vlaue (Cr)'!$C:$FB,98)</f>
        <v>-0.43890000000000001</v>
      </c>
      <c r="N174" s="91">
        <f>VLOOKUP($A174,'Data Vlaue (Cr)'!$C:$FB,79)</f>
        <v>83</v>
      </c>
      <c r="O174" s="92">
        <f>VLOOKUP($A174,'Data Vlaue (Cr)'!$C:$FB,82)</f>
        <v>-0.53300000000000003</v>
      </c>
    </row>
    <row r="175" spans="1:15" x14ac:dyDescent="0.25">
      <c r="A175" s="97" t="str">
        <f>'Data Vlaue (Cr)'!C170</f>
        <v>POWERINDIA</v>
      </c>
      <c r="B175" s="142">
        <f>VLOOKUP(A175,'Data Vlaue (Cr)'!C170:CW384,99,0)</f>
        <v>2983</v>
      </c>
      <c r="C175" s="90">
        <f>VLOOKUP(A175,'Data Vlaue (Cr)'!C170:CY384,101,0)</f>
        <v>-1390</v>
      </c>
      <c r="D175" s="139">
        <f>VLOOKUP(A175,'Data Vlaue (Cr)'!C170:CZ384,102,0)</f>
        <v>-0.31790000000000002</v>
      </c>
      <c r="E175" s="91">
        <f>VLOOKUP($A175,'Data Vlaue (Cr)'!$C:$FB,75)</f>
        <v>1600</v>
      </c>
      <c r="F175" s="91">
        <f>VLOOKUP($A175,'Data Vlaue (Cr)'!$C:$FB,77)</f>
        <v>-131</v>
      </c>
      <c r="G175" s="92">
        <f>VLOOKUP(A175,'Data Vlaue (Cr)'!C170:CB384,78,0)</f>
        <v>-7.5499999999999998E-2</v>
      </c>
      <c r="H175" s="91">
        <f>VLOOKUP($A175,'Data Vlaue (Cr)'!$C:$FB,91)</f>
        <v>786</v>
      </c>
      <c r="I175" s="91">
        <f>VLOOKUP($A175,'Data Vlaue (Cr)'!$C:$FB,93)</f>
        <v>-585</v>
      </c>
      <c r="J175" s="92">
        <f>VLOOKUP($A175,'Data Vlaue (Cr)'!$C:$FB,94)</f>
        <v>-0.42680000000000001</v>
      </c>
      <c r="K175" s="91">
        <f>VLOOKUP($A175,'Data Vlaue (Cr)'!$C:$FB,95)</f>
        <v>598</v>
      </c>
      <c r="L175" s="91">
        <f>VLOOKUP($A175,'Data Vlaue (Cr)'!$C:$FB,97)</f>
        <v>-675</v>
      </c>
      <c r="M175" s="92">
        <f>VLOOKUP($A175,'Data Vlaue (Cr)'!$C:$FB,98)</f>
        <v>-0.5302</v>
      </c>
      <c r="N175" s="91">
        <f>VLOOKUP($A175,'Data Vlaue (Cr)'!$C:$FB,79)</f>
        <v>85</v>
      </c>
      <c r="O175" s="92">
        <f>VLOOKUP($A175,'Data Vlaue (Cr)'!$C:$FB,82)</f>
        <v>-0.58620000000000005</v>
      </c>
    </row>
    <row r="176" spans="1:15" x14ac:dyDescent="0.25">
      <c r="A176" s="97" t="str">
        <f>'Data Vlaue (Cr)'!C171</f>
        <v>PREMIERENE</v>
      </c>
      <c r="B176" s="142">
        <f>VLOOKUP(A176,'Data Vlaue (Cr)'!C171:CW385,99,0)</f>
        <v>1547</v>
      </c>
      <c r="C176" s="90">
        <f>VLOOKUP(A176,'Data Vlaue (Cr)'!C171:CY385,101,0)</f>
        <v>-583</v>
      </c>
      <c r="D176" s="139">
        <f>VLOOKUP(A176,'Data Vlaue (Cr)'!C171:CZ385,102,0)</f>
        <v>-0.27360000000000001</v>
      </c>
      <c r="E176" s="91">
        <f>VLOOKUP($A176,'Data Vlaue (Cr)'!$C:$FB,75)</f>
        <v>1261</v>
      </c>
      <c r="F176" s="91">
        <f>VLOOKUP($A176,'Data Vlaue (Cr)'!$C:$FB,77)</f>
        <v>-260</v>
      </c>
      <c r="G176" s="92">
        <f>VLOOKUP(A176,'Data Vlaue (Cr)'!C171:CB385,78,0)</f>
        <v>-0.1709</v>
      </c>
      <c r="H176" s="91">
        <f>VLOOKUP($A176,'Data Vlaue (Cr)'!$C:$FB,91)</f>
        <v>196</v>
      </c>
      <c r="I176" s="91">
        <f>VLOOKUP($A176,'Data Vlaue (Cr)'!$C:$FB,93)</f>
        <v>-221</v>
      </c>
      <c r="J176" s="92">
        <f>VLOOKUP($A176,'Data Vlaue (Cr)'!$C:$FB,94)</f>
        <v>-0.53110000000000002</v>
      </c>
      <c r="K176" s="91">
        <f>VLOOKUP($A176,'Data Vlaue (Cr)'!$C:$FB,95)</f>
        <v>90</v>
      </c>
      <c r="L176" s="91">
        <f>VLOOKUP($A176,'Data Vlaue (Cr)'!$C:$FB,97)</f>
        <v>-101</v>
      </c>
      <c r="M176" s="92">
        <f>VLOOKUP($A176,'Data Vlaue (Cr)'!$C:$FB,98)</f>
        <v>-0.52900000000000003</v>
      </c>
      <c r="N176" s="91">
        <f>VLOOKUP($A176,'Data Vlaue (Cr)'!$C:$FB,79)</f>
        <v>170</v>
      </c>
      <c r="O176" s="92">
        <f>VLOOKUP($A176,'Data Vlaue (Cr)'!$C:$FB,82)</f>
        <v>-0.54810000000000003</v>
      </c>
    </row>
    <row r="177" spans="1:15" x14ac:dyDescent="0.25">
      <c r="A177" s="97" t="str">
        <f>'Data Vlaue (Cr)'!C172</f>
        <v>PRESTIGE</v>
      </c>
      <c r="B177" s="142">
        <f>VLOOKUP(A177,'Data Vlaue (Cr)'!C172:CW386,99,0)</f>
        <v>820</v>
      </c>
      <c r="C177" s="90">
        <f>VLOOKUP(A177,'Data Vlaue (Cr)'!C172:CY386,101,0)</f>
        <v>-379</v>
      </c>
      <c r="D177" s="139">
        <f>VLOOKUP(A177,'Data Vlaue (Cr)'!C172:CZ386,102,0)</f>
        <v>-0.31580000000000003</v>
      </c>
      <c r="E177" s="91">
        <f>VLOOKUP($A177,'Data Vlaue (Cr)'!$C:$FB,75)</f>
        <v>745</v>
      </c>
      <c r="F177" s="91">
        <f>VLOOKUP($A177,'Data Vlaue (Cr)'!$C:$FB,77)</f>
        <v>-39</v>
      </c>
      <c r="G177" s="92">
        <f>VLOOKUP(A177,'Data Vlaue (Cr)'!C172:CB386,78,0)</f>
        <v>-4.9200000000000001E-2</v>
      </c>
      <c r="H177" s="91">
        <f>VLOOKUP($A177,'Data Vlaue (Cr)'!$C:$FB,91)</f>
        <v>37</v>
      </c>
      <c r="I177" s="91">
        <f>VLOOKUP($A177,'Data Vlaue (Cr)'!$C:$FB,93)</f>
        <v>-213</v>
      </c>
      <c r="J177" s="92">
        <f>VLOOKUP($A177,'Data Vlaue (Cr)'!$C:$FB,94)</f>
        <v>-0.85370000000000001</v>
      </c>
      <c r="K177" s="91">
        <f>VLOOKUP($A177,'Data Vlaue (Cr)'!$C:$FB,95)</f>
        <v>39</v>
      </c>
      <c r="L177" s="91">
        <f>VLOOKUP($A177,'Data Vlaue (Cr)'!$C:$FB,97)</f>
        <v>-127</v>
      </c>
      <c r="M177" s="92">
        <f>VLOOKUP($A177,'Data Vlaue (Cr)'!$C:$FB,98)</f>
        <v>-0.76439999999999997</v>
      </c>
      <c r="N177" s="91">
        <f>VLOOKUP($A177,'Data Vlaue (Cr)'!$C:$FB,79)</f>
        <v>41</v>
      </c>
      <c r="O177" s="92">
        <f>VLOOKUP($A177,'Data Vlaue (Cr)'!$C:$FB,82)</f>
        <v>-0.55369999999999997</v>
      </c>
    </row>
    <row r="178" spans="1:15" x14ac:dyDescent="0.25">
      <c r="A178" s="97" t="str">
        <f>'Data Vlaue (Cr)'!C173</f>
        <v>RBLBANK</v>
      </c>
      <c r="B178" s="142">
        <f>VLOOKUP(A178,'Data Vlaue (Cr)'!C173:CW387,99,0)</f>
        <v>2894</v>
      </c>
      <c r="C178" s="90">
        <f>VLOOKUP(A178,'Data Vlaue (Cr)'!C173:CY387,101,0)</f>
        <v>-1059</v>
      </c>
      <c r="D178" s="139">
        <f>VLOOKUP(A178,'Data Vlaue (Cr)'!C173:CZ387,102,0)</f>
        <v>-0.26790000000000003</v>
      </c>
      <c r="E178" s="91">
        <f>VLOOKUP($A178,'Data Vlaue (Cr)'!$C:$FB,75)</f>
        <v>2335</v>
      </c>
      <c r="F178" s="91">
        <f>VLOOKUP($A178,'Data Vlaue (Cr)'!$C:$FB,77)</f>
        <v>-255</v>
      </c>
      <c r="G178" s="92">
        <f>VLOOKUP(A178,'Data Vlaue (Cr)'!C173:CB387,78,0)</f>
        <v>-9.8299999999999998E-2</v>
      </c>
      <c r="H178" s="91">
        <f>VLOOKUP($A178,'Data Vlaue (Cr)'!$C:$FB,91)</f>
        <v>344</v>
      </c>
      <c r="I178" s="91">
        <f>VLOOKUP($A178,'Data Vlaue (Cr)'!$C:$FB,93)</f>
        <v>-473</v>
      </c>
      <c r="J178" s="92">
        <f>VLOOKUP($A178,'Data Vlaue (Cr)'!$C:$FB,94)</f>
        <v>-0.57920000000000005</v>
      </c>
      <c r="K178" s="91">
        <f>VLOOKUP($A178,'Data Vlaue (Cr)'!$C:$FB,95)</f>
        <v>215</v>
      </c>
      <c r="L178" s="91">
        <f>VLOOKUP($A178,'Data Vlaue (Cr)'!$C:$FB,97)</f>
        <v>-331</v>
      </c>
      <c r="M178" s="92">
        <f>VLOOKUP($A178,'Data Vlaue (Cr)'!$C:$FB,98)</f>
        <v>-0.60599999999999998</v>
      </c>
      <c r="N178" s="91">
        <f>VLOOKUP($A178,'Data Vlaue (Cr)'!$C:$FB,79)</f>
        <v>205</v>
      </c>
      <c r="O178" s="92">
        <f>VLOOKUP($A178,'Data Vlaue (Cr)'!$C:$FB,82)</f>
        <v>-0.64659999999999995</v>
      </c>
    </row>
    <row r="179" spans="1:15" x14ac:dyDescent="0.25">
      <c r="A179" s="97" t="str">
        <f>'Data Vlaue (Cr)'!C174</f>
        <v>RECLTD</v>
      </c>
      <c r="B179" s="142">
        <f>VLOOKUP(A179,'Data Vlaue (Cr)'!C174:CW388,99,0)</f>
        <v>3060</v>
      </c>
      <c r="C179" s="90">
        <f>VLOOKUP(A179,'Data Vlaue (Cr)'!C174:CY388,101,0)</f>
        <v>-904</v>
      </c>
      <c r="D179" s="139">
        <f>VLOOKUP(A179,'Data Vlaue (Cr)'!C174:CZ388,102,0)</f>
        <v>-0.2281</v>
      </c>
      <c r="E179" s="91">
        <f>VLOOKUP($A179,'Data Vlaue (Cr)'!$C:$FB,75)</f>
        <v>2202</v>
      </c>
      <c r="F179" s="91">
        <f>VLOOKUP($A179,'Data Vlaue (Cr)'!$C:$FB,77)</f>
        <v>-185</v>
      </c>
      <c r="G179" s="92">
        <f>VLOOKUP(A179,'Data Vlaue (Cr)'!C174:CB388,78,0)</f>
        <v>-7.7600000000000002E-2</v>
      </c>
      <c r="H179" s="91">
        <f>VLOOKUP($A179,'Data Vlaue (Cr)'!$C:$FB,91)</f>
        <v>456</v>
      </c>
      <c r="I179" s="91">
        <f>VLOOKUP($A179,'Data Vlaue (Cr)'!$C:$FB,93)</f>
        <v>-501</v>
      </c>
      <c r="J179" s="92">
        <f>VLOOKUP($A179,'Data Vlaue (Cr)'!$C:$FB,94)</f>
        <v>-0.52339999999999998</v>
      </c>
      <c r="K179" s="91">
        <f>VLOOKUP($A179,'Data Vlaue (Cr)'!$C:$FB,95)</f>
        <v>403</v>
      </c>
      <c r="L179" s="91">
        <f>VLOOKUP($A179,'Data Vlaue (Cr)'!$C:$FB,97)</f>
        <v>-218</v>
      </c>
      <c r="M179" s="92">
        <f>VLOOKUP($A179,'Data Vlaue (Cr)'!$C:$FB,98)</f>
        <v>-0.3513</v>
      </c>
      <c r="N179" s="91">
        <f>VLOOKUP($A179,'Data Vlaue (Cr)'!$C:$FB,79)</f>
        <v>212</v>
      </c>
      <c r="O179" s="92">
        <f>VLOOKUP($A179,'Data Vlaue (Cr)'!$C:$FB,82)</f>
        <v>-0.67630000000000001</v>
      </c>
    </row>
    <row r="180" spans="1:15" x14ac:dyDescent="0.25">
      <c r="A180" s="97" t="str">
        <f>'Data Vlaue (Cr)'!C175</f>
        <v>RELIANCE</v>
      </c>
      <c r="B180" s="142">
        <f>VLOOKUP(A180,'Data Vlaue (Cr)'!C175:CW389,99,0)</f>
        <v>23256</v>
      </c>
      <c r="C180" s="90">
        <f>VLOOKUP(A180,'Data Vlaue (Cr)'!C175:CY389,101,0)</f>
        <v>-8361</v>
      </c>
      <c r="D180" s="139">
        <f>VLOOKUP(A180,'Data Vlaue (Cr)'!C175:CZ389,102,0)</f>
        <v>-0.26440000000000002</v>
      </c>
      <c r="E180" s="91">
        <f>VLOOKUP($A180,'Data Vlaue (Cr)'!$C:$FB,75)</f>
        <v>15584</v>
      </c>
      <c r="F180" s="91">
        <f>VLOOKUP($A180,'Data Vlaue (Cr)'!$C:$FB,77)</f>
        <v>-705</v>
      </c>
      <c r="G180" s="92">
        <f>VLOOKUP(A180,'Data Vlaue (Cr)'!C175:CB389,78,0)</f>
        <v>-4.3299999999999998E-2</v>
      </c>
      <c r="H180" s="91">
        <f>VLOOKUP($A180,'Data Vlaue (Cr)'!$C:$FB,91)</f>
        <v>4116</v>
      </c>
      <c r="I180" s="91">
        <f>VLOOKUP($A180,'Data Vlaue (Cr)'!$C:$FB,93)</f>
        <v>-5467</v>
      </c>
      <c r="J180" s="92">
        <f>VLOOKUP($A180,'Data Vlaue (Cr)'!$C:$FB,94)</f>
        <v>-0.57050000000000001</v>
      </c>
      <c r="K180" s="91">
        <f>VLOOKUP($A180,'Data Vlaue (Cr)'!$C:$FB,95)</f>
        <v>3556</v>
      </c>
      <c r="L180" s="91">
        <f>VLOOKUP($A180,'Data Vlaue (Cr)'!$C:$FB,97)</f>
        <v>-2190</v>
      </c>
      <c r="M180" s="92">
        <f>VLOOKUP($A180,'Data Vlaue (Cr)'!$C:$FB,98)</f>
        <v>-0.38109999999999999</v>
      </c>
      <c r="N180" s="91">
        <f>VLOOKUP($A180,'Data Vlaue (Cr)'!$C:$FB,79)</f>
        <v>868</v>
      </c>
      <c r="O180" s="92">
        <f>VLOOKUP($A180,'Data Vlaue (Cr)'!$C:$FB,82)</f>
        <v>-0.56410000000000005</v>
      </c>
    </row>
    <row r="181" spans="1:15" x14ac:dyDescent="0.25">
      <c r="A181" s="97" t="str">
        <f>'Data Vlaue (Cr)'!C176</f>
        <v>RVNL</v>
      </c>
      <c r="B181" s="142">
        <f>VLOOKUP(A181,'Data Vlaue (Cr)'!C176:CW390,99,0)</f>
        <v>1928</v>
      </c>
      <c r="C181" s="90">
        <f>VLOOKUP(A181,'Data Vlaue (Cr)'!C176:CY390,101,0)</f>
        <v>-462</v>
      </c>
      <c r="D181" s="139">
        <f>VLOOKUP(A181,'Data Vlaue (Cr)'!C176:CZ390,102,0)</f>
        <v>-0.1933</v>
      </c>
      <c r="E181" s="91">
        <f>VLOOKUP($A181,'Data Vlaue (Cr)'!$C:$FB,75)</f>
        <v>1342</v>
      </c>
      <c r="F181" s="91">
        <f>VLOOKUP($A181,'Data Vlaue (Cr)'!$C:$FB,77)</f>
        <v>-93</v>
      </c>
      <c r="G181" s="92">
        <f>VLOOKUP(A181,'Data Vlaue (Cr)'!C176:CB390,78,0)</f>
        <v>-6.4699999999999994E-2</v>
      </c>
      <c r="H181" s="91">
        <f>VLOOKUP($A181,'Data Vlaue (Cr)'!$C:$FB,91)</f>
        <v>331</v>
      </c>
      <c r="I181" s="91">
        <f>VLOOKUP($A181,'Data Vlaue (Cr)'!$C:$FB,93)</f>
        <v>-246</v>
      </c>
      <c r="J181" s="92">
        <f>VLOOKUP($A181,'Data Vlaue (Cr)'!$C:$FB,94)</f>
        <v>-0.42570000000000002</v>
      </c>
      <c r="K181" s="91">
        <f>VLOOKUP($A181,'Data Vlaue (Cr)'!$C:$FB,95)</f>
        <v>254</v>
      </c>
      <c r="L181" s="91">
        <f>VLOOKUP($A181,'Data Vlaue (Cr)'!$C:$FB,97)</f>
        <v>-123</v>
      </c>
      <c r="M181" s="92">
        <f>VLOOKUP($A181,'Data Vlaue (Cr)'!$C:$FB,98)</f>
        <v>-0.32669999999999999</v>
      </c>
      <c r="N181" s="91">
        <f>VLOOKUP($A181,'Data Vlaue (Cr)'!$C:$FB,79)</f>
        <v>55</v>
      </c>
      <c r="O181" s="92">
        <f>VLOOKUP($A181,'Data Vlaue (Cr)'!$C:$FB,82)</f>
        <v>-0.61909999999999998</v>
      </c>
    </row>
    <row r="182" spans="1:15" x14ac:dyDescent="0.25">
      <c r="A182" s="97" t="str">
        <f>'Data Vlaue (Cr)'!C177</f>
        <v>SAIL</v>
      </c>
      <c r="B182" s="142">
        <f>VLOOKUP(A182,'Data Vlaue (Cr)'!C177:CW391,99,0)</f>
        <v>3524</v>
      </c>
      <c r="C182" s="90">
        <f>VLOOKUP(A182,'Data Vlaue (Cr)'!C177:CY391,101,0)</f>
        <v>-428</v>
      </c>
      <c r="D182" s="139">
        <f>VLOOKUP(A182,'Data Vlaue (Cr)'!C177:CZ391,102,0)</f>
        <v>-0.1082</v>
      </c>
      <c r="E182" s="91">
        <f>VLOOKUP($A182,'Data Vlaue (Cr)'!$C:$FB,75)</f>
        <v>3513</v>
      </c>
      <c r="F182" s="91">
        <f>VLOOKUP($A182,'Data Vlaue (Cr)'!$C:$FB,77)</f>
        <v>-132</v>
      </c>
      <c r="G182" s="92">
        <f>VLOOKUP(A182,'Data Vlaue (Cr)'!C177:CB391,78,0)</f>
        <v>-3.6299999999999999E-2</v>
      </c>
      <c r="H182" s="91">
        <f>VLOOKUP($A182,'Data Vlaue (Cr)'!$C:$FB,91)</f>
        <v>9</v>
      </c>
      <c r="I182" s="91">
        <f>VLOOKUP($A182,'Data Vlaue (Cr)'!$C:$FB,93)</f>
        <v>-179</v>
      </c>
      <c r="J182" s="92">
        <f>VLOOKUP($A182,'Data Vlaue (Cr)'!$C:$FB,94)</f>
        <v>-0.95120000000000005</v>
      </c>
      <c r="K182" s="91">
        <f>VLOOKUP($A182,'Data Vlaue (Cr)'!$C:$FB,95)</f>
        <v>2</v>
      </c>
      <c r="L182" s="91">
        <f>VLOOKUP($A182,'Data Vlaue (Cr)'!$C:$FB,97)</f>
        <v>-117</v>
      </c>
      <c r="M182" s="92">
        <f>VLOOKUP($A182,'Data Vlaue (Cr)'!$C:$FB,98)</f>
        <v>-0.9869</v>
      </c>
      <c r="N182" s="91">
        <f>VLOOKUP($A182,'Data Vlaue (Cr)'!$C:$FB,79)</f>
        <v>97</v>
      </c>
      <c r="O182" s="92">
        <f>VLOOKUP($A182,'Data Vlaue (Cr)'!$C:$FB,82)</f>
        <v>-0.80330000000000001</v>
      </c>
    </row>
    <row r="183" spans="1:15" x14ac:dyDescent="0.25">
      <c r="A183" s="97" t="str">
        <f>'Data Vlaue (Cr)'!C178</f>
        <v>SAMMAANCAP</v>
      </c>
      <c r="B183" s="142">
        <f>VLOOKUP(A183,'Data Vlaue (Cr)'!C178:CW392,99,0)</f>
        <v>1896</v>
      </c>
      <c r="C183" s="90">
        <f>VLOOKUP(A183,'Data Vlaue (Cr)'!C178:CY392,101,0)</f>
        <v>-707</v>
      </c>
      <c r="D183" s="139">
        <f>VLOOKUP(A183,'Data Vlaue (Cr)'!C178:CZ392,102,0)</f>
        <v>-0.27160000000000001</v>
      </c>
      <c r="E183" s="91">
        <f>VLOOKUP($A183,'Data Vlaue (Cr)'!$C:$FB,75)</f>
        <v>1333</v>
      </c>
      <c r="F183" s="91">
        <f>VLOOKUP($A183,'Data Vlaue (Cr)'!$C:$FB,77)</f>
        <v>-172</v>
      </c>
      <c r="G183" s="92">
        <f>VLOOKUP(A183,'Data Vlaue (Cr)'!C178:CB392,78,0)</f>
        <v>-0.1144</v>
      </c>
      <c r="H183" s="91">
        <f>VLOOKUP($A183,'Data Vlaue (Cr)'!$C:$FB,91)</f>
        <v>302</v>
      </c>
      <c r="I183" s="91">
        <f>VLOOKUP($A183,'Data Vlaue (Cr)'!$C:$FB,93)</f>
        <v>-198</v>
      </c>
      <c r="J183" s="92">
        <f>VLOOKUP($A183,'Data Vlaue (Cr)'!$C:$FB,94)</f>
        <v>-0.39629999999999999</v>
      </c>
      <c r="K183" s="91">
        <f>VLOOKUP($A183,'Data Vlaue (Cr)'!$C:$FB,95)</f>
        <v>261</v>
      </c>
      <c r="L183" s="91">
        <f>VLOOKUP($A183,'Data Vlaue (Cr)'!$C:$FB,97)</f>
        <v>-337</v>
      </c>
      <c r="M183" s="92">
        <f>VLOOKUP($A183,'Data Vlaue (Cr)'!$C:$FB,98)</f>
        <v>-0.56310000000000004</v>
      </c>
      <c r="N183" s="91">
        <f>VLOOKUP($A183,'Data Vlaue (Cr)'!$C:$FB,79)</f>
        <v>146</v>
      </c>
      <c r="O183" s="92">
        <f>VLOOKUP($A183,'Data Vlaue (Cr)'!$C:$FB,82)</f>
        <v>-0.61480000000000001</v>
      </c>
    </row>
    <row r="184" spans="1:15" x14ac:dyDescent="0.25">
      <c r="A184" s="97" t="str">
        <f>'Data Vlaue (Cr)'!C179</f>
        <v>SBICARD</v>
      </c>
      <c r="B184" s="142">
        <f>VLOOKUP(A184,'Data Vlaue (Cr)'!C179:CW393,99,0)</f>
        <v>2255</v>
      </c>
      <c r="C184" s="90">
        <f>VLOOKUP(A184,'Data Vlaue (Cr)'!C179:CY393,101,0)</f>
        <v>-490</v>
      </c>
      <c r="D184" s="139">
        <f>VLOOKUP(A184,'Data Vlaue (Cr)'!C179:CZ393,102,0)</f>
        <v>-0.17849999999999999</v>
      </c>
      <c r="E184" s="91">
        <f>VLOOKUP($A184,'Data Vlaue (Cr)'!$C:$FB,75)</f>
        <v>1611</v>
      </c>
      <c r="F184" s="91">
        <f>VLOOKUP($A184,'Data Vlaue (Cr)'!$C:$FB,77)</f>
        <v>-102</v>
      </c>
      <c r="G184" s="92">
        <f>VLOOKUP(A184,'Data Vlaue (Cr)'!C179:CB393,78,0)</f>
        <v>-5.96E-2</v>
      </c>
      <c r="H184" s="91">
        <f>VLOOKUP($A184,'Data Vlaue (Cr)'!$C:$FB,91)</f>
        <v>367</v>
      </c>
      <c r="I184" s="91">
        <f>VLOOKUP($A184,'Data Vlaue (Cr)'!$C:$FB,93)</f>
        <v>-251</v>
      </c>
      <c r="J184" s="92">
        <f>VLOOKUP($A184,'Data Vlaue (Cr)'!$C:$FB,94)</f>
        <v>-0.40570000000000001</v>
      </c>
      <c r="K184" s="91">
        <f>VLOOKUP($A184,'Data Vlaue (Cr)'!$C:$FB,95)</f>
        <v>277</v>
      </c>
      <c r="L184" s="91">
        <f>VLOOKUP($A184,'Data Vlaue (Cr)'!$C:$FB,97)</f>
        <v>-137</v>
      </c>
      <c r="M184" s="92">
        <f>VLOOKUP($A184,'Data Vlaue (Cr)'!$C:$FB,98)</f>
        <v>-0.33129999999999998</v>
      </c>
      <c r="N184" s="91">
        <f>VLOOKUP($A184,'Data Vlaue (Cr)'!$C:$FB,79)</f>
        <v>49</v>
      </c>
      <c r="O184" s="92">
        <f>VLOOKUP($A184,'Data Vlaue (Cr)'!$C:$FB,82)</f>
        <v>-0.7228</v>
      </c>
    </row>
    <row r="185" spans="1:15" x14ac:dyDescent="0.25">
      <c r="A185" s="97" t="str">
        <f>'Data Vlaue (Cr)'!C180</f>
        <v>SBILIFE</v>
      </c>
      <c r="B185" s="142">
        <f>VLOOKUP(A185,'Data Vlaue (Cr)'!C180:CW394,99,0)</f>
        <v>1744</v>
      </c>
      <c r="C185" s="90">
        <f>VLOOKUP(A185,'Data Vlaue (Cr)'!C180:CY394,101,0)</f>
        <v>-1169</v>
      </c>
      <c r="D185" s="139">
        <f>VLOOKUP(A185,'Data Vlaue (Cr)'!C180:CZ394,102,0)</f>
        <v>-0.4012</v>
      </c>
      <c r="E185" s="91">
        <f>VLOOKUP($A185,'Data Vlaue (Cr)'!$C:$FB,75)</f>
        <v>1545</v>
      </c>
      <c r="F185" s="91">
        <f>VLOOKUP($A185,'Data Vlaue (Cr)'!$C:$FB,77)</f>
        <v>-155</v>
      </c>
      <c r="G185" s="92">
        <f>VLOOKUP(A185,'Data Vlaue (Cr)'!C180:CB394,78,0)</f>
        <v>-9.1300000000000006E-2</v>
      </c>
      <c r="H185" s="91">
        <f>VLOOKUP($A185,'Data Vlaue (Cr)'!$C:$FB,91)</f>
        <v>116</v>
      </c>
      <c r="I185" s="91">
        <f>VLOOKUP($A185,'Data Vlaue (Cr)'!$C:$FB,93)</f>
        <v>-664</v>
      </c>
      <c r="J185" s="92">
        <f>VLOOKUP($A185,'Data Vlaue (Cr)'!$C:$FB,94)</f>
        <v>-0.85099999999999998</v>
      </c>
      <c r="K185" s="91">
        <f>VLOOKUP($A185,'Data Vlaue (Cr)'!$C:$FB,95)</f>
        <v>82</v>
      </c>
      <c r="L185" s="91">
        <f>VLOOKUP($A185,'Data Vlaue (Cr)'!$C:$FB,97)</f>
        <v>-349</v>
      </c>
      <c r="M185" s="92">
        <f>VLOOKUP($A185,'Data Vlaue (Cr)'!$C:$FB,98)</f>
        <v>-0.80910000000000004</v>
      </c>
      <c r="N185" s="91">
        <f>VLOOKUP($A185,'Data Vlaue (Cr)'!$C:$FB,79)</f>
        <v>320</v>
      </c>
      <c r="O185" s="92">
        <f>VLOOKUP($A185,'Data Vlaue (Cr)'!$C:$FB,82)</f>
        <v>6.6500000000000004E-2</v>
      </c>
    </row>
    <row r="186" spans="1:15" x14ac:dyDescent="0.25">
      <c r="A186" s="97" t="str">
        <f>'Data Vlaue (Cr)'!C181</f>
        <v>SBIN</v>
      </c>
      <c r="B186" s="142">
        <f>VLOOKUP(A186,'Data Vlaue (Cr)'!C181:CW395,99,0)</f>
        <v>15603</v>
      </c>
      <c r="C186" s="90">
        <f>VLOOKUP(A186,'Data Vlaue (Cr)'!C181:CY395,101,0)</f>
        <v>-8749</v>
      </c>
      <c r="D186" s="139">
        <f>VLOOKUP(A186,'Data Vlaue (Cr)'!C181:CZ395,102,0)</f>
        <v>-0.35930000000000001</v>
      </c>
      <c r="E186" s="91">
        <f>VLOOKUP($A186,'Data Vlaue (Cr)'!$C:$FB,75)</f>
        <v>9650</v>
      </c>
      <c r="F186" s="91">
        <f>VLOOKUP($A186,'Data Vlaue (Cr)'!$C:$FB,77)</f>
        <v>-852</v>
      </c>
      <c r="G186" s="92">
        <f>VLOOKUP(A186,'Data Vlaue (Cr)'!C181:CB395,78,0)</f>
        <v>-8.1199999999999994E-2</v>
      </c>
      <c r="H186" s="91">
        <f>VLOOKUP($A186,'Data Vlaue (Cr)'!$C:$FB,91)</f>
        <v>3233</v>
      </c>
      <c r="I186" s="91">
        <f>VLOOKUP($A186,'Data Vlaue (Cr)'!$C:$FB,93)</f>
        <v>-5548</v>
      </c>
      <c r="J186" s="92">
        <f>VLOOKUP($A186,'Data Vlaue (Cr)'!$C:$FB,94)</f>
        <v>-0.63180000000000003</v>
      </c>
      <c r="K186" s="91">
        <f>VLOOKUP($A186,'Data Vlaue (Cr)'!$C:$FB,95)</f>
        <v>2720</v>
      </c>
      <c r="L186" s="91">
        <f>VLOOKUP($A186,'Data Vlaue (Cr)'!$C:$FB,97)</f>
        <v>-2348</v>
      </c>
      <c r="M186" s="92">
        <f>VLOOKUP($A186,'Data Vlaue (Cr)'!$C:$FB,98)</f>
        <v>-0.46329999999999999</v>
      </c>
      <c r="N186" s="91">
        <f>VLOOKUP($A186,'Data Vlaue (Cr)'!$C:$FB,79)</f>
        <v>1083</v>
      </c>
      <c r="O186" s="92">
        <f>VLOOKUP($A186,'Data Vlaue (Cr)'!$C:$FB,82)</f>
        <v>-0.55430000000000001</v>
      </c>
    </row>
    <row r="187" spans="1:15" x14ac:dyDescent="0.25">
      <c r="A187" s="97" t="str">
        <f>'Data Vlaue (Cr)'!C182</f>
        <v>SHREECEM</v>
      </c>
      <c r="B187" s="142">
        <f>VLOOKUP(A187,'Data Vlaue (Cr)'!C182:CW396,99,0)</f>
        <v>1069</v>
      </c>
      <c r="C187" s="90">
        <f>VLOOKUP(A187,'Data Vlaue (Cr)'!C182:CY396,101,0)</f>
        <v>-199</v>
      </c>
      <c r="D187" s="139">
        <f>VLOOKUP(A187,'Data Vlaue (Cr)'!C182:CZ396,102,0)</f>
        <v>-0.15709999999999999</v>
      </c>
      <c r="E187" s="91">
        <f>VLOOKUP($A187,'Data Vlaue (Cr)'!$C:$FB,75)</f>
        <v>996</v>
      </c>
      <c r="F187" s="91">
        <f>VLOOKUP($A187,'Data Vlaue (Cr)'!$C:$FB,77)</f>
        <v>5</v>
      </c>
      <c r="G187" s="92">
        <f>VLOOKUP(A187,'Data Vlaue (Cr)'!C182:CB396,78,0)</f>
        <v>5.0000000000000001E-3</v>
      </c>
      <c r="H187" s="91">
        <f>VLOOKUP($A187,'Data Vlaue (Cr)'!$C:$FB,91)</f>
        <v>42</v>
      </c>
      <c r="I187" s="91">
        <f>VLOOKUP($A187,'Data Vlaue (Cr)'!$C:$FB,93)</f>
        <v>-128</v>
      </c>
      <c r="J187" s="92">
        <f>VLOOKUP($A187,'Data Vlaue (Cr)'!$C:$FB,94)</f>
        <v>-0.75149999999999995</v>
      </c>
      <c r="K187" s="91">
        <f>VLOOKUP($A187,'Data Vlaue (Cr)'!$C:$FB,95)</f>
        <v>31</v>
      </c>
      <c r="L187" s="91">
        <f>VLOOKUP($A187,'Data Vlaue (Cr)'!$C:$FB,97)</f>
        <v>-76</v>
      </c>
      <c r="M187" s="92">
        <f>VLOOKUP($A187,'Data Vlaue (Cr)'!$C:$FB,98)</f>
        <v>-0.71009999999999995</v>
      </c>
      <c r="N187" s="91">
        <f>VLOOKUP($A187,'Data Vlaue (Cr)'!$C:$FB,79)</f>
        <v>28</v>
      </c>
      <c r="O187" s="92">
        <f>VLOOKUP($A187,'Data Vlaue (Cr)'!$C:$FB,82)</f>
        <v>-0.67600000000000005</v>
      </c>
    </row>
    <row r="188" spans="1:15" x14ac:dyDescent="0.25">
      <c r="A188" s="97" t="str">
        <f>'Data Vlaue (Cr)'!C183</f>
        <v>SHRIRAMFIN</v>
      </c>
      <c r="B188" s="142">
        <f>VLOOKUP(A188,'Data Vlaue (Cr)'!C183:CW397,99,0)</f>
        <v>4784</v>
      </c>
      <c r="C188" s="90">
        <f>VLOOKUP(A188,'Data Vlaue (Cr)'!C183:CY397,101,0)</f>
        <v>-1739</v>
      </c>
      <c r="D188" s="139">
        <f>VLOOKUP(A188,'Data Vlaue (Cr)'!C183:CZ397,102,0)</f>
        <v>-0.2666</v>
      </c>
      <c r="E188" s="91">
        <f>VLOOKUP($A188,'Data Vlaue (Cr)'!$C:$FB,75)</f>
        <v>3933</v>
      </c>
      <c r="F188" s="91">
        <f>VLOOKUP($A188,'Data Vlaue (Cr)'!$C:$FB,77)</f>
        <v>-277</v>
      </c>
      <c r="G188" s="92">
        <f>VLOOKUP(A188,'Data Vlaue (Cr)'!C183:CB397,78,0)</f>
        <v>-6.5799999999999997E-2</v>
      </c>
      <c r="H188" s="91">
        <f>VLOOKUP($A188,'Data Vlaue (Cr)'!$C:$FB,91)</f>
        <v>480</v>
      </c>
      <c r="I188" s="91">
        <f>VLOOKUP($A188,'Data Vlaue (Cr)'!$C:$FB,93)</f>
        <v>-923</v>
      </c>
      <c r="J188" s="92">
        <f>VLOOKUP($A188,'Data Vlaue (Cr)'!$C:$FB,94)</f>
        <v>-0.65780000000000005</v>
      </c>
      <c r="K188" s="91">
        <f>VLOOKUP($A188,'Data Vlaue (Cr)'!$C:$FB,95)</f>
        <v>371</v>
      </c>
      <c r="L188" s="91">
        <f>VLOOKUP($A188,'Data Vlaue (Cr)'!$C:$FB,97)</f>
        <v>-539</v>
      </c>
      <c r="M188" s="92">
        <f>VLOOKUP($A188,'Data Vlaue (Cr)'!$C:$FB,98)</f>
        <v>-0.59260000000000002</v>
      </c>
      <c r="N188" s="91">
        <f>VLOOKUP($A188,'Data Vlaue (Cr)'!$C:$FB,79)</f>
        <v>248</v>
      </c>
      <c r="O188" s="92">
        <f>VLOOKUP($A188,'Data Vlaue (Cr)'!$C:$FB,82)</f>
        <v>-0.6653</v>
      </c>
    </row>
    <row r="189" spans="1:15" x14ac:dyDescent="0.25">
      <c r="A189" s="97" t="str">
        <f>'Data Vlaue (Cr)'!C184</f>
        <v>SIEMENS</v>
      </c>
      <c r="B189" s="142">
        <f>VLOOKUP(A189,'Data Vlaue (Cr)'!C184:CW398,99,0)</f>
        <v>1789</v>
      </c>
      <c r="C189" s="90">
        <f>VLOOKUP(A189,'Data Vlaue (Cr)'!C184:CY398,101,0)</f>
        <v>-298</v>
      </c>
      <c r="D189" s="139">
        <f>VLOOKUP(A189,'Data Vlaue (Cr)'!C184:CZ398,102,0)</f>
        <v>-0.1429</v>
      </c>
      <c r="E189" s="91">
        <f>VLOOKUP($A189,'Data Vlaue (Cr)'!$C:$FB,75)</f>
        <v>1096</v>
      </c>
      <c r="F189" s="91">
        <f>VLOOKUP($A189,'Data Vlaue (Cr)'!$C:$FB,77)</f>
        <v>-63</v>
      </c>
      <c r="G189" s="92">
        <f>VLOOKUP(A189,'Data Vlaue (Cr)'!C184:CB398,78,0)</f>
        <v>-5.4300000000000001E-2</v>
      </c>
      <c r="H189" s="91">
        <f>VLOOKUP($A189,'Data Vlaue (Cr)'!$C:$FB,91)</f>
        <v>370</v>
      </c>
      <c r="I189" s="91">
        <f>VLOOKUP($A189,'Data Vlaue (Cr)'!$C:$FB,93)</f>
        <v>-166</v>
      </c>
      <c r="J189" s="92">
        <f>VLOOKUP($A189,'Data Vlaue (Cr)'!$C:$FB,94)</f>
        <v>-0.30930000000000002</v>
      </c>
      <c r="K189" s="91">
        <f>VLOOKUP($A189,'Data Vlaue (Cr)'!$C:$FB,95)</f>
        <v>324</v>
      </c>
      <c r="L189" s="91">
        <f>VLOOKUP($A189,'Data Vlaue (Cr)'!$C:$FB,97)</f>
        <v>-70</v>
      </c>
      <c r="M189" s="92">
        <f>VLOOKUP($A189,'Data Vlaue (Cr)'!$C:$FB,98)</f>
        <v>-0.1772</v>
      </c>
      <c r="N189" s="91">
        <f>VLOOKUP($A189,'Data Vlaue (Cr)'!$C:$FB,79)</f>
        <v>109</v>
      </c>
      <c r="O189" s="92">
        <f>VLOOKUP($A189,'Data Vlaue (Cr)'!$C:$FB,82)</f>
        <v>-0.34620000000000001</v>
      </c>
    </row>
    <row r="190" spans="1:15" x14ac:dyDescent="0.25">
      <c r="A190" s="97" t="str">
        <f>'Data Vlaue (Cr)'!C185</f>
        <v>SOLARINDS</v>
      </c>
      <c r="B190" s="142">
        <f>VLOOKUP(A190,'Data Vlaue (Cr)'!C185:CW399,99,0)</f>
        <v>1852</v>
      </c>
      <c r="C190" s="90">
        <f>VLOOKUP(A190,'Data Vlaue (Cr)'!C185:CY399,101,0)</f>
        <v>-964</v>
      </c>
      <c r="D190" s="139">
        <f>VLOOKUP(A190,'Data Vlaue (Cr)'!C185:CZ399,102,0)</f>
        <v>-0.34229999999999999</v>
      </c>
      <c r="E190" s="91">
        <f>VLOOKUP($A190,'Data Vlaue (Cr)'!$C:$FB,75)</f>
        <v>1429</v>
      </c>
      <c r="F190" s="91">
        <f>VLOOKUP($A190,'Data Vlaue (Cr)'!$C:$FB,77)</f>
        <v>-105</v>
      </c>
      <c r="G190" s="92">
        <f>VLOOKUP(A190,'Data Vlaue (Cr)'!C185:CB399,78,0)</f>
        <v>-6.8599999999999994E-2</v>
      </c>
      <c r="H190" s="91">
        <f>VLOOKUP($A190,'Data Vlaue (Cr)'!$C:$FB,91)</f>
        <v>262</v>
      </c>
      <c r="I190" s="91">
        <f>VLOOKUP($A190,'Data Vlaue (Cr)'!$C:$FB,93)</f>
        <v>-418</v>
      </c>
      <c r="J190" s="92">
        <f>VLOOKUP($A190,'Data Vlaue (Cr)'!$C:$FB,94)</f>
        <v>-0.61480000000000001</v>
      </c>
      <c r="K190" s="91">
        <f>VLOOKUP($A190,'Data Vlaue (Cr)'!$C:$FB,95)</f>
        <v>162</v>
      </c>
      <c r="L190" s="91">
        <f>VLOOKUP($A190,'Data Vlaue (Cr)'!$C:$FB,97)</f>
        <v>-441</v>
      </c>
      <c r="M190" s="92">
        <f>VLOOKUP($A190,'Data Vlaue (Cr)'!$C:$FB,98)</f>
        <v>-0.7319</v>
      </c>
      <c r="N190" s="91">
        <f>VLOOKUP($A190,'Data Vlaue (Cr)'!$C:$FB,79)</f>
        <v>53</v>
      </c>
      <c r="O190" s="92">
        <f>VLOOKUP($A190,'Data Vlaue (Cr)'!$C:$FB,82)</f>
        <v>-0.74660000000000004</v>
      </c>
    </row>
    <row r="191" spans="1:15" x14ac:dyDescent="0.25">
      <c r="A191" s="97" t="str">
        <f>'Data Vlaue (Cr)'!C186</f>
        <v>SONACOMS</v>
      </c>
      <c r="B191" s="142">
        <f>VLOOKUP(A191,'Data Vlaue (Cr)'!C186:CW400,99,0)</f>
        <v>1109</v>
      </c>
      <c r="C191" s="90">
        <f>VLOOKUP(A191,'Data Vlaue (Cr)'!C186:CY400,101,0)</f>
        <v>-311</v>
      </c>
      <c r="D191" s="139">
        <f>VLOOKUP(A191,'Data Vlaue (Cr)'!C186:CZ400,102,0)</f>
        <v>-0.21909999999999999</v>
      </c>
      <c r="E191" s="91">
        <f>VLOOKUP($A191,'Data Vlaue (Cr)'!$C:$FB,75)</f>
        <v>912</v>
      </c>
      <c r="F191" s="91">
        <f>VLOOKUP($A191,'Data Vlaue (Cr)'!$C:$FB,77)</f>
        <v>-16</v>
      </c>
      <c r="G191" s="92">
        <f>VLOOKUP(A191,'Data Vlaue (Cr)'!C186:CB400,78,0)</f>
        <v>-1.6799999999999999E-2</v>
      </c>
      <c r="H191" s="91">
        <f>VLOOKUP($A191,'Data Vlaue (Cr)'!$C:$FB,91)</f>
        <v>111</v>
      </c>
      <c r="I191" s="91">
        <f>VLOOKUP($A191,'Data Vlaue (Cr)'!$C:$FB,93)</f>
        <v>-196</v>
      </c>
      <c r="J191" s="92">
        <f>VLOOKUP($A191,'Data Vlaue (Cr)'!$C:$FB,94)</f>
        <v>-0.63770000000000004</v>
      </c>
      <c r="K191" s="91">
        <f>VLOOKUP($A191,'Data Vlaue (Cr)'!$C:$FB,95)</f>
        <v>86</v>
      </c>
      <c r="L191" s="91">
        <f>VLOOKUP($A191,'Data Vlaue (Cr)'!$C:$FB,97)</f>
        <v>-100</v>
      </c>
      <c r="M191" s="92">
        <f>VLOOKUP($A191,'Data Vlaue (Cr)'!$C:$FB,98)</f>
        <v>-0.53779999999999994</v>
      </c>
      <c r="N191" s="91">
        <f>VLOOKUP($A191,'Data Vlaue (Cr)'!$C:$FB,79)</f>
        <v>53</v>
      </c>
      <c r="O191" s="92">
        <f>VLOOKUP($A191,'Data Vlaue (Cr)'!$C:$FB,82)</f>
        <v>-0.66359999999999997</v>
      </c>
    </row>
    <row r="192" spans="1:15" x14ac:dyDescent="0.25">
      <c r="A192" s="97" t="str">
        <f>'Data Vlaue (Cr)'!C187</f>
        <v>SRF</v>
      </c>
      <c r="B192" s="142">
        <f>VLOOKUP(A192,'Data Vlaue (Cr)'!C187:CW401,99,0)</f>
        <v>1191</v>
      </c>
      <c r="C192" s="90">
        <f>VLOOKUP(A192,'Data Vlaue (Cr)'!C187:CY401,101,0)</f>
        <v>-733</v>
      </c>
      <c r="D192" s="139">
        <f>VLOOKUP(A192,'Data Vlaue (Cr)'!C187:CZ401,102,0)</f>
        <v>-0.38090000000000002</v>
      </c>
      <c r="E192" s="91">
        <f>VLOOKUP($A192,'Data Vlaue (Cr)'!$C:$FB,75)</f>
        <v>944</v>
      </c>
      <c r="F192" s="91">
        <f>VLOOKUP($A192,'Data Vlaue (Cr)'!$C:$FB,77)</f>
        <v>-213</v>
      </c>
      <c r="G192" s="92">
        <f>VLOOKUP(A192,'Data Vlaue (Cr)'!C187:CB401,78,0)</f>
        <v>-0.1842</v>
      </c>
      <c r="H192" s="91">
        <f>VLOOKUP($A192,'Data Vlaue (Cr)'!$C:$FB,91)</f>
        <v>156</v>
      </c>
      <c r="I192" s="91">
        <f>VLOOKUP($A192,'Data Vlaue (Cr)'!$C:$FB,93)</f>
        <v>-277</v>
      </c>
      <c r="J192" s="92">
        <f>VLOOKUP($A192,'Data Vlaue (Cr)'!$C:$FB,94)</f>
        <v>-0.64</v>
      </c>
      <c r="K192" s="91">
        <f>VLOOKUP($A192,'Data Vlaue (Cr)'!$C:$FB,95)</f>
        <v>91</v>
      </c>
      <c r="L192" s="91">
        <f>VLOOKUP($A192,'Data Vlaue (Cr)'!$C:$FB,97)</f>
        <v>-242</v>
      </c>
      <c r="M192" s="92">
        <f>VLOOKUP($A192,'Data Vlaue (Cr)'!$C:$FB,98)</f>
        <v>-0.72789999999999999</v>
      </c>
      <c r="N192" s="91">
        <f>VLOOKUP($A192,'Data Vlaue (Cr)'!$C:$FB,79)</f>
        <v>177</v>
      </c>
      <c r="O192" s="92">
        <f>VLOOKUP($A192,'Data Vlaue (Cr)'!$C:$FB,82)</f>
        <v>-0.30759999999999998</v>
      </c>
    </row>
    <row r="193" spans="1:15" x14ac:dyDescent="0.25">
      <c r="A193" s="97" t="str">
        <f>'Data Vlaue (Cr)'!C188</f>
        <v>SUNPHARMA</v>
      </c>
      <c r="B193" s="142">
        <f>VLOOKUP(A193,'Data Vlaue (Cr)'!C188:CW402,99,0)</f>
        <v>5931</v>
      </c>
      <c r="C193" s="90">
        <f>VLOOKUP(A193,'Data Vlaue (Cr)'!C188:CY402,101,0)</f>
        <v>-4714</v>
      </c>
      <c r="D193" s="139">
        <f>VLOOKUP(A193,'Data Vlaue (Cr)'!C188:CZ402,102,0)</f>
        <v>-0.44280000000000003</v>
      </c>
      <c r="E193" s="91">
        <f>VLOOKUP($A193,'Data Vlaue (Cr)'!$C:$FB,75)</f>
        <v>4306</v>
      </c>
      <c r="F193" s="91">
        <f>VLOOKUP($A193,'Data Vlaue (Cr)'!$C:$FB,77)</f>
        <v>-675</v>
      </c>
      <c r="G193" s="92">
        <f>VLOOKUP(A193,'Data Vlaue (Cr)'!C188:CB402,78,0)</f>
        <v>-0.13539999999999999</v>
      </c>
      <c r="H193" s="91">
        <f>VLOOKUP($A193,'Data Vlaue (Cr)'!$C:$FB,91)</f>
        <v>839</v>
      </c>
      <c r="I193" s="91">
        <f>VLOOKUP($A193,'Data Vlaue (Cr)'!$C:$FB,93)</f>
        <v>-2653</v>
      </c>
      <c r="J193" s="92">
        <f>VLOOKUP($A193,'Data Vlaue (Cr)'!$C:$FB,94)</f>
        <v>-0.75970000000000004</v>
      </c>
      <c r="K193" s="91">
        <f>VLOOKUP($A193,'Data Vlaue (Cr)'!$C:$FB,95)</f>
        <v>786</v>
      </c>
      <c r="L193" s="91">
        <f>VLOOKUP($A193,'Data Vlaue (Cr)'!$C:$FB,97)</f>
        <v>-1386</v>
      </c>
      <c r="M193" s="92">
        <f>VLOOKUP($A193,'Data Vlaue (Cr)'!$C:$FB,98)</f>
        <v>-0.6381</v>
      </c>
      <c r="N193" s="91">
        <f>VLOOKUP($A193,'Data Vlaue (Cr)'!$C:$FB,79)</f>
        <v>683</v>
      </c>
      <c r="O193" s="92">
        <f>VLOOKUP($A193,'Data Vlaue (Cr)'!$C:$FB,82)</f>
        <v>-0.17080000000000001</v>
      </c>
    </row>
    <row r="194" spans="1:15" x14ac:dyDescent="0.25">
      <c r="A194" s="97" t="str">
        <f>'Data Vlaue (Cr)'!C189</f>
        <v>SUPREMEIND</v>
      </c>
      <c r="B194" s="142">
        <f>VLOOKUP(A194,'Data Vlaue (Cr)'!C189:CW403,99,0)</f>
        <v>825</v>
      </c>
      <c r="C194" s="90">
        <f>VLOOKUP(A194,'Data Vlaue (Cr)'!C189:CY403,101,0)</f>
        <v>-448</v>
      </c>
      <c r="D194" s="139">
        <f>VLOOKUP(A194,'Data Vlaue (Cr)'!C189:CZ403,102,0)</f>
        <v>-0.35160000000000002</v>
      </c>
      <c r="E194" s="91">
        <f>VLOOKUP($A194,'Data Vlaue (Cr)'!$C:$FB,75)</f>
        <v>747</v>
      </c>
      <c r="F194" s="91">
        <f>VLOOKUP($A194,'Data Vlaue (Cr)'!$C:$FB,77)</f>
        <v>-28</v>
      </c>
      <c r="G194" s="92">
        <f>VLOOKUP(A194,'Data Vlaue (Cr)'!C189:CB403,78,0)</f>
        <v>-3.5799999999999998E-2</v>
      </c>
      <c r="H194" s="91">
        <f>VLOOKUP($A194,'Data Vlaue (Cr)'!$C:$FB,91)</f>
        <v>38</v>
      </c>
      <c r="I194" s="91">
        <f>VLOOKUP($A194,'Data Vlaue (Cr)'!$C:$FB,93)</f>
        <v>-314</v>
      </c>
      <c r="J194" s="92">
        <f>VLOOKUP($A194,'Data Vlaue (Cr)'!$C:$FB,94)</f>
        <v>-0.89080000000000004</v>
      </c>
      <c r="K194" s="91">
        <f>VLOOKUP($A194,'Data Vlaue (Cr)'!$C:$FB,95)</f>
        <v>39</v>
      </c>
      <c r="L194" s="91">
        <f>VLOOKUP($A194,'Data Vlaue (Cr)'!$C:$FB,97)</f>
        <v>-106</v>
      </c>
      <c r="M194" s="92">
        <f>VLOOKUP($A194,'Data Vlaue (Cr)'!$C:$FB,98)</f>
        <v>-0.72960000000000003</v>
      </c>
      <c r="N194" s="91">
        <f>VLOOKUP($A194,'Data Vlaue (Cr)'!$C:$FB,79)</f>
        <v>47</v>
      </c>
      <c r="O194" s="92">
        <f>VLOOKUP($A194,'Data Vlaue (Cr)'!$C:$FB,82)</f>
        <v>-0.57189999999999996</v>
      </c>
    </row>
    <row r="195" spans="1:15" x14ac:dyDescent="0.25">
      <c r="A195" s="97" t="str">
        <f>'Data Vlaue (Cr)'!C190</f>
        <v>SUZLON</v>
      </c>
      <c r="B195" s="142">
        <f>VLOOKUP(A195,'Data Vlaue (Cr)'!C190:CW404,99,0)</f>
        <v>2531</v>
      </c>
      <c r="C195" s="90">
        <f>VLOOKUP(A195,'Data Vlaue (Cr)'!C190:CY404,101,0)</f>
        <v>-870</v>
      </c>
      <c r="D195" s="139">
        <f>VLOOKUP(A195,'Data Vlaue (Cr)'!C190:CZ404,102,0)</f>
        <v>-0.25580000000000003</v>
      </c>
      <c r="E195" s="91">
        <f>VLOOKUP($A195,'Data Vlaue (Cr)'!$C:$FB,75)</f>
        <v>1813</v>
      </c>
      <c r="F195" s="91">
        <f>VLOOKUP($A195,'Data Vlaue (Cr)'!$C:$FB,77)</f>
        <v>-81</v>
      </c>
      <c r="G195" s="92">
        <f>VLOOKUP(A195,'Data Vlaue (Cr)'!C190:CB404,78,0)</f>
        <v>-4.2500000000000003E-2</v>
      </c>
      <c r="H195" s="91">
        <f>VLOOKUP($A195,'Data Vlaue (Cr)'!$C:$FB,91)</f>
        <v>456</v>
      </c>
      <c r="I195" s="91">
        <f>VLOOKUP($A195,'Data Vlaue (Cr)'!$C:$FB,93)</f>
        <v>-538</v>
      </c>
      <c r="J195" s="92">
        <f>VLOOKUP($A195,'Data Vlaue (Cr)'!$C:$FB,94)</f>
        <v>-0.54159999999999997</v>
      </c>
      <c r="K195" s="91">
        <f>VLOOKUP($A195,'Data Vlaue (Cr)'!$C:$FB,95)</f>
        <v>263</v>
      </c>
      <c r="L195" s="91">
        <f>VLOOKUP($A195,'Data Vlaue (Cr)'!$C:$FB,97)</f>
        <v>-251</v>
      </c>
      <c r="M195" s="92">
        <f>VLOOKUP($A195,'Data Vlaue (Cr)'!$C:$FB,98)</f>
        <v>-0.48870000000000002</v>
      </c>
      <c r="N195" s="91">
        <f>VLOOKUP($A195,'Data Vlaue (Cr)'!$C:$FB,79)</f>
        <v>83</v>
      </c>
      <c r="O195" s="92">
        <f>VLOOKUP($A195,'Data Vlaue (Cr)'!$C:$FB,82)</f>
        <v>-0.65500000000000003</v>
      </c>
    </row>
    <row r="196" spans="1:15" x14ac:dyDescent="0.25">
      <c r="A196" s="97" t="str">
        <f>'Data Vlaue (Cr)'!C191</f>
        <v>SWIGGY</v>
      </c>
      <c r="B196" s="142">
        <f>VLOOKUP(A196,'Data Vlaue (Cr)'!C191:CW405,99,0)</f>
        <v>1303</v>
      </c>
      <c r="C196" s="90">
        <f>VLOOKUP(A196,'Data Vlaue (Cr)'!C191:CY405,101,0)</f>
        <v>-545</v>
      </c>
      <c r="D196" s="139">
        <f>VLOOKUP(A196,'Data Vlaue (Cr)'!C191:CZ405,102,0)</f>
        <v>-0.29509999999999997</v>
      </c>
      <c r="E196" s="91">
        <f>VLOOKUP($A196,'Data Vlaue (Cr)'!$C:$FB,75)</f>
        <v>1108</v>
      </c>
      <c r="F196" s="91">
        <f>VLOOKUP($A196,'Data Vlaue (Cr)'!$C:$FB,77)</f>
        <v>-148</v>
      </c>
      <c r="G196" s="92">
        <f>VLOOKUP(A196,'Data Vlaue (Cr)'!C191:CB405,78,0)</f>
        <v>-0.1176</v>
      </c>
      <c r="H196" s="91">
        <f>VLOOKUP($A196,'Data Vlaue (Cr)'!$C:$FB,91)</f>
        <v>139</v>
      </c>
      <c r="I196" s="91">
        <f>VLOOKUP($A196,'Data Vlaue (Cr)'!$C:$FB,93)</f>
        <v>-294</v>
      </c>
      <c r="J196" s="92">
        <f>VLOOKUP($A196,'Data Vlaue (Cr)'!$C:$FB,94)</f>
        <v>-0.67969999999999997</v>
      </c>
      <c r="K196" s="91">
        <f>VLOOKUP($A196,'Data Vlaue (Cr)'!$C:$FB,95)</f>
        <v>56</v>
      </c>
      <c r="L196" s="91">
        <f>VLOOKUP($A196,'Data Vlaue (Cr)'!$C:$FB,97)</f>
        <v>-103</v>
      </c>
      <c r="M196" s="92">
        <f>VLOOKUP($A196,'Data Vlaue (Cr)'!$C:$FB,98)</f>
        <v>-0.64710000000000001</v>
      </c>
      <c r="N196" s="91">
        <f>VLOOKUP($A196,'Data Vlaue (Cr)'!$C:$FB,79)</f>
        <v>172</v>
      </c>
      <c r="O196" s="92">
        <f>VLOOKUP($A196,'Data Vlaue (Cr)'!$C:$FB,82)</f>
        <v>-0.32819999999999999</v>
      </c>
    </row>
    <row r="197" spans="1:15" x14ac:dyDescent="0.25">
      <c r="A197" s="97" t="str">
        <f>'Data Vlaue (Cr)'!C192</f>
        <v>TATACONSUM</v>
      </c>
      <c r="B197" s="142">
        <f>VLOOKUP(A197,'Data Vlaue (Cr)'!C192:CW406,99,0)</f>
        <v>2052</v>
      </c>
      <c r="C197" s="90">
        <f>VLOOKUP(A197,'Data Vlaue (Cr)'!C192:CY406,101,0)</f>
        <v>-741</v>
      </c>
      <c r="D197" s="139">
        <f>VLOOKUP(A197,'Data Vlaue (Cr)'!C192:CZ406,102,0)</f>
        <v>-0.26519999999999999</v>
      </c>
      <c r="E197" s="91">
        <f>VLOOKUP($A197,'Data Vlaue (Cr)'!$C:$FB,75)</f>
        <v>1808</v>
      </c>
      <c r="F197" s="91">
        <f>VLOOKUP($A197,'Data Vlaue (Cr)'!$C:$FB,77)</f>
        <v>-45</v>
      </c>
      <c r="G197" s="92">
        <f>VLOOKUP(A197,'Data Vlaue (Cr)'!C192:CB406,78,0)</f>
        <v>-2.4500000000000001E-2</v>
      </c>
      <c r="H197" s="91">
        <f>VLOOKUP($A197,'Data Vlaue (Cr)'!$C:$FB,91)</f>
        <v>137</v>
      </c>
      <c r="I197" s="91">
        <f>VLOOKUP($A197,'Data Vlaue (Cr)'!$C:$FB,93)</f>
        <v>-428</v>
      </c>
      <c r="J197" s="92">
        <f>VLOOKUP($A197,'Data Vlaue (Cr)'!$C:$FB,94)</f>
        <v>-0.75780000000000003</v>
      </c>
      <c r="K197" s="91">
        <f>VLOOKUP($A197,'Data Vlaue (Cr)'!$C:$FB,95)</f>
        <v>108</v>
      </c>
      <c r="L197" s="91">
        <f>VLOOKUP($A197,'Data Vlaue (Cr)'!$C:$FB,97)</f>
        <v>-268</v>
      </c>
      <c r="M197" s="92">
        <f>VLOOKUP($A197,'Data Vlaue (Cr)'!$C:$FB,98)</f>
        <v>-0.71260000000000001</v>
      </c>
      <c r="N197" s="91">
        <f>VLOOKUP($A197,'Data Vlaue (Cr)'!$C:$FB,79)</f>
        <v>96</v>
      </c>
      <c r="O197" s="92">
        <f>VLOOKUP($A197,'Data Vlaue (Cr)'!$C:$FB,82)</f>
        <v>-0.66369999999999996</v>
      </c>
    </row>
    <row r="198" spans="1:15" x14ac:dyDescent="0.25">
      <c r="A198" s="97" t="str">
        <f>'Data Vlaue (Cr)'!C193</f>
        <v>TATAELXSI</v>
      </c>
      <c r="B198" s="142">
        <f>VLOOKUP(A198,'Data Vlaue (Cr)'!C193:CW407,99,0)</f>
        <v>1032</v>
      </c>
      <c r="C198" s="90">
        <f>VLOOKUP(A198,'Data Vlaue (Cr)'!C193:CY407,101,0)</f>
        <v>-583</v>
      </c>
      <c r="D198" s="139">
        <f>VLOOKUP(A198,'Data Vlaue (Cr)'!C193:CZ407,102,0)</f>
        <v>-0.36099999999999999</v>
      </c>
      <c r="E198" s="91">
        <f>VLOOKUP($A198,'Data Vlaue (Cr)'!$C:$FB,75)</f>
        <v>796</v>
      </c>
      <c r="F198" s="91">
        <f>VLOOKUP($A198,'Data Vlaue (Cr)'!$C:$FB,77)</f>
        <v>-118</v>
      </c>
      <c r="G198" s="92">
        <f>VLOOKUP(A198,'Data Vlaue (Cr)'!C193:CB407,78,0)</f>
        <v>-0.1288</v>
      </c>
      <c r="H198" s="91">
        <f>VLOOKUP($A198,'Data Vlaue (Cr)'!$C:$FB,91)</f>
        <v>138</v>
      </c>
      <c r="I198" s="91">
        <f>VLOOKUP($A198,'Data Vlaue (Cr)'!$C:$FB,93)</f>
        <v>-327</v>
      </c>
      <c r="J198" s="92">
        <f>VLOOKUP($A198,'Data Vlaue (Cr)'!$C:$FB,94)</f>
        <v>-0.70369999999999999</v>
      </c>
      <c r="K198" s="91">
        <f>VLOOKUP($A198,'Data Vlaue (Cr)'!$C:$FB,95)</f>
        <v>98</v>
      </c>
      <c r="L198" s="91">
        <f>VLOOKUP($A198,'Data Vlaue (Cr)'!$C:$FB,97)</f>
        <v>-138</v>
      </c>
      <c r="M198" s="92">
        <f>VLOOKUP($A198,'Data Vlaue (Cr)'!$C:$FB,98)</f>
        <v>-0.58530000000000004</v>
      </c>
      <c r="N198" s="91">
        <f>VLOOKUP($A198,'Data Vlaue (Cr)'!$C:$FB,79)</f>
        <v>60</v>
      </c>
      <c r="O198" s="92">
        <f>VLOOKUP($A198,'Data Vlaue (Cr)'!$C:$FB,82)</f>
        <v>-0.46589999999999998</v>
      </c>
    </row>
    <row r="199" spans="1:15" x14ac:dyDescent="0.25">
      <c r="A199" s="97" t="str">
        <f>'Data Vlaue (Cr)'!C194</f>
        <v>TATAPOWER</v>
      </c>
      <c r="B199" s="142">
        <f>VLOOKUP(A199,'Data Vlaue (Cr)'!C194:CW408,99,0)</f>
        <v>3831</v>
      </c>
      <c r="C199" s="90">
        <f>VLOOKUP(A199,'Data Vlaue (Cr)'!C194:CY408,101,0)</f>
        <v>-1318</v>
      </c>
      <c r="D199" s="139">
        <f>VLOOKUP(A199,'Data Vlaue (Cr)'!C194:CZ408,102,0)</f>
        <v>-0.25600000000000001</v>
      </c>
      <c r="E199" s="91">
        <f>VLOOKUP($A199,'Data Vlaue (Cr)'!$C:$FB,75)</f>
        <v>2486</v>
      </c>
      <c r="F199" s="91">
        <f>VLOOKUP($A199,'Data Vlaue (Cr)'!$C:$FB,77)</f>
        <v>-95</v>
      </c>
      <c r="G199" s="92">
        <f>VLOOKUP(A199,'Data Vlaue (Cr)'!C194:CB408,78,0)</f>
        <v>-3.6799999999999999E-2</v>
      </c>
      <c r="H199" s="91">
        <f>VLOOKUP($A199,'Data Vlaue (Cr)'!$C:$FB,91)</f>
        <v>808</v>
      </c>
      <c r="I199" s="91">
        <f>VLOOKUP($A199,'Data Vlaue (Cr)'!$C:$FB,93)</f>
        <v>-831</v>
      </c>
      <c r="J199" s="92">
        <f>VLOOKUP($A199,'Data Vlaue (Cr)'!$C:$FB,94)</f>
        <v>-0.5071</v>
      </c>
      <c r="K199" s="91">
        <f>VLOOKUP($A199,'Data Vlaue (Cr)'!$C:$FB,95)</f>
        <v>537</v>
      </c>
      <c r="L199" s="91">
        <f>VLOOKUP($A199,'Data Vlaue (Cr)'!$C:$FB,97)</f>
        <v>-392</v>
      </c>
      <c r="M199" s="92">
        <f>VLOOKUP($A199,'Data Vlaue (Cr)'!$C:$FB,98)</f>
        <v>-0.42199999999999999</v>
      </c>
      <c r="N199" s="91">
        <f>VLOOKUP($A199,'Data Vlaue (Cr)'!$C:$FB,79)</f>
        <v>370</v>
      </c>
      <c r="O199" s="92">
        <f>VLOOKUP($A199,'Data Vlaue (Cr)'!$C:$FB,82)</f>
        <v>-0.32479999999999998</v>
      </c>
    </row>
    <row r="200" spans="1:15" x14ac:dyDescent="0.25">
      <c r="A200" s="97" t="str">
        <f>'Data Vlaue (Cr)'!C195</f>
        <v>TATASTEEL</v>
      </c>
      <c r="B200" s="142">
        <f>VLOOKUP(A200,'Data Vlaue (Cr)'!C195:CW409,99,0)</f>
        <v>5503</v>
      </c>
      <c r="C200" s="90">
        <f>VLOOKUP(A200,'Data Vlaue (Cr)'!C195:CY409,101,0)</f>
        <v>-2794</v>
      </c>
      <c r="D200" s="139">
        <f>VLOOKUP(A200,'Data Vlaue (Cr)'!C195:CZ409,102,0)</f>
        <v>-0.3367</v>
      </c>
      <c r="E200" s="91">
        <f>VLOOKUP($A200,'Data Vlaue (Cr)'!$C:$FB,75)</f>
        <v>3990</v>
      </c>
      <c r="F200" s="91">
        <f>VLOOKUP($A200,'Data Vlaue (Cr)'!$C:$FB,77)</f>
        <v>-308</v>
      </c>
      <c r="G200" s="92">
        <f>VLOOKUP(A200,'Data Vlaue (Cr)'!C195:CB409,78,0)</f>
        <v>-7.1599999999999997E-2</v>
      </c>
      <c r="H200" s="91">
        <f>VLOOKUP($A200,'Data Vlaue (Cr)'!$C:$FB,91)</f>
        <v>947</v>
      </c>
      <c r="I200" s="91">
        <f>VLOOKUP($A200,'Data Vlaue (Cr)'!$C:$FB,93)</f>
        <v>-1548</v>
      </c>
      <c r="J200" s="92">
        <f>VLOOKUP($A200,'Data Vlaue (Cr)'!$C:$FB,94)</f>
        <v>-0.62029999999999996</v>
      </c>
      <c r="K200" s="91">
        <f>VLOOKUP($A200,'Data Vlaue (Cr)'!$C:$FB,95)</f>
        <v>566</v>
      </c>
      <c r="L200" s="91">
        <f>VLOOKUP($A200,'Data Vlaue (Cr)'!$C:$FB,97)</f>
        <v>-938</v>
      </c>
      <c r="M200" s="92">
        <f>VLOOKUP($A200,'Data Vlaue (Cr)'!$C:$FB,98)</f>
        <v>-0.62370000000000003</v>
      </c>
      <c r="N200" s="91">
        <f>VLOOKUP($A200,'Data Vlaue (Cr)'!$C:$FB,79)</f>
        <v>537</v>
      </c>
      <c r="O200" s="92">
        <f>VLOOKUP($A200,'Data Vlaue (Cr)'!$C:$FB,82)</f>
        <v>-0.25369999999999998</v>
      </c>
    </row>
    <row r="201" spans="1:15" x14ac:dyDescent="0.25">
      <c r="A201" s="97" t="str">
        <f>'Data Vlaue (Cr)'!C196</f>
        <v>TCS</v>
      </c>
      <c r="B201" s="142">
        <f>VLOOKUP(A201,'Data Vlaue (Cr)'!C196:CW410,99,0)</f>
        <v>12658</v>
      </c>
      <c r="C201" s="90">
        <f>VLOOKUP(A201,'Data Vlaue (Cr)'!C196:CY410,101,0)</f>
        <v>-4985</v>
      </c>
      <c r="D201" s="139">
        <f>VLOOKUP(A201,'Data Vlaue (Cr)'!C196:CZ410,102,0)</f>
        <v>-0.28249999999999997</v>
      </c>
      <c r="E201" s="91">
        <f>VLOOKUP($A201,'Data Vlaue (Cr)'!$C:$FB,75)</f>
        <v>9371</v>
      </c>
      <c r="F201" s="91">
        <f>VLOOKUP($A201,'Data Vlaue (Cr)'!$C:$FB,77)</f>
        <v>-1136</v>
      </c>
      <c r="G201" s="92">
        <f>VLOOKUP(A201,'Data Vlaue (Cr)'!C196:CB410,78,0)</f>
        <v>-0.1081</v>
      </c>
      <c r="H201" s="91">
        <f>VLOOKUP($A201,'Data Vlaue (Cr)'!$C:$FB,91)</f>
        <v>1684</v>
      </c>
      <c r="I201" s="91">
        <f>VLOOKUP($A201,'Data Vlaue (Cr)'!$C:$FB,93)</f>
        <v>-2527</v>
      </c>
      <c r="J201" s="92">
        <f>VLOOKUP($A201,'Data Vlaue (Cr)'!$C:$FB,94)</f>
        <v>-0.6</v>
      </c>
      <c r="K201" s="91">
        <f>VLOOKUP($A201,'Data Vlaue (Cr)'!$C:$FB,95)</f>
        <v>1602</v>
      </c>
      <c r="L201" s="91">
        <f>VLOOKUP($A201,'Data Vlaue (Cr)'!$C:$FB,97)</f>
        <v>-1322</v>
      </c>
      <c r="M201" s="92">
        <f>VLOOKUP($A201,'Data Vlaue (Cr)'!$C:$FB,98)</f>
        <v>-0.45200000000000001</v>
      </c>
      <c r="N201" s="91">
        <f>VLOOKUP($A201,'Data Vlaue (Cr)'!$C:$FB,79)</f>
        <v>704</v>
      </c>
      <c r="O201" s="92">
        <f>VLOOKUP($A201,'Data Vlaue (Cr)'!$C:$FB,82)</f>
        <v>-0.43020000000000003</v>
      </c>
    </row>
    <row r="202" spans="1:15" x14ac:dyDescent="0.25">
      <c r="A202" s="97" t="str">
        <f>'Data Vlaue (Cr)'!C197</f>
        <v>TECHM</v>
      </c>
      <c r="B202" s="142">
        <f>VLOOKUP(A202,'Data Vlaue (Cr)'!C197:CW411,99,0)</f>
        <v>3310</v>
      </c>
      <c r="C202" s="90">
        <f>VLOOKUP(A202,'Data Vlaue (Cr)'!C197:CY411,101,0)</f>
        <v>-1813</v>
      </c>
      <c r="D202" s="139">
        <f>VLOOKUP(A202,'Data Vlaue (Cr)'!C197:CZ411,102,0)</f>
        <v>-0.3538</v>
      </c>
      <c r="E202" s="91">
        <f>VLOOKUP($A202,'Data Vlaue (Cr)'!$C:$FB,75)</f>
        <v>2663</v>
      </c>
      <c r="F202" s="91">
        <f>VLOOKUP($A202,'Data Vlaue (Cr)'!$C:$FB,77)</f>
        <v>-106</v>
      </c>
      <c r="G202" s="92">
        <f>VLOOKUP(A202,'Data Vlaue (Cr)'!C197:CB411,78,0)</f>
        <v>-3.8300000000000001E-2</v>
      </c>
      <c r="H202" s="91">
        <f>VLOOKUP($A202,'Data Vlaue (Cr)'!$C:$FB,91)</f>
        <v>359</v>
      </c>
      <c r="I202" s="91">
        <f>VLOOKUP($A202,'Data Vlaue (Cr)'!$C:$FB,93)</f>
        <v>-1087</v>
      </c>
      <c r="J202" s="92">
        <f>VLOOKUP($A202,'Data Vlaue (Cr)'!$C:$FB,94)</f>
        <v>-0.75170000000000003</v>
      </c>
      <c r="K202" s="91">
        <f>VLOOKUP($A202,'Data Vlaue (Cr)'!$C:$FB,95)</f>
        <v>289</v>
      </c>
      <c r="L202" s="91">
        <f>VLOOKUP($A202,'Data Vlaue (Cr)'!$C:$FB,97)</f>
        <v>-619</v>
      </c>
      <c r="M202" s="92">
        <f>VLOOKUP($A202,'Data Vlaue (Cr)'!$C:$FB,98)</f>
        <v>-0.68200000000000005</v>
      </c>
      <c r="N202" s="91">
        <f>VLOOKUP($A202,'Data Vlaue (Cr)'!$C:$FB,79)</f>
        <v>186</v>
      </c>
      <c r="O202" s="92">
        <f>VLOOKUP($A202,'Data Vlaue (Cr)'!$C:$FB,82)</f>
        <v>-0.55159999999999998</v>
      </c>
    </row>
    <row r="203" spans="1:15" x14ac:dyDescent="0.25">
      <c r="A203" s="97" t="str">
        <f>'Data Vlaue (Cr)'!C198</f>
        <v>TIINDIA</v>
      </c>
      <c r="B203" s="142">
        <f>VLOOKUP(A203,'Data Vlaue (Cr)'!C198:CW412,99,0)</f>
        <v>754</v>
      </c>
      <c r="C203" s="90">
        <f>VLOOKUP(A203,'Data Vlaue (Cr)'!C198:CY412,101,0)</f>
        <v>-301</v>
      </c>
      <c r="D203" s="139">
        <f>VLOOKUP(A203,'Data Vlaue (Cr)'!C198:CZ412,102,0)</f>
        <v>-0.28510000000000002</v>
      </c>
      <c r="E203" s="91">
        <f>VLOOKUP($A203,'Data Vlaue (Cr)'!$C:$FB,75)</f>
        <v>683</v>
      </c>
      <c r="F203" s="91">
        <f>VLOOKUP($A203,'Data Vlaue (Cr)'!$C:$FB,77)</f>
        <v>-17</v>
      </c>
      <c r="G203" s="92">
        <f>VLOOKUP(A203,'Data Vlaue (Cr)'!C198:CB412,78,0)</f>
        <v>-2.4199999999999999E-2</v>
      </c>
      <c r="H203" s="91">
        <f>VLOOKUP($A203,'Data Vlaue (Cr)'!$C:$FB,91)</f>
        <v>40</v>
      </c>
      <c r="I203" s="91">
        <f>VLOOKUP($A203,'Data Vlaue (Cr)'!$C:$FB,93)</f>
        <v>-180</v>
      </c>
      <c r="J203" s="92">
        <f>VLOOKUP($A203,'Data Vlaue (Cr)'!$C:$FB,94)</f>
        <v>-0.81969999999999998</v>
      </c>
      <c r="K203" s="91">
        <f>VLOOKUP($A203,'Data Vlaue (Cr)'!$C:$FB,95)</f>
        <v>31</v>
      </c>
      <c r="L203" s="91">
        <f>VLOOKUP($A203,'Data Vlaue (Cr)'!$C:$FB,97)</f>
        <v>-103</v>
      </c>
      <c r="M203" s="92">
        <f>VLOOKUP($A203,'Data Vlaue (Cr)'!$C:$FB,98)</f>
        <v>-0.76729999999999998</v>
      </c>
      <c r="N203" s="91">
        <f>VLOOKUP($A203,'Data Vlaue (Cr)'!$C:$FB,79)</f>
        <v>14</v>
      </c>
      <c r="O203" s="92">
        <f>VLOOKUP($A203,'Data Vlaue (Cr)'!$C:$FB,82)</f>
        <v>-0.50770000000000004</v>
      </c>
    </row>
    <row r="204" spans="1:15" x14ac:dyDescent="0.25">
      <c r="A204" s="97" t="str">
        <f>'Data Vlaue (Cr)'!C199</f>
        <v>TITAN</v>
      </c>
      <c r="B204" s="142">
        <f>VLOOKUP(A204,'Data Vlaue (Cr)'!C199:CW413,99,0)</f>
        <v>4272</v>
      </c>
      <c r="C204" s="90">
        <f>VLOOKUP(A204,'Data Vlaue (Cr)'!C199:CY413,101,0)</f>
        <v>-2709</v>
      </c>
      <c r="D204" s="139">
        <f>VLOOKUP(A204,'Data Vlaue (Cr)'!C199:CZ413,102,0)</f>
        <v>-0.3881</v>
      </c>
      <c r="E204" s="91">
        <f>VLOOKUP($A204,'Data Vlaue (Cr)'!$C:$FB,75)</f>
        <v>3305</v>
      </c>
      <c r="F204" s="91">
        <f>VLOOKUP($A204,'Data Vlaue (Cr)'!$C:$FB,77)</f>
        <v>-265</v>
      </c>
      <c r="G204" s="92">
        <f>VLOOKUP(A204,'Data Vlaue (Cr)'!C199:CB413,78,0)</f>
        <v>-7.4200000000000002E-2</v>
      </c>
      <c r="H204" s="91">
        <f>VLOOKUP($A204,'Data Vlaue (Cr)'!$C:$FB,91)</f>
        <v>550</v>
      </c>
      <c r="I204" s="91">
        <f>VLOOKUP($A204,'Data Vlaue (Cr)'!$C:$FB,93)</f>
        <v>-1618</v>
      </c>
      <c r="J204" s="92">
        <f>VLOOKUP($A204,'Data Vlaue (Cr)'!$C:$FB,94)</f>
        <v>-0.74639999999999995</v>
      </c>
      <c r="K204" s="91">
        <f>VLOOKUP($A204,'Data Vlaue (Cr)'!$C:$FB,95)</f>
        <v>418</v>
      </c>
      <c r="L204" s="91">
        <f>VLOOKUP($A204,'Data Vlaue (Cr)'!$C:$FB,97)</f>
        <v>-826</v>
      </c>
      <c r="M204" s="92">
        <f>VLOOKUP($A204,'Data Vlaue (Cr)'!$C:$FB,98)</f>
        <v>-0.66410000000000002</v>
      </c>
      <c r="N204" s="91">
        <f>VLOOKUP($A204,'Data Vlaue (Cr)'!$C:$FB,79)</f>
        <v>302</v>
      </c>
      <c r="O204" s="92">
        <f>VLOOKUP($A204,'Data Vlaue (Cr)'!$C:$FB,82)</f>
        <v>-0.49780000000000002</v>
      </c>
    </row>
    <row r="205" spans="1:15" x14ac:dyDescent="0.25">
      <c r="A205" s="97" t="str">
        <f>'Data Vlaue (Cr)'!C200</f>
        <v>TMPV</v>
      </c>
      <c r="B205" s="142">
        <f>VLOOKUP(A205,'Data Vlaue (Cr)'!C200:CW414,99,0)</f>
        <v>4036</v>
      </c>
      <c r="C205" s="90">
        <f>VLOOKUP(A205,'Data Vlaue (Cr)'!C200:CY414,101,0)</f>
        <v>-2431</v>
      </c>
      <c r="D205" s="139">
        <f>VLOOKUP(A205,'Data Vlaue (Cr)'!C200:CZ414,102,0)</f>
        <v>-0.37590000000000001</v>
      </c>
      <c r="E205" s="91">
        <f>VLOOKUP($A205,'Data Vlaue (Cr)'!$C:$FB,75)</f>
        <v>3063</v>
      </c>
      <c r="F205" s="91">
        <f>VLOOKUP($A205,'Data Vlaue (Cr)'!$C:$FB,77)</f>
        <v>-416</v>
      </c>
      <c r="G205" s="92">
        <f>VLOOKUP(A205,'Data Vlaue (Cr)'!C200:CB414,78,0)</f>
        <v>-0.1196</v>
      </c>
      <c r="H205" s="91">
        <f>VLOOKUP($A205,'Data Vlaue (Cr)'!$C:$FB,91)</f>
        <v>546</v>
      </c>
      <c r="I205" s="91">
        <f>VLOOKUP($A205,'Data Vlaue (Cr)'!$C:$FB,93)</f>
        <v>-1265</v>
      </c>
      <c r="J205" s="92">
        <f>VLOOKUP($A205,'Data Vlaue (Cr)'!$C:$FB,94)</f>
        <v>-0.69850000000000001</v>
      </c>
      <c r="K205" s="91">
        <f>VLOOKUP($A205,'Data Vlaue (Cr)'!$C:$FB,95)</f>
        <v>427</v>
      </c>
      <c r="L205" s="91">
        <f>VLOOKUP($A205,'Data Vlaue (Cr)'!$C:$FB,97)</f>
        <v>-750</v>
      </c>
      <c r="M205" s="92">
        <f>VLOOKUP($A205,'Data Vlaue (Cr)'!$C:$FB,98)</f>
        <v>-0.63719999999999999</v>
      </c>
      <c r="N205" s="91">
        <f>VLOOKUP($A205,'Data Vlaue (Cr)'!$C:$FB,79)</f>
        <v>696</v>
      </c>
      <c r="O205" s="92">
        <f>VLOOKUP($A205,'Data Vlaue (Cr)'!$C:$FB,82)</f>
        <v>6.6699999999999995E-2</v>
      </c>
    </row>
    <row r="206" spans="1:15" x14ac:dyDescent="0.25">
      <c r="A206" s="97" t="str">
        <f>'Data Vlaue (Cr)'!C201</f>
        <v>TORNTPHARM</v>
      </c>
      <c r="B206" s="142">
        <f>VLOOKUP(A206,'Data Vlaue (Cr)'!C201:CW415,99,0)</f>
        <v>1797</v>
      </c>
      <c r="C206" s="90">
        <f>VLOOKUP(A206,'Data Vlaue (Cr)'!C201:CY415,101,0)</f>
        <v>-407</v>
      </c>
      <c r="D206" s="139">
        <f>VLOOKUP(A206,'Data Vlaue (Cr)'!C201:CZ415,102,0)</f>
        <v>-0.1847</v>
      </c>
      <c r="E206" s="91">
        <f>VLOOKUP($A206,'Data Vlaue (Cr)'!$C:$FB,75)</f>
        <v>1442</v>
      </c>
      <c r="F206" s="91">
        <f>VLOOKUP($A206,'Data Vlaue (Cr)'!$C:$FB,77)</f>
        <v>-39</v>
      </c>
      <c r="G206" s="92">
        <f>VLOOKUP(A206,'Data Vlaue (Cr)'!C201:CB415,78,0)</f>
        <v>-2.6100000000000002E-2</v>
      </c>
      <c r="H206" s="91">
        <f>VLOOKUP($A206,'Data Vlaue (Cr)'!$C:$FB,91)</f>
        <v>232</v>
      </c>
      <c r="I206" s="91">
        <f>VLOOKUP($A206,'Data Vlaue (Cr)'!$C:$FB,93)</f>
        <v>-178</v>
      </c>
      <c r="J206" s="92">
        <f>VLOOKUP($A206,'Data Vlaue (Cr)'!$C:$FB,94)</f>
        <v>-0.43390000000000001</v>
      </c>
      <c r="K206" s="91">
        <f>VLOOKUP($A206,'Data Vlaue (Cr)'!$C:$FB,95)</f>
        <v>123</v>
      </c>
      <c r="L206" s="91">
        <f>VLOOKUP($A206,'Data Vlaue (Cr)'!$C:$FB,97)</f>
        <v>-190</v>
      </c>
      <c r="M206" s="92">
        <f>VLOOKUP($A206,'Data Vlaue (Cr)'!$C:$FB,98)</f>
        <v>-0.60829999999999995</v>
      </c>
      <c r="N206" s="91">
        <f>VLOOKUP($A206,'Data Vlaue (Cr)'!$C:$FB,79)</f>
        <v>27</v>
      </c>
      <c r="O206" s="92">
        <f>VLOOKUP($A206,'Data Vlaue (Cr)'!$C:$FB,82)</f>
        <v>-0.75990000000000002</v>
      </c>
    </row>
    <row r="207" spans="1:15" x14ac:dyDescent="0.25">
      <c r="A207" s="97" t="str">
        <f>'Data Vlaue (Cr)'!C202</f>
        <v>TRENT</v>
      </c>
      <c r="B207" s="142">
        <f>VLOOKUP(A207,'Data Vlaue (Cr)'!C202:CW416,99,0)</f>
        <v>3329</v>
      </c>
      <c r="C207" s="90">
        <f>VLOOKUP(A207,'Data Vlaue (Cr)'!C202:CY416,101,0)</f>
        <v>-1554</v>
      </c>
      <c r="D207" s="139">
        <f>VLOOKUP(A207,'Data Vlaue (Cr)'!C202:CZ416,102,0)</f>
        <v>-0.31830000000000003</v>
      </c>
      <c r="E207" s="91">
        <f>VLOOKUP($A207,'Data Vlaue (Cr)'!$C:$FB,75)</f>
        <v>2639</v>
      </c>
      <c r="F207" s="91">
        <f>VLOOKUP($A207,'Data Vlaue (Cr)'!$C:$FB,77)</f>
        <v>-330</v>
      </c>
      <c r="G207" s="92">
        <f>VLOOKUP(A207,'Data Vlaue (Cr)'!C202:CB416,78,0)</f>
        <v>-0.1111</v>
      </c>
      <c r="H207" s="91">
        <f>VLOOKUP($A207,'Data Vlaue (Cr)'!$C:$FB,91)</f>
        <v>422</v>
      </c>
      <c r="I207" s="91">
        <f>VLOOKUP($A207,'Data Vlaue (Cr)'!$C:$FB,93)</f>
        <v>-838</v>
      </c>
      <c r="J207" s="92">
        <f>VLOOKUP($A207,'Data Vlaue (Cr)'!$C:$FB,94)</f>
        <v>-0.66479999999999995</v>
      </c>
      <c r="K207" s="91">
        <f>VLOOKUP($A207,'Data Vlaue (Cr)'!$C:$FB,95)</f>
        <v>268</v>
      </c>
      <c r="L207" s="91">
        <f>VLOOKUP($A207,'Data Vlaue (Cr)'!$C:$FB,97)</f>
        <v>-386</v>
      </c>
      <c r="M207" s="92">
        <f>VLOOKUP($A207,'Data Vlaue (Cr)'!$C:$FB,98)</f>
        <v>-0.59050000000000002</v>
      </c>
      <c r="N207" s="91">
        <f>VLOOKUP($A207,'Data Vlaue (Cr)'!$C:$FB,79)</f>
        <v>192</v>
      </c>
      <c r="O207" s="92">
        <f>VLOOKUP($A207,'Data Vlaue (Cr)'!$C:$FB,82)</f>
        <v>-0.48039999999999999</v>
      </c>
    </row>
    <row r="208" spans="1:15" x14ac:dyDescent="0.25">
      <c r="A208" s="97" t="str">
        <f>'Data Vlaue (Cr)'!C203</f>
        <v>TVSMOTOR</v>
      </c>
      <c r="B208" s="142">
        <f>VLOOKUP(A208,'Data Vlaue (Cr)'!C203:CW417,99,0)</f>
        <v>3745</v>
      </c>
      <c r="C208" s="90">
        <f>VLOOKUP(A208,'Data Vlaue (Cr)'!C203:CY417,101,0)</f>
        <v>-1191</v>
      </c>
      <c r="D208" s="139">
        <f>VLOOKUP(A208,'Data Vlaue (Cr)'!C203:CZ417,102,0)</f>
        <v>-0.2414</v>
      </c>
      <c r="E208" s="91">
        <f>VLOOKUP($A208,'Data Vlaue (Cr)'!$C:$FB,75)</f>
        <v>3308</v>
      </c>
      <c r="F208" s="91">
        <f>VLOOKUP($A208,'Data Vlaue (Cr)'!$C:$FB,77)</f>
        <v>-179</v>
      </c>
      <c r="G208" s="92">
        <f>VLOOKUP(A208,'Data Vlaue (Cr)'!C203:CB417,78,0)</f>
        <v>-5.1299999999999998E-2</v>
      </c>
      <c r="H208" s="91">
        <f>VLOOKUP($A208,'Data Vlaue (Cr)'!$C:$FB,91)</f>
        <v>214</v>
      </c>
      <c r="I208" s="91">
        <f>VLOOKUP($A208,'Data Vlaue (Cr)'!$C:$FB,93)</f>
        <v>-627</v>
      </c>
      <c r="J208" s="92">
        <f>VLOOKUP($A208,'Data Vlaue (Cr)'!$C:$FB,94)</f>
        <v>-0.74539999999999995</v>
      </c>
      <c r="K208" s="91">
        <f>VLOOKUP($A208,'Data Vlaue (Cr)'!$C:$FB,95)</f>
        <v>223</v>
      </c>
      <c r="L208" s="91">
        <f>VLOOKUP($A208,'Data Vlaue (Cr)'!$C:$FB,97)</f>
        <v>-386</v>
      </c>
      <c r="M208" s="92">
        <f>VLOOKUP($A208,'Data Vlaue (Cr)'!$C:$FB,98)</f>
        <v>-0.63390000000000002</v>
      </c>
      <c r="N208" s="91">
        <f>VLOOKUP($A208,'Data Vlaue (Cr)'!$C:$FB,79)</f>
        <v>195</v>
      </c>
      <c r="O208" s="92">
        <f>VLOOKUP($A208,'Data Vlaue (Cr)'!$C:$FB,82)</f>
        <v>-0.54810000000000003</v>
      </c>
    </row>
    <row r="209" spans="1:15" x14ac:dyDescent="0.25">
      <c r="A209" s="97" t="str">
        <f>'Data Vlaue (Cr)'!C204</f>
        <v>ULTRACEMCO</v>
      </c>
      <c r="B209" s="142">
        <f>VLOOKUP(A209,'Data Vlaue (Cr)'!C204:CW418,99,0)</f>
        <v>3233</v>
      </c>
      <c r="C209" s="90">
        <f>VLOOKUP(A209,'Data Vlaue (Cr)'!C204:CY418,101,0)</f>
        <v>-1824</v>
      </c>
      <c r="D209" s="139">
        <f>VLOOKUP(A209,'Data Vlaue (Cr)'!C204:CZ418,102,0)</f>
        <v>-0.36059999999999998</v>
      </c>
      <c r="E209" s="91">
        <f>VLOOKUP($A209,'Data Vlaue (Cr)'!$C:$FB,75)</f>
        <v>2892</v>
      </c>
      <c r="F209" s="91">
        <f>VLOOKUP($A209,'Data Vlaue (Cr)'!$C:$FB,77)</f>
        <v>-343</v>
      </c>
      <c r="G209" s="92">
        <f>VLOOKUP(A209,'Data Vlaue (Cr)'!C204:CB418,78,0)</f>
        <v>-0.106</v>
      </c>
      <c r="H209" s="91">
        <f>VLOOKUP($A209,'Data Vlaue (Cr)'!$C:$FB,91)</f>
        <v>194</v>
      </c>
      <c r="I209" s="91">
        <f>VLOOKUP($A209,'Data Vlaue (Cr)'!$C:$FB,93)</f>
        <v>-1040</v>
      </c>
      <c r="J209" s="92">
        <f>VLOOKUP($A209,'Data Vlaue (Cr)'!$C:$FB,94)</f>
        <v>-0.84299999999999997</v>
      </c>
      <c r="K209" s="91">
        <f>VLOOKUP($A209,'Data Vlaue (Cr)'!$C:$FB,95)</f>
        <v>147</v>
      </c>
      <c r="L209" s="91">
        <f>VLOOKUP($A209,'Data Vlaue (Cr)'!$C:$FB,97)</f>
        <v>-441</v>
      </c>
      <c r="M209" s="92">
        <f>VLOOKUP($A209,'Data Vlaue (Cr)'!$C:$FB,98)</f>
        <v>-0.74939999999999996</v>
      </c>
      <c r="N209" s="91">
        <f>VLOOKUP($A209,'Data Vlaue (Cr)'!$C:$FB,79)</f>
        <v>338</v>
      </c>
      <c r="O209" s="92">
        <f>VLOOKUP($A209,'Data Vlaue (Cr)'!$C:$FB,82)</f>
        <v>-0.35909999999999997</v>
      </c>
    </row>
    <row r="210" spans="1:15" s="88" customFormat="1" ht="15.75" customHeight="1" x14ac:dyDescent="0.2">
      <c r="A210" s="97" t="str">
        <f>'Data Vlaue (Cr)'!C205</f>
        <v>UNIONBANK</v>
      </c>
      <c r="B210" s="142">
        <f>VLOOKUP(A210,'Data Vlaue (Cr)'!C205:CW419,99,0)</f>
        <v>2643</v>
      </c>
      <c r="C210" s="90">
        <f>VLOOKUP(A210,'Data Vlaue (Cr)'!C205:CY419,101,0)</f>
        <v>-904</v>
      </c>
      <c r="D210" s="139">
        <f>VLOOKUP(A210,'Data Vlaue (Cr)'!C205:CZ419,102,0)</f>
        <v>-0.25490000000000002</v>
      </c>
      <c r="E210" s="91">
        <f>VLOOKUP($A210,'Data Vlaue (Cr)'!$C:$FB,75)</f>
        <v>2079</v>
      </c>
      <c r="F210" s="91">
        <f>VLOOKUP($A210,'Data Vlaue (Cr)'!$C:$FB,77)</f>
        <v>-91</v>
      </c>
      <c r="G210" s="92">
        <f>VLOOKUP(A210,'Data Vlaue (Cr)'!C205:CB419,78,0)</f>
        <v>-4.19E-2</v>
      </c>
      <c r="H210" s="91">
        <f>VLOOKUP($A210,'Data Vlaue (Cr)'!$C:$FB,91)</f>
        <v>315</v>
      </c>
      <c r="I210" s="91">
        <f>VLOOKUP($A210,'Data Vlaue (Cr)'!$C:$FB,93)</f>
        <v>-554</v>
      </c>
      <c r="J210" s="92">
        <f>VLOOKUP($A210,'Data Vlaue (Cr)'!$C:$FB,94)</f>
        <v>-0.63739999999999997</v>
      </c>
      <c r="K210" s="91">
        <f>VLOOKUP($A210,'Data Vlaue (Cr)'!$C:$FB,95)</f>
        <v>249</v>
      </c>
      <c r="L210" s="91">
        <f>VLOOKUP($A210,'Data Vlaue (Cr)'!$C:$FB,97)</f>
        <v>-260</v>
      </c>
      <c r="M210" s="92">
        <f>VLOOKUP($A210,'Data Vlaue (Cr)'!$C:$FB,98)</f>
        <v>-0.51039999999999996</v>
      </c>
      <c r="N210" s="91">
        <f>VLOOKUP($A210,'Data Vlaue (Cr)'!$C:$FB,79)</f>
        <v>151</v>
      </c>
      <c r="O210" s="92">
        <f>VLOOKUP($A210,'Data Vlaue (Cr)'!$C:$FB,82)</f>
        <v>-0.59789999999999999</v>
      </c>
    </row>
    <row r="211" spans="1:15" x14ac:dyDescent="0.25">
      <c r="A211" s="97" t="str">
        <f>'Data Vlaue (Cr)'!C206</f>
        <v>UNITDSPR</v>
      </c>
      <c r="B211" s="142">
        <f>VLOOKUP(A211,'Data Vlaue (Cr)'!C206:CW420,99,0)</f>
        <v>1752</v>
      </c>
      <c r="C211" s="90">
        <f>VLOOKUP(A211,'Data Vlaue (Cr)'!C206:CY420,101,0)</f>
        <v>-882</v>
      </c>
      <c r="D211" s="139">
        <f>VLOOKUP(A211,'Data Vlaue (Cr)'!C206:CZ420,102,0)</f>
        <v>-0.33479999999999999</v>
      </c>
      <c r="E211" s="91">
        <f>VLOOKUP($A211,'Data Vlaue (Cr)'!$C:$FB,75)</f>
        <v>1365</v>
      </c>
      <c r="F211" s="91">
        <f>VLOOKUP($A211,'Data Vlaue (Cr)'!$C:$FB,77)</f>
        <v>-348</v>
      </c>
      <c r="G211" s="92">
        <f>VLOOKUP(A211,'Data Vlaue (Cr)'!C206:CB420,78,0)</f>
        <v>-0.20330000000000001</v>
      </c>
      <c r="H211" s="91">
        <f>VLOOKUP($A211,'Data Vlaue (Cr)'!$C:$FB,91)</f>
        <v>205</v>
      </c>
      <c r="I211" s="91">
        <f>VLOOKUP($A211,'Data Vlaue (Cr)'!$C:$FB,93)</f>
        <v>-304</v>
      </c>
      <c r="J211" s="92">
        <f>VLOOKUP($A211,'Data Vlaue (Cr)'!$C:$FB,94)</f>
        <v>-0.59760000000000002</v>
      </c>
      <c r="K211" s="91">
        <f>VLOOKUP($A211,'Data Vlaue (Cr)'!$C:$FB,95)</f>
        <v>182</v>
      </c>
      <c r="L211" s="91">
        <f>VLOOKUP($A211,'Data Vlaue (Cr)'!$C:$FB,97)</f>
        <v>-230</v>
      </c>
      <c r="M211" s="92">
        <f>VLOOKUP($A211,'Data Vlaue (Cr)'!$C:$FB,98)</f>
        <v>-0.55759999999999998</v>
      </c>
      <c r="N211" s="91">
        <f>VLOOKUP($A211,'Data Vlaue (Cr)'!$C:$FB,79)</f>
        <v>346</v>
      </c>
      <c r="O211" s="92">
        <f>VLOOKUP($A211,'Data Vlaue (Cr)'!$C:$FB,82)</f>
        <v>-0.31259999999999999</v>
      </c>
    </row>
    <row r="212" spans="1:15" x14ac:dyDescent="0.25">
      <c r="A212" s="97" t="str">
        <f>'Data Vlaue (Cr)'!C207</f>
        <v>UNOMINDA</v>
      </c>
      <c r="B212" s="142">
        <f>VLOOKUP(A212,'Data Vlaue (Cr)'!C207:CW421,99,0)</f>
        <v>550</v>
      </c>
      <c r="C212" s="90">
        <f>VLOOKUP(A212,'Data Vlaue (Cr)'!C207:CY421,101,0)</f>
        <v>-392</v>
      </c>
      <c r="D212" s="139">
        <f>VLOOKUP(A212,'Data Vlaue (Cr)'!C207:CZ421,102,0)</f>
        <v>-0.41639999999999999</v>
      </c>
      <c r="E212" s="91">
        <f>VLOOKUP($A212,'Data Vlaue (Cr)'!$C:$FB,75)</f>
        <v>491</v>
      </c>
      <c r="F212" s="91">
        <f>VLOOKUP($A212,'Data Vlaue (Cr)'!$C:$FB,77)</f>
        <v>-10</v>
      </c>
      <c r="G212" s="92">
        <f>VLOOKUP(A212,'Data Vlaue (Cr)'!C207:CB421,78,0)</f>
        <v>-1.9199999999999998E-2</v>
      </c>
      <c r="H212" s="91">
        <f>VLOOKUP($A212,'Data Vlaue (Cr)'!$C:$FB,91)</f>
        <v>31</v>
      </c>
      <c r="I212" s="91">
        <f>VLOOKUP($A212,'Data Vlaue (Cr)'!$C:$FB,93)</f>
        <v>-235</v>
      </c>
      <c r="J212" s="92">
        <f>VLOOKUP($A212,'Data Vlaue (Cr)'!$C:$FB,94)</f>
        <v>-0.88190000000000002</v>
      </c>
      <c r="K212" s="91">
        <f>VLOOKUP($A212,'Data Vlaue (Cr)'!$C:$FB,95)</f>
        <v>27</v>
      </c>
      <c r="L212" s="91">
        <f>VLOOKUP($A212,'Data Vlaue (Cr)'!$C:$FB,97)</f>
        <v>-148</v>
      </c>
      <c r="M212" s="92">
        <f>VLOOKUP($A212,'Data Vlaue (Cr)'!$C:$FB,98)</f>
        <v>-0.84640000000000004</v>
      </c>
      <c r="N212" s="91">
        <f>VLOOKUP($A212,'Data Vlaue (Cr)'!$C:$FB,79)</f>
        <v>21</v>
      </c>
      <c r="O212" s="92">
        <f>VLOOKUP($A212,'Data Vlaue (Cr)'!$C:$FB,82)</f>
        <v>-0.54259999999999997</v>
      </c>
    </row>
    <row r="213" spans="1:15" x14ac:dyDescent="0.25">
      <c r="A213" s="97" t="str">
        <f>'Data Vlaue (Cr)'!C208</f>
        <v>UPL</v>
      </c>
      <c r="B213" s="142">
        <f>VLOOKUP(A213,'Data Vlaue (Cr)'!C208:CW422,99,0)</f>
        <v>2112</v>
      </c>
      <c r="C213" s="90">
        <f>VLOOKUP(A213,'Data Vlaue (Cr)'!C208:CY422,101,0)</f>
        <v>-933</v>
      </c>
      <c r="D213" s="139">
        <f>VLOOKUP(A213,'Data Vlaue (Cr)'!C208:CZ422,102,0)</f>
        <v>-0.30649999999999999</v>
      </c>
      <c r="E213" s="91">
        <f>VLOOKUP($A213,'Data Vlaue (Cr)'!$C:$FB,75)</f>
        <v>1709</v>
      </c>
      <c r="F213" s="91">
        <f>VLOOKUP($A213,'Data Vlaue (Cr)'!$C:$FB,77)</f>
        <v>-295</v>
      </c>
      <c r="G213" s="92">
        <f>VLOOKUP(A213,'Data Vlaue (Cr)'!C208:CB422,78,0)</f>
        <v>-0.14699999999999999</v>
      </c>
      <c r="H213" s="91">
        <f>VLOOKUP($A213,'Data Vlaue (Cr)'!$C:$FB,91)</f>
        <v>214</v>
      </c>
      <c r="I213" s="91">
        <f>VLOOKUP($A213,'Data Vlaue (Cr)'!$C:$FB,93)</f>
        <v>-407</v>
      </c>
      <c r="J213" s="92">
        <f>VLOOKUP($A213,'Data Vlaue (Cr)'!$C:$FB,94)</f>
        <v>-0.6552</v>
      </c>
      <c r="K213" s="91">
        <f>VLOOKUP($A213,'Data Vlaue (Cr)'!$C:$FB,95)</f>
        <v>188</v>
      </c>
      <c r="L213" s="91">
        <f>VLOOKUP($A213,'Data Vlaue (Cr)'!$C:$FB,97)</f>
        <v>-232</v>
      </c>
      <c r="M213" s="92">
        <f>VLOOKUP($A213,'Data Vlaue (Cr)'!$C:$FB,98)</f>
        <v>-0.55189999999999995</v>
      </c>
      <c r="N213" s="91">
        <f>VLOOKUP($A213,'Data Vlaue (Cr)'!$C:$FB,79)</f>
        <v>252</v>
      </c>
      <c r="O213" s="92">
        <f>VLOOKUP($A213,'Data Vlaue (Cr)'!$C:$FB,82)</f>
        <v>-0.59599999999999997</v>
      </c>
    </row>
    <row r="214" spans="1:15" x14ac:dyDescent="0.25">
      <c r="A214" s="97" t="str">
        <f>'Data Vlaue (Cr)'!C209</f>
        <v>VBL</v>
      </c>
      <c r="B214" s="142">
        <f>VLOOKUP(A214,'Data Vlaue (Cr)'!C209:CW423,99,0)</f>
        <v>3083</v>
      </c>
      <c r="C214" s="90">
        <f>VLOOKUP(A214,'Data Vlaue (Cr)'!C209:CY423,101,0)</f>
        <v>-928</v>
      </c>
      <c r="D214" s="139">
        <f>VLOOKUP(A214,'Data Vlaue (Cr)'!C209:CZ423,102,0)</f>
        <v>-0.23130000000000001</v>
      </c>
      <c r="E214" s="91">
        <f>VLOOKUP($A214,'Data Vlaue (Cr)'!$C:$FB,75)</f>
        <v>2610</v>
      </c>
      <c r="F214" s="91">
        <f>VLOOKUP($A214,'Data Vlaue (Cr)'!$C:$FB,77)</f>
        <v>-230</v>
      </c>
      <c r="G214" s="92">
        <f>VLOOKUP(A214,'Data Vlaue (Cr)'!C209:CB423,78,0)</f>
        <v>-8.1000000000000003E-2</v>
      </c>
      <c r="H214" s="91">
        <f>VLOOKUP($A214,'Data Vlaue (Cr)'!$C:$FB,91)</f>
        <v>318</v>
      </c>
      <c r="I214" s="91">
        <f>VLOOKUP($A214,'Data Vlaue (Cr)'!$C:$FB,93)</f>
        <v>-420</v>
      </c>
      <c r="J214" s="92">
        <f>VLOOKUP($A214,'Data Vlaue (Cr)'!$C:$FB,94)</f>
        <v>-0.56899999999999995</v>
      </c>
      <c r="K214" s="91">
        <f>VLOOKUP($A214,'Data Vlaue (Cr)'!$C:$FB,95)</f>
        <v>154</v>
      </c>
      <c r="L214" s="91">
        <f>VLOOKUP($A214,'Data Vlaue (Cr)'!$C:$FB,97)</f>
        <v>-278</v>
      </c>
      <c r="M214" s="92">
        <f>VLOOKUP($A214,'Data Vlaue (Cr)'!$C:$FB,98)</f>
        <v>-0.64270000000000005</v>
      </c>
      <c r="N214" s="91">
        <f>VLOOKUP($A214,'Data Vlaue (Cr)'!$C:$FB,79)</f>
        <v>185</v>
      </c>
      <c r="O214" s="92">
        <f>VLOOKUP($A214,'Data Vlaue (Cr)'!$C:$FB,82)</f>
        <v>-0.60399999999999998</v>
      </c>
    </row>
    <row r="215" spans="1:15" x14ac:dyDescent="0.25">
      <c r="A215" s="97" t="str">
        <f>'Data Vlaue (Cr)'!C210</f>
        <v>VEDL</v>
      </c>
      <c r="B215" s="142">
        <f>VLOOKUP(A215,'Data Vlaue (Cr)'!C210:CW424,99,0)</f>
        <v>2339</v>
      </c>
      <c r="C215" s="90">
        <f>VLOOKUP(A215,'Data Vlaue (Cr)'!C210:CY424,101,0)</f>
        <v>-1424</v>
      </c>
      <c r="D215" s="139">
        <f>VLOOKUP(A215,'Data Vlaue (Cr)'!C210:CZ424,102,0)</f>
        <v>-0.37840000000000001</v>
      </c>
      <c r="E215" s="91">
        <f>VLOOKUP($A215,'Data Vlaue (Cr)'!$C:$FB,75)</f>
        <v>1374</v>
      </c>
      <c r="F215" s="91">
        <f>VLOOKUP($A215,'Data Vlaue (Cr)'!$C:$FB,77)</f>
        <v>-184</v>
      </c>
      <c r="G215" s="92">
        <f>VLOOKUP(A215,'Data Vlaue (Cr)'!C210:CB424,78,0)</f>
        <v>-0.1181</v>
      </c>
      <c r="H215" s="91">
        <f>VLOOKUP($A215,'Data Vlaue (Cr)'!$C:$FB,91)</f>
        <v>590</v>
      </c>
      <c r="I215" s="91">
        <f>VLOOKUP($A215,'Data Vlaue (Cr)'!$C:$FB,93)</f>
        <v>-652</v>
      </c>
      <c r="J215" s="92">
        <f>VLOOKUP($A215,'Data Vlaue (Cr)'!$C:$FB,94)</f>
        <v>-0.5252</v>
      </c>
      <c r="K215" s="91">
        <f>VLOOKUP($A215,'Data Vlaue (Cr)'!$C:$FB,95)</f>
        <v>375</v>
      </c>
      <c r="L215" s="91">
        <f>VLOOKUP($A215,'Data Vlaue (Cr)'!$C:$FB,97)</f>
        <v>-587</v>
      </c>
      <c r="M215" s="92">
        <f>VLOOKUP($A215,'Data Vlaue (Cr)'!$C:$FB,98)</f>
        <v>-0.61009999999999998</v>
      </c>
      <c r="N215" s="91">
        <f>VLOOKUP($A215,'Data Vlaue (Cr)'!$C:$FB,79)</f>
        <v>231</v>
      </c>
      <c r="O215" s="92">
        <f>VLOOKUP($A215,'Data Vlaue (Cr)'!$C:$FB,82)</f>
        <v>-0.33260000000000001</v>
      </c>
    </row>
    <row r="216" spans="1:15" x14ac:dyDescent="0.25">
      <c r="A216" s="97" t="str">
        <f>'Data Vlaue (Cr)'!C211</f>
        <v>VMM</v>
      </c>
      <c r="B216" s="142">
        <f>VLOOKUP(A216,'Data Vlaue (Cr)'!C211:CW425,99,0)</f>
        <v>417</v>
      </c>
      <c r="C216" s="90">
        <f>VLOOKUP(A216,'Data Vlaue (Cr)'!C211:CY425,101,0)</f>
        <v>-139</v>
      </c>
      <c r="D216" s="139">
        <f>VLOOKUP(A216,'Data Vlaue (Cr)'!C211:CZ425,102,0)</f>
        <v>-0.25019999999999998</v>
      </c>
      <c r="E216" s="91">
        <f>VLOOKUP($A216,'Data Vlaue (Cr)'!$C:$FB,75)</f>
        <v>380</v>
      </c>
      <c r="F216" s="91">
        <f>VLOOKUP($A216,'Data Vlaue (Cr)'!$C:$FB,77)</f>
        <v>-5</v>
      </c>
      <c r="G216" s="92">
        <f>VLOOKUP(A216,'Data Vlaue (Cr)'!C211:CB425,78,0)</f>
        <v>-1.35E-2</v>
      </c>
      <c r="H216" s="91">
        <f>VLOOKUP($A216,'Data Vlaue (Cr)'!$C:$FB,91)</f>
        <v>14</v>
      </c>
      <c r="I216" s="91">
        <f>VLOOKUP($A216,'Data Vlaue (Cr)'!$C:$FB,93)</f>
        <v>-88</v>
      </c>
      <c r="J216" s="92">
        <f>VLOOKUP($A216,'Data Vlaue (Cr)'!$C:$FB,94)</f>
        <v>-0.86599999999999999</v>
      </c>
      <c r="K216" s="91">
        <f>VLOOKUP($A216,'Data Vlaue (Cr)'!$C:$FB,95)</f>
        <v>23</v>
      </c>
      <c r="L216" s="91">
        <f>VLOOKUP($A216,'Data Vlaue (Cr)'!$C:$FB,97)</f>
        <v>-46</v>
      </c>
      <c r="M216" s="92">
        <f>VLOOKUP($A216,'Data Vlaue (Cr)'!$C:$FB,98)</f>
        <v>-0.66500000000000004</v>
      </c>
      <c r="N216" s="91">
        <f>VLOOKUP($A216,'Data Vlaue (Cr)'!$C:$FB,79)</f>
        <v>16</v>
      </c>
      <c r="O216" s="92">
        <f>VLOOKUP($A216,'Data Vlaue (Cr)'!$C:$FB,82)</f>
        <v>-0.61770000000000003</v>
      </c>
    </row>
    <row r="217" spans="1:15" x14ac:dyDescent="0.25">
      <c r="A217" s="97" t="str">
        <f>'Data Vlaue (Cr)'!C212</f>
        <v>VOLTAS</v>
      </c>
      <c r="B217" s="142">
        <f>VLOOKUP(A217,'Data Vlaue (Cr)'!C212:CW426,99,0)</f>
        <v>1775</v>
      </c>
      <c r="C217" s="90">
        <f>VLOOKUP(A217,'Data Vlaue (Cr)'!C212:CY426,101,0)</f>
        <v>-961</v>
      </c>
      <c r="D217" s="139">
        <f>VLOOKUP(A217,'Data Vlaue (Cr)'!C212:CZ426,102,0)</f>
        <v>-0.35139999999999999</v>
      </c>
      <c r="E217" s="91">
        <f>VLOOKUP($A217,'Data Vlaue (Cr)'!$C:$FB,75)</f>
        <v>1265</v>
      </c>
      <c r="F217" s="91">
        <f>VLOOKUP($A217,'Data Vlaue (Cr)'!$C:$FB,77)</f>
        <v>-127</v>
      </c>
      <c r="G217" s="92">
        <f>VLOOKUP(A217,'Data Vlaue (Cr)'!C212:CB426,78,0)</f>
        <v>-9.0999999999999998E-2</v>
      </c>
      <c r="H217" s="91">
        <f>VLOOKUP($A217,'Data Vlaue (Cr)'!$C:$FB,91)</f>
        <v>287</v>
      </c>
      <c r="I217" s="91">
        <f>VLOOKUP($A217,'Data Vlaue (Cr)'!$C:$FB,93)</f>
        <v>-526</v>
      </c>
      <c r="J217" s="92">
        <f>VLOOKUP($A217,'Data Vlaue (Cr)'!$C:$FB,94)</f>
        <v>-0.64729999999999999</v>
      </c>
      <c r="K217" s="91">
        <f>VLOOKUP($A217,'Data Vlaue (Cr)'!$C:$FB,95)</f>
        <v>223</v>
      </c>
      <c r="L217" s="91">
        <f>VLOOKUP($A217,'Data Vlaue (Cr)'!$C:$FB,97)</f>
        <v>-309</v>
      </c>
      <c r="M217" s="92">
        <f>VLOOKUP($A217,'Data Vlaue (Cr)'!$C:$FB,98)</f>
        <v>-0.58099999999999996</v>
      </c>
      <c r="N217" s="91">
        <f>VLOOKUP($A217,'Data Vlaue (Cr)'!$C:$FB,79)</f>
        <v>133</v>
      </c>
      <c r="O217" s="92">
        <f>VLOOKUP($A217,'Data Vlaue (Cr)'!$C:$FB,82)</f>
        <v>-0.50019999999999998</v>
      </c>
    </row>
    <row r="218" spans="1:15" x14ac:dyDescent="0.25">
      <c r="A218" s="97" t="str">
        <f>'Data Vlaue (Cr)'!C213</f>
        <v>WAAREEENER</v>
      </c>
      <c r="B218" s="142">
        <f>VLOOKUP(A218,'Data Vlaue (Cr)'!C213:CW427,99,0)</f>
        <v>2290</v>
      </c>
      <c r="C218" s="90">
        <f>VLOOKUP(A218,'Data Vlaue (Cr)'!C213:CY427,101,0)</f>
        <v>-1596</v>
      </c>
      <c r="D218" s="139">
        <f>VLOOKUP(A218,'Data Vlaue (Cr)'!C213:CZ427,102,0)</f>
        <v>-0.41070000000000001</v>
      </c>
      <c r="E218" s="91">
        <f>VLOOKUP($A218,'Data Vlaue (Cr)'!$C:$FB,75)</f>
        <v>1719</v>
      </c>
      <c r="F218" s="91">
        <f>VLOOKUP($A218,'Data Vlaue (Cr)'!$C:$FB,77)</f>
        <v>-226</v>
      </c>
      <c r="G218" s="92">
        <f>VLOOKUP(A218,'Data Vlaue (Cr)'!C213:CB427,78,0)</f>
        <v>-0.11600000000000001</v>
      </c>
      <c r="H218" s="91">
        <f>VLOOKUP($A218,'Data Vlaue (Cr)'!$C:$FB,91)</f>
        <v>336</v>
      </c>
      <c r="I218" s="91">
        <f>VLOOKUP($A218,'Data Vlaue (Cr)'!$C:$FB,93)</f>
        <v>-1012</v>
      </c>
      <c r="J218" s="92">
        <f>VLOOKUP($A218,'Data Vlaue (Cr)'!$C:$FB,94)</f>
        <v>-0.75049999999999994</v>
      </c>
      <c r="K218" s="91">
        <f>VLOOKUP($A218,'Data Vlaue (Cr)'!$C:$FB,95)</f>
        <v>235</v>
      </c>
      <c r="L218" s="91">
        <f>VLOOKUP($A218,'Data Vlaue (Cr)'!$C:$FB,97)</f>
        <v>-359</v>
      </c>
      <c r="M218" s="92">
        <f>VLOOKUP($A218,'Data Vlaue (Cr)'!$C:$FB,98)</f>
        <v>-0.60450000000000004</v>
      </c>
      <c r="N218" s="91">
        <f>VLOOKUP($A218,'Data Vlaue (Cr)'!$C:$FB,79)</f>
        <v>143</v>
      </c>
      <c r="O218" s="92">
        <f>VLOOKUP($A218,'Data Vlaue (Cr)'!$C:$FB,82)</f>
        <v>-0.67520000000000002</v>
      </c>
    </row>
    <row r="219" spans="1:15" x14ac:dyDescent="0.25">
      <c r="A219" s="97" t="str">
        <f>'Data Vlaue (Cr)'!C214</f>
        <v>WIPRO</v>
      </c>
      <c r="B219" s="142">
        <f>VLOOKUP(A219,'Data Vlaue (Cr)'!C214:CW428,99,0)</f>
        <v>8715</v>
      </c>
      <c r="C219" s="90">
        <f>VLOOKUP(A219,'Data Vlaue (Cr)'!C214:CY428,101,0)</f>
        <v>-2464</v>
      </c>
      <c r="D219" s="139">
        <f>VLOOKUP(A219,'Data Vlaue (Cr)'!C214:CZ428,102,0)</f>
        <v>-0.22040000000000001</v>
      </c>
      <c r="E219" s="91">
        <f>VLOOKUP($A219,'Data Vlaue (Cr)'!$C:$FB,75)</f>
        <v>4904</v>
      </c>
      <c r="F219" s="91">
        <f>VLOOKUP($A219,'Data Vlaue (Cr)'!$C:$FB,77)</f>
        <v>-1191</v>
      </c>
      <c r="G219" s="92">
        <f>VLOOKUP(A219,'Data Vlaue (Cr)'!C214:CB428,78,0)</f>
        <v>-0.19550000000000001</v>
      </c>
      <c r="H219" s="91">
        <f>VLOOKUP($A219,'Data Vlaue (Cr)'!$C:$FB,91)</f>
        <v>2300</v>
      </c>
      <c r="I219" s="91">
        <f>VLOOKUP($A219,'Data Vlaue (Cr)'!$C:$FB,93)</f>
        <v>-869</v>
      </c>
      <c r="J219" s="92">
        <f>VLOOKUP($A219,'Data Vlaue (Cr)'!$C:$FB,94)</f>
        <v>-0.27429999999999999</v>
      </c>
      <c r="K219" s="91">
        <f>VLOOKUP($A219,'Data Vlaue (Cr)'!$C:$FB,95)</f>
        <v>1510</v>
      </c>
      <c r="L219" s="91">
        <f>VLOOKUP($A219,'Data Vlaue (Cr)'!$C:$FB,97)</f>
        <v>-403</v>
      </c>
      <c r="M219" s="92">
        <f>VLOOKUP($A219,'Data Vlaue (Cr)'!$C:$FB,98)</f>
        <v>-0.21060000000000001</v>
      </c>
      <c r="N219" s="91">
        <f>VLOOKUP($A219,'Data Vlaue (Cr)'!$C:$FB,79)</f>
        <v>880</v>
      </c>
      <c r="O219" s="92">
        <f>VLOOKUP($A219,'Data Vlaue (Cr)'!$C:$FB,82)</f>
        <v>-0.43030000000000002</v>
      </c>
    </row>
    <row r="220" spans="1:15" x14ac:dyDescent="0.25">
      <c r="A220" s="97" t="str">
        <f>'Data Vlaue (Cr)'!C215</f>
        <v>YESBANK</v>
      </c>
      <c r="B220" s="142">
        <f>VLOOKUP(A220,'Data Vlaue (Cr)'!C215:CW429,99,0)</f>
        <v>3469</v>
      </c>
      <c r="C220" s="90">
        <f>VLOOKUP(A220,'Data Vlaue (Cr)'!C215:CY429,101,0)</f>
        <v>-916</v>
      </c>
      <c r="D220" s="139">
        <f>VLOOKUP(A220,'Data Vlaue (Cr)'!C215:CZ429,102,0)</f>
        <v>-0.20899999999999999</v>
      </c>
      <c r="E220" s="91">
        <f>VLOOKUP($A220,'Data Vlaue (Cr)'!$C:$FB,75)</f>
        <v>2802</v>
      </c>
      <c r="F220" s="91">
        <f>VLOOKUP($A220,'Data Vlaue (Cr)'!$C:$FB,77)</f>
        <v>-37</v>
      </c>
      <c r="G220" s="92">
        <f>VLOOKUP(A220,'Data Vlaue (Cr)'!C215:CB429,78,0)</f>
        <v>-1.3100000000000001E-2</v>
      </c>
      <c r="H220" s="91">
        <f>VLOOKUP($A220,'Data Vlaue (Cr)'!$C:$FB,91)</f>
        <v>405</v>
      </c>
      <c r="I220" s="91">
        <f>VLOOKUP($A220,'Data Vlaue (Cr)'!$C:$FB,93)</f>
        <v>-537</v>
      </c>
      <c r="J220" s="92">
        <f>VLOOKUP($A220,'Data Vlaue (Cr)'!$C:$FB,94)</f>
        <v>-0.57030000000000003</v>
      </c>
      <c r="K220" s="91">
        <f>VLOOKUP($A220,'Data Vlaue (Cr)'!$C:$FB,95)</f>
        <v>262</v>
      </c>
      <c r="L220" s="91">
        <f>VLOOKUP($A220,'Data Vlaue (Cr)'!$C:$FB,97)</f>
        <v>-342</v>
      </c>
      <c r="M220" s="92">
        <f>VLOOKUP($A220,'Data Vlaue (Cr)'!$C:$FB,98)</f>
        <v>-0.56579999999999997</v>
      </c>
      <c r="N220" s="91">
        <f>VLOOKUP($A220,'Data Vlaue (Cr)'!$C:$FB,79)</f>
        <v>81</v>
      </c>
      <c r="O220" s="92">
        <f>VLOOKUP($A220,'Data Vlaue (Cr)'!$C:$FB,82)</f>
        <v>-0.84589999999999999</v>
      </c>
    </row>
    <row r="221" spans="1:15" x14ac:dyDescent="0.25">
      <c r="A221" s="97" t="str">
        <f>'Data Vlaue (Cr)'!C216</f>
        <v>ZYDUSLIFE</v>
      </c>
      <c r="B221" s="142">
        <f>VLOOKUP(A221,'Data Vlaue (Cr)'!C216:CW430,99,0)</f>
        <v>1629</v>
      </c>
      <c r="C221" s="90">
        <f>VLOOKUP(A221,'Data Vlaue (Cr)'!C216:CY430,101,0)</f>
        <v>-1056</v>
      </c>
      <c r="D221" s="139">
        <f>VLOOKUP(A221,'Data Vlaue (Cr)'!C216:CZ430,102,0)</f>
        <v>-0.3931</v>
      </c>
      <c r="E221" s="91">
        <f>VLOOKUP($A221,'Data Vlaue (Cr)'!$C:$FB,75)</f>
        <v>1159</v>
      </c>
      <c r="F221" s="91">
        <f>VLOOKUP($A221,'Data Vlaue (Cr)'!$C:$FB,77)</f>
        <v>-181</v>
      </c>
      <c r="G221" s="92">
        <f>VLOOKUP(A221,'Data Vlaue (Cr)'!C216:CB430,78,0)</f>
        <v>-0.1353</v>
      </c>
      <c r="H221" s="91">
        <f>VLOOKUP($A221,'Data Vlaue (Cr)'!$C:$FB,91)</f>
        <v>290</v>
      </c>
      <c r="I221" s="91">
        <f>VLOOKUP($A221,'Data Vlaue (Cr)'!$C:$FB,93)</f>
        <v>-520</v>
      </c>
      <c r="J221" s="92">
        <f>VLOOKUP($A221,'Data Vlaue (Cr)'!$C:$FB,94)</f>
        <v>-0.64200000000000002</v>
      </c>
      <c r="K221" s="91">
        <f>VLOOKUP($A221,'Data Vlaue (Cr)'!$C:$FB,95)</f>
        <v>180</v>
      </c>
      <c r="L221" s="91">
        <f>VLOOKUP($A221,'Data Vlaue (Cr)'!$C:$FB,97)</f>
        <v>-354</v>
      </c>
      <c r="M221" s="92">
        <f>VLOOKUP($A221,'Data Vlaue (Cr)'!$C:$FB,98)</f>
        <v>-0.66290000000000004</v>
      </c>
      <c r="N221" s="91">
        <f>VLOOKUP($A221,'Data Vlaue (Cr)'!$C:$FB,79)</f>
        <v>105</v>
      </c>
      <c r="O221" s="92">
        <f>VLOOKUP($A221,'Data Vlaue (Cr)'!$C:$FB,82)</f>
        <v>-0.53320000000000001</v>
      </c>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97"/>
      <c r="B226" s="142"/>
      <c r="C226" s="90"/>
      <c r="D226" s="139"/>
      <c r="E226" s="91"/>
      <c r="F226" s="91"/>
      <c r="G226" s="92"/>
      <c r="H226" s="91"/>
      <c r="I226" s="91"/>
      <c r="J226" s="92"/>
      <c r="K226" s="91"/>
      <c r="L226" s="91"/>
      <c r="M226" s="92"/>
      <c r="N226" s="91"/>
      <c r="O226" s="92"/>
    </row>
    <row r="227" spans="1:15" x14ac:dyDescent="0.25">
      <c r="A227" s="97"/>
      <c r="B227" s="142"/>
      <c r="C227" s="90"/>
      <c r="D227" s="139"/>
      <c r="E227" s="91"/>
      <c r="F227" s="91"/>
      <c r="G227" s="92"/>
      <c r="H227" s="91"/>
      <c r="I227" s="91"/>
      <c r="J227" s="92"/>
      <c r="K227" s="91"/>
      <c r="L227" s="91"/>
      <c r="M227" s="92"/>
      <c r="N227" s="91"/>
      <c r="O227" s="92"/>
    </row>
    <row r="228" spans="1:15" x14ac:dyDescent="0.25">
      <c r="A228" s="97"/>
      <c r="B228" s="142"/>
      <c r="C228" s="90"/>
      <c r="D228" s="139"/>
      <c r="E228" s="91"/>
      <c r="F228" s="91"/>
      <c r="G228" s="92"/>
      <c r="H228" s="91"/>
      <c r="I228" s="91"/>
      <c r="J228" s="92"/>
      <c r="K228" s="91"/>
      <c r="L228" s="91"/>
      <c r="M228" s="92"/>
      <c r="N228" s="91"/>
      <c r="O228" s="92"/>
    </row>
    <row r="229" spans="1:15" x14ac:dyDescent="0.25">
      <c r="A229" s="97"/>
      <c r="B229" s="142"/>
      <c r="C229" s="90"/>
      <c r="D229" s="139"/>
      <c r="E229" s="91"/>
      <c r="F229" s="91"/>
      <c r="G229" s="92"/>
      <c r="H229" s="91"/>
      <c r="I229" s="91"/>
      <c r="J229" s="92"/>
      <c r="K229" s="91"/>
      <c r="L229" s="91"/>
      <c r="M229" s="92"/>
      <c r="N229" s="91"/>
      <c r="O229" s="92"/>
    </row>
    <row r="230" spans="1:15" x14ac:dyDescent="0.25">
      <c r="A230" s="97"/>
      <c r="B230" s="142"/>
      <c r="C230" s="90"/>
      <c r="D230" s="139"/>
      <c r="E230" s="91"/>
      <c r="F230" s="91"/>
      <c r="G230" s="92"/>
      <c r="H230" s="91"/>
      <c r="I230" s="91"/>
      <c r="J230" s="92"/>
      <c r="K230" s="91"/>
      <c r="L230" s="91"/>
      <c r="M230" s="92"/>
      <c r="N230" s="91"/>
      <c r="O230" s="92"/>
    </row>
    <row r="231" spans="1:15" x14ac:dyDescent="0.25">
      <c r="A231" s="97"/>
      <c r="B231" s="142"/>
      <c r="C231" s="90"/>
      <c r="D231" s="139"/>
      <c r="E231" s="91"/>
      <c r="F231" s="91"/>
      <c r="G231" s="92"/>
      <c r="H231" s="91"/>
      <c r="I231" s="91"/>
      <c r="J231" s="92"/>
      <c r="K231" s="91"/>
      <c r="L231" s="91"/>
      <c r="M231" s="92"/>
      <c r="N231" s="91"/>
      <c r="O231" s="92"/>
    </row>
    <row r="232" spans="1:15" x14ac:dyDescent="0.25">
      <c r="A232" s="102"/>
      <c r="B232" s="142"/>
      <c r="C232" s="90"/>
      <c r="D232" s="139"/>
      <c r="E232" s="91"/>
      <c r="F232" s="91"/>
      <c r="G232" s="92"/>
      <c r="H232" s="91"/>
      <c r="I232" s="91"/>
      <c r="J232" s="92"/>
      <c r="K232" s="91"/>
      <c r="L232" s="91"/>
      <c r="M232" s="92"/>
      <c r="N232" s="91"/>
      <c r="O232" s="92"/>
    </row>
    <row r="233" spans="1:15" x14ac:dyDescent="0.25">
      <c r="A233" s="122" t="s">
        <v>391</v>
      </c>
      <c r="B233" s="123">
        <f>SUM(B7:B227)</f>
        <v>1546820</v>
      </c>
      <c r="C233" s="123">
        <f>SUM(C7:C230)</f>
        <v>-1122486</v>
      </c>
      <c r="D233" s="124">
        <f>'Snapshot (Value)'!K241</f>
        <v>-0.42051365622758069</v>
      </c>
      <c r="E233" s="123">
        <f>SUM(E7:E228)</f>
        <v>574912</v>
      </c>
      <c r="F233" s="123">
        <f>SUM(F7:F228)</f>
        <v>-55695</v>
      </c>
      <c r="G233" s="149">
        <f>F233*100/(E233-F233)</f>
        <v>-8.8319666606935865</v>
      </c>
      <c r="H233" s="123">
        <f>SUM(H7:H228)</f>
        <v>484525</v>
      </c>
      <c r="I233" s="123">
        <f>SUM(I7:I228)</f>
        <v>-499707</v>
      </c>
      <c r="J233" s="149">
        <f>I233/(H233-I233)</f>
        <v>-0.50771261247348187</v>
      </c>
      <c r="K233" s="123">
        <f>SUM(K7:K228)</f>
        <v>487384</v>
      </c>
      <c r="L233" s="123">
        <f>SUM(L7:L228)</f>
        <v>-567076</v>
      </c>
      <c r="M233" s="149">
        <f>L233/(K233-L233)</f>
        <v>-0.53778806213606967</v>
      </c>
      <c r="N233" s="123">
        <f>SUM(N7:N228)</f>
        <v>65064</v>
      </c>
      <c r="O233" s="149">
        <f>(N233-FII!V2)/N233</f>
        <v>-0.74045555145702691</v>
      </c>
    </row>
    <row r="238" spans="1:15" x14ac:dyDescent="0.25">
      <c r="A238" s="274" t="s">
        <v>408</v>
      </c>
      <c r="B238" s="274"/>
      <c r="C238" s="274"/>
      <c r="D238" s="274"/>
    </row>
    <row r="239" spans="1:15" x14ac:dyDescent="0.25">
      <c r="A239" s="35" t="s">
        <v>401</v>
      </c>
      <c r="B239" s="35" t="s">
        <v>402</v>
      </c>
      <c r="C239" s="35" t="s">
        <v>369</v>
      </c>
      <c r="D239" s="35" t="s">
        <v>407</v>
      </c>
    </row>
    <row r="240" spans="1:15" x14ac:dyDescent="0.25">
      <c r="A240" s="36" t="s">
        <v>403</v>
      </c>
      <c r="B240" s="37">
        <f>E233</f>
        <v>574912</v>
      </c>
      <c r="C240" s="37">
        <f>F233</f>
        <v>-55695</v>
      </c>
      <c r="D240" s="39">
        <f>C240/B240</f>
        <v>-9.6875695758655234E-2</v>
      </c>
    </row>
    <row r="241" spans="1:4" x14ac:dyDescent="0.25">
      <c r="A241" s="36" t="s">
        <v>404</v>
      </c>
      <c r="B241" s="37">
        <f>H233</f>
        <v>484525</v>
      </c>
      <c r="C241" s="37">
        <f>I233</f>
        <v>-499707</v>
      </c>
      <c r="D241" s="150">
        <f>C241/B241</f>
        <v>-1.0313337805066818</v>
      </c>
    </row>
    <row r="242" spans="1:4" x14ac:dyDescent="0.25">
      <c r="A242" s="36" t="s">
        <v>405</v>
      </c>
      <c r="B242" s="37">
        <f>K233</f>
        <v>487384</v>
      </c>
      <c r="C242" s="37">
        <f>L233</f>
        <v>-567076</v>
      </c>
      <c r="D242" s="150">
        <f>C242/B242</f>
        <v>-1.163509676148581</v>
      </c>
    </row>
    <row r="243" spans="1:4" x14ac:dyDescent="0.25">
      <c r="A243" s="36" t="s">
        <v>406</v>
      </c>
      <c r="B243" s="37">
        <f>B240+B241+B242</f>
        <v>1546821</v>
      </c>
      <c r="C243" s="37">
        <f>C240+C241+C242</f>
        <v>-1122478</v>
      </c>
      <c r="D243" s="150">
        <f>C243/B243</f>
        <v>-0.7256676758332089</v>
      </c>
    </row>
  </sheetData>
  <autoFilter ref="A6:O6">
    <sortState ref="A7:O154">
      <sortCondition ref="A6"/>
    </sortState>
  </autoFilter>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pane ySplit="6" topLeftCell="A14" activePane="bottomLeft" state="frozen"/>
      <selection pane="bottomLeft" activeCell="A7" sqref="A7:A56"/>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2" t="s">
        <v>343</v>
      </c>
      <c r="B3" s="293"/>
      <c r="C3" s="293"/>
      <c r="D3" s="293"/>
      <c r="E3" s="293"/>
      <c r="F3" s="293"/>
      <c r="G3" s="294"/>
      <c r="H3" s="294"/>
      <c r="I3" s="294"/>
      <c r="J3" s="295"/>
    </row>
    <row r="4" spans="1:10" s="93" customFormat="1" x14ac:dyDescent="0.25">
      <c r="A4" s="296" t="s">
        <v>330</v>
      </c>
      <c r="B4" s="296" t="s">
        <v>308</v>
      </c>
      <c r="C4" s="296"/>
      <c r="D4" s="296"/>
      <c r="E4" s="296" t="s">
        <v>340</v>
      </c>
      <c r="F4" s="296"/>
      <c r="G4" s="296"/>
      <c r="H4" s="296" t="s">
        <v>458</v>
      </c>
      <c r="I4" s="296"/>
      <c r="J4" s="296"/>
    </row>
    <row r="5" spans="1:10" s="93" customFormat="1" x14ac:dyDescent="0.25">
      <c r="A5" s="297"/>
      <c r="B5" s="94" t="s">
        <v>312</v>
      </c>
      <c r="C5" s="94" t="s">
        <v>313</v>
      </c>
      <c r="D5" s="94"/>
      <c r="E5" s="297" t="s">
        <v>314</v>
      </c>
      <c r="F5" s="297"/>
      <c r="G5" s="297"/>
      <c r="H5" s="297" t="s">
        <v>314</v>
      </c>
      <c r="I5" s="297"/>
      <c r="J5" s="297"/>
    </row>
    <row r="6" spans="1:10" s="93" customFormat="1" x14ac:dyDescent="0.25">
      <c r="A6" s="94" t="s">
        <v>318</v>
      </c>
      <c r="B6" s="3">
        <f>'OI(Volume)'!B6</f>
        <v>46168</v>
      </c>
      <c r="C6" s="3">
        <f>B6</f>
        <v>46168</v>
      </c>
      <c r="D6" s="94" t="s">
        <v>328</v>
      </c>
      <c r="E6" s="3">
        <f>B6</f>
        <v>46168</v>
      </c>
      <c r="F6" s="94" t="s">
        <v>322</v>
      </c>
      <c r="G6" s="94" t="s">
        <v>328</v>
      </c>
      <c r="H6" s="3">
        <f>E6</f>
        <v>46168</v>
      </c>
      <c r="I6" s="94" t="s">
        <v>322</v>
      </c>
      <c r="J6" s="94" t="s">
        <v>328</v>
      </c>
    </row>
    <row r="7" spans="1:10" x14ac:dyDescent="0.25">
      <c r="A7" s="101" t="str">
        <f>'NIFTY GRP'!C2</f>
        <v>ADANIENT</v>
      </c>
      <c r="B7" s="140">
        <f>VLOOKUP($A7,'Data shares'!$C:$FA,7)</f>
        <v>2969.3</v>
      </c>
      <c r="C7" s="140">
        <f>VLOOKUP($A7,'Data shares'!$C:$FA,3)</f>
        <v>2986</v>
      </c>
      <c r="D7" s="50">
        <f>VLOOKUP($A7,'Data shares'!$C:$FA,6)*100</f>
        <v>4.2</v>
      </c>
      <c r="E7" s="51">
        <f>VLOOKUP($A7,'Data shares'!$C:$FA,98)</f>
        <v>28415022</v>
      </c>
      <c r="F7" s="51">
        <f>VLOOKUP($A7,'Data shares'!$C:$FA,99)</f>
        <v>39496071</v>
      </c>
      <c r="G7" s="50">
        <f>VLOOKUP($A7,'Data shares'!$C:$FA,101)*100</f>
        <v>-28.060000000000002</v>
      </c>
      <c r="H7" s="49">
        <f>VLOOKUP($A7,'Data Vlaue (Cr)'!$C:$FB,99)</f>
        <v>8485</v>
      </c>
      <c r="I7" s="49">
        <f>VLOOKUP($A7,'Data Vlaue (Cr)'!$C:$FB,100)</f>
        <v>11794</v>
      </c>
      <c r="J7" s="49">
        <f>VLOOKUP($A7,'Data Vlaue (Cr)'!$C:$FB,102)*100</f>
        <v>-28.060000000000002</v>
      </c>
    </row>
    <row r="8" spans="1:10" x14ac:dyDescent="0.25">
      <c r="A8" s="101" t="str">
        <f>'NIFTY GRP'!C3</f>
        <v>ADANIPORTS</v>
      </c>
      <c r="B8" s="140">
        <f>VLOOKUP($A8,'Data shares'!$C:$FA,7)</f>
        <v>1811.2</v>
      </c>
      <c r="C8" s="140">
        <f>VLOOKUP($A8,'Data shares'!$C:$FA,3)</f>
        <v>1816.6</v>
      </c>
      <c r="D8" s="50">
        <f>VLOOKUP($A8,'Data shares'!$C:$FA,6)*100</f>
        <v>0.44</v>
      </c>
      <c r="E8" s="51">
        <f>VLOOKUP($A8,'Data shares'!$C:$FA,98)</f>
        <v>27310125</v>
      </c>
      <c r="F8" s="51">
        <f>VLOOKUP($A8,'Data shares'!$C:$FA,99)</f>
        <v>41012925</v>
      </c>
      <c r="G8" s="50">
        <f>VLOOKUP($A8,'Data shares'!$C:$FA,101)*100</f>
        <v>-33.410000000000004</v>
      </c>
      <c r="H8" s="49">
        <f>VLOOKUP($A8,'Data Vlaue (Cr)'!$C:$FB,99)</f>
        <v>4961</v>
      </c>
      <c r="I8" s="49">
        <f>VLOOKUP($A8,'Data Vlaue (Cr)'!$C:$FB,100)</f>
        <v>7450</v>
      </c>
      <c r="J8" s="49">
        <f>VLOOKUP($A8,'Data Vlaue (Cr)'!$C:$FB,102)*100</f>
        <v>-33.410000000000004</v>
      </c>
    </row>
    <row r="9" spans="1:10" x14ac:dyDescent="0.25">
      <c r="A9" s="101" t="str">
        <f>'NIFTY GRP'!C4</f>
        <v>APOLLOHOSP</v>
      </c>
      <c r="B9" s="140">
        <f>VLOOKUP($A9,'Data shares'!$C:$FA,7)</f>
        <v>8258.5</v>
      </c>
      <c r="C9" s="140">
        <f>VLOOKUP($A9,'Data shares'!$C:$FA,3)</f>
        <v>8315</v>
      </c>
      <c r="D9" s="50">
        <f>VLOOKUP($A9,'Data shares'!$C:$FA,6)*100</f>
        <v>-1.58</v>
      </c>
      <c r="E9" s="51">
        <f>VLOOKUP($A9,'Data shares'!$C:$FA,98)</f>
        <v>2733500</v>
      </c>
      <c r="F9" s="51">
        <f>VLOOKUP($A9,'Data shares'!$C:$FA,99)</f>
        <v>4885250</v>
      </c>
      <c r="G9" s="50">
        <f>VLOOKUP($A9,'Data shares'!$C:$FA,101)*100</f>
        <v>-44.05</v>
      </c>
      <c r="H9" s="49">
        <f>VLOOKUP($A9,'Data Vlaue (Cr)'!$C:$FB,99)</f>
        <v>2273</v>
      </c>
      <c r="I9" s="49">
        <f>VLOOKUP($A9,'Data Vlaue (Cr)'!$C:$FB,100)</f>
        <v>4062</v>
      </c>
      <c r="J9" s="49">
        <f>VLOOKUP($A9,'Data Vlaue (Cr)'!$C:$FB,102)*100</f>
        <v>-44.05</v>
      </c>
    </row>
    <row r="10" spans="1:10" x14ac:dyDescent="0.25">
      <c r="A10" s="101" t="str">
        <f>'NIFTY GRP'!C5</f>
        <v>ASIANPAINT</v>
      </c>
      <c r="B10" s="140">
        <f>VLOOKUP($A10,'Data shares'!$C:$FA,7)</f>
        <v>2647</v>
      </c>
      <c r="C10" s="140">
        <f>VLOOKUP($A10,'Data shares'!$C:$FA,3)</f>
        <v>2646.4</v>
      </c>
      <c r="D10" s="50">
        <f>VLOOKUP($A10,'Data shares'!$C:$FA,6)*100</f>
        <v>-0.28999999999999998</v>
      </c>
      <c r="E10" s="51">
        <f>VLOOKUP($A10,'Data shares'!$C:$FA,98)</f>
        <v>14338750</v>
      </c>
      <c r="F10" s="51">
        <f>VLOOKUP($A10,'Data shares'!$C:$FA,99)</f>
        <v>25281250</v>
      </c>
      <c r="G10" s="50">
        <f>VLOOKUP($A10,'Data shares'!$C:$FA,101)*100</f>
        <v>-43.28</v>
      </c>
      <c r="H10" s="49">
        <f>VLOOKUP($A10,'Data Vlaue (Cr)'!$C:$FB,99)</f>
        <v>3795</v>
      </c>
      <c r="I10" s="49">
        <f>VLOOKUP($A10,'Data Vlaue (Cr)'!$C:$FB,100)</f>
        <v>6690</v>
      </c>
      <c r="J10" s="49">
        <f>VLOOKUP($A10,'Data Vlaue (Cr)'!$C:$FB,102)*100</f>
        <v>-43.28</v>
      </c>
    </row>
    <row r="11" spans="1:10" x14ac:dyDescent="0.25">
      <c r="A11" s="101" t="str">
        <f>'NIFTY GRP'!C6</f>
        <v>AXISBANK</v>
      </c>
      <c r="B11" s="140">
        <f>VLOOKUP($A11,'Data shares'!$C:$FA,7)</f>
        <v>1299.3</v>
      </c>
      <c r="C11" s="140">
        <f>VLOOKUP($A11,'Data shares'!$C:$FA,3)</f>
        <v>1307</v>
      </c>
      <c r="D11" s="50">
        <f>VLOOKUP($A11,'Data shares'!$C:$FA,6)*100</f>
        <v>-0.86</v>
      </c>
      <c r="E11" s="51">
        <f>VLOOKUP($A11,'Data shares'!$C:$FA,98)</f>
        <v>75337500</v>
      </c>
      <c r="F11" s="51">
        <f>VLOOKUP($A11,'Data shares'!$C:$FA,99)</f>
        <v>103333750</v>
      </c>
      <c r="G11" s="50">
        <f>VLOOKUP($A11,'Data shares'!$C:$FA,101)*100</f>
        <v>-27.089999999999996</v>
      </c>
      <c r="H11" s="49">
        <f>VLOOKUP($A11,'Data Vlaue (Cr)'!$C:$FB,99)</f>
        <v>9847</v>
      </c>
      <c r="I11" s="49">
        <f>VLOOKUP($A11,'Data Vlaue (Cr)'!$C:$FB,100)</f>
        <v>13506</v>
      </c>
      <c r="J11" s="49">
        <f>VLOOKUP($A11,'Data Vlaue (Cr)'!$C:$FB,102)*100</f>
        <v>-27.089999999999996</v>
      </c>
    </row>
    <row r="12" spans="1:10" x14ac:dyDescent="0.25">
      <c r="A12" s="101" t="str">
        <f>'NIFTY GRP'!C7</f>
        <v>BAJAJ-AUTO</v>
      </c>
      <c r="B12" s="140">
        <f>VLOOKUP($A12,'Data shares'!$C:$FA,7)</f>
        <v>10593</v>
      </c>
      <c r="C12" s="140">
        <f>VLOOKUP($A12,'Data shares'!$C:$FA,3)</f>
        <v>10292</v>
      </c>
      <c r="D12" s="50">
        <f>VLOOKUP($A12,'Data shares'!$C:$FA,6)*100</f>
        <v>0.48</v>
      </c>
      <c r="E12" s="51">
        <f>VLOOKUP($A12,'Data shares'!$C:$FA,98)</f>
        <v>3618075</v>
      </c>
      <c r="F12" s="51">
        <f>VLOOKUP($A12,'Data shares'!$C:$FA,99)</f>
        <v>6355575</v>
      </c>
      <c r="G12" s="50">
        <f>VLOOKUP($A12,'Data shares'!$C:$FA,101)*100</f>
        <v>-43.07</v>
      </c>
      <c r="H12" s="49">
        <f>VLOOKUP($A12,'Data Vlaue (Cr)'!$C:$FB,99)</f>
        <v>3724</v>
      </c>
      <c r="I12" s="49">
        <f>VLOOKUP($A12,'Data Vlaue (Cr)'!$C:$FB,100)</f>
        <v>6541</v>
      </c>
      <c r="J12" s="49">
        <f>VLOOKUP($A12,'Data Vlaue (Cr)'!$C:$FB,102)*100</f>
        <v>-43.07</v>
      </c>
    </row>
    <row r="13" spans="1:10" x14ac:dyDescent="0.25">
      <c r="A13" s="101" t="str">
        <f>'NIFTY GRP'!C8</f>
        <v>BAJAJFINSV</v>
      </c>
      <c r="B13" s="140">
        <f>VLOOKUP($A13,'Data shares'!$C:$FA,7)</f>
        <v>1800.7</v>
      </c>
      <c r="C13" s="140">
        <f>VLOOKUP($A13,'Data shares'!$C:$FA,3)</f>
        <v>1810.6</v>
      </c>
      <c r="D13" s="50">
        <f>VLOOKUP($A13,'Data shares'!$C:$FA,6)*100</f>
        <v>-0.42</v>
      </c>
      <c r="E13" s="51">
        <f>VLOOKUP($A13,'Data shares'!$C:$FA,98)</f>
        <v>14065650</v>
      </c>
      <c r="F13" s="51">
        <f>VLOOKUP($A13,'Data shares'!$C:$FA,99)</f>
        <v>21956600</v>
      </c>
      <c r="G13" s="50">
        <f>VLOOKUP($A13,'Data shares'!$C:$FA,101)*100</f>
        <v>-35.94</v>
      </c>
      <c r="H13" s="49">
        <f>VLOOKUP($A13,'Data Vlaue (Cr)'!$C:$FB,99)</f>
        <v>2547</v>
      </c>
      <c r="I13" s="49">
        <f>VLOOKUP($A13,'Data Vlaue (Cr)'!$C:$FB,100)</f>
        <v>3975</v>
      </c>
      <c r="J13" s="49">
        <f>VLOOKUP($A13,'Data Vlaue (Cr)'!$C:$FB,102)*100</f>
        <v>-35.94</v>
      </c>
    </row>
    <row r="14" spans="1:10" x14ac:dyDescent="0.25">
      <c r="A14" s="101" t="str">
        <f>'NIFTY GRP'!C9</f>
        <v>BAJFINANCE</v>
      </c>
      <c r="B14" s="140">
        <f>VLOOKUP($A14,'Data shares'!$C:$FA,7)</f>
        <v>930.2</v>
      </c>
      <c r="C14" s="140">
        <f>VLOOKUP($A14,'Data shares'!$C:$FA,3)</f>
        <v>928.1</v>
      </c>
      <c r="D14" s="50">
        <f>VLOOKUP($A14,'Data shares'!$C:$FA,6)*100</f>
        <v>-1.6199999999999999</v>
      </c>
      <c r="E14" s="51">
        <f>VLOOKUP($A14,'Data shares'!$C:$FA,98)</f>
        <v>88527000</v>
      </c>
      <c r="F14" s="51">
        <f>VLOOKUP($A14,'Data shares'!$C:$FA,99)</f>
        <v>103698000</v>
      </c>
      <c r="G14" s="50">
        <f>VLOOKUP($A14,'Data shares'!$C:$FA,101)*100</f>
        <v>-14.63</v>
      </c>
      <c r="H14" s="49">
        <f>VLOOKUP($A14,'Data Vlaue (Cr)'!$C:$FB,99)</f>
        <v>8216</v>
      </c>
      <c r="I14" s="49">
        <f>VLOOKUP($A14,'Data Vlaue (Cr)'!$C:$FB,100)</f>
        <v>9624</v>
      </c>
      <c r="J14" s="49">
        <f>VLOOKUP($A14,'Data Vlaue (Cr)'!$C:$FB,102)*100</f>
        <v>-14.63</v>
      </c>
    </row>
    <row r="15" spans="1:10" x14ac:dyDescent="0.25">
      <c r="A15" s="101" t="str">
        <f>'NIFTY GRP'!C10</f>
        <v>BEL</v>
      </c>
      <c r="B15" s="140">
        <f>VLOOKUP($A15,'Data shares'!$C:$FA,7)</f>
        <v>420.1</v>
      </c>
      <c r="C15" s="140">
        <f>VLOOKUP($A15,'Data shares'!$C:$FA,3)</f>
        <v>423.25</v>
      </c>
      <c r="D15" s="50">
        <f>VLOOKUP($A15,'Data shares'!$C:$FA,6)*100</f>
        <v>-0.24</v>
      </c>
      <c r="E15" s="51">
        <f>VLOOKUP($A15,'Data shares'!$C:$FA,98)</f>
        <v>153047850</v>
      </c>
      <c r="F15" s="51">
        <f>VLOOKUP($A15,'Data shares'!$C:$FA,99)</f>
        <v>211920300</v>
      </c>
      <c r="G15" s="50">
        <f>VLOOKUP($A15,'Data shares'!$C:$FA,101)*100</f>
        <v>-27.779999999999998</v>
      </c>
      <c r="H15" s="49">
        <f>VLOOKUP($A15,'Data Vlaue (Cr)'!$C:$FB,99)</f>
        <v>6478</v>
      </c>
      <c r="I15" s="49">
        <f>VLOOKUP($A15,'Data Vlaue (Cr)'!$C:$FB,100)</f>
        <v>8970</v>
      </c>
      <c r="J15" s="49">
        <f>VLOOKUP($A15,'Data Vlaue (Cr)'!$C:$FB,102)*100</f>
        <v>-27.779999999999998</v>
      </c>
    </row>
    <row r="16" spans="1:10" x14ac:dyDescent="0.25">
      <c r="A16" s="101" t="str">
        <f>'NIFTY GRP'!C11</f>
        <v>BHARTIARTL</v>
      </c>
      <c r="B16" s="140">
        <f>VLOOKUP($A16,'Data shares'!$C:$FA,7)</f>
        <v>1846.9</v>
      </c>
      <c r="C16" s="140">
        <f>VLOOKUP($A16,'Data shares'!$C:$FA,3)</f>
        <v>1861.7</v>
      </c>
      <c r="D16" s="50">
        <f>VLOOKUP($A16,'Data shares'!$C:$FA,6)*100</f>
        <v>-1.48</v>
      </c>
      <c r="E16" s="51">
        <f>VLOOKUP($A16,'Data shares'!$C:$FA,98)</f>
        <v>69046000</v>
      </c>
      <c r="F16" s="51">
        <f>VLOOKUP($A16,'Data shares'!$C:$FA,99)</f>
        <v>93988250</v>
      </c>
      <c r="G16" s="50">
        <f>VLOOKUP($A16,'Data shares'!$C:$FA,101)*100</f>
        <v>-26.540000000000003</v>
      </c>
      <c r="H16" s="49">
        <f>VLOOKUP($A16,'Data Vlaue (Cr)'!$C:$FB,99)</f>
        <v>12854</v>
      </c>
      <c r="I16" s="49">
        <f>VLOOKUP($A16,'Data Vlaue (Cr)'!$C:$FB,100)</f>
        <v>17498</v>
      </c>
      <c r="J16" s="49">
        <f>VLOOKUP($A16,'Data Vlaue (Cr)'!$C:$FB,102)*100</f>
        <v>-26.540000000000003</v>
      </c>
    </row>
    <row r="17" spans="1:10" x14ac:dyDescent="0.25">
      <c r="A17" s="101" t="str">
        <f>'NIFTY GRP'!C12</f>
        <v>CIPLA</v>
      </c>
      <c r="B17" s="140">
        <f>VLOOKUP($A17,'Data shares'!$C:$FA,7)</f>
        <v>1417.5</v>
      </c>
      <c r="C17" s="140">
        <f>VLOOKUP($A17,'Data shares'!$C:$FA,3)</f>
        <v>1417</v>
      </c>
      <c r="D17" s="50">
        <f>VLOOKUP($A17,'Data shares'!$C:$FA,6)*100</f>
        <v>0.36</v>
      </c>
      <c r="E17" s="51">
        <f>VLOOKUP($A17,'Data shares'!$C:$FA,98)</f>
        <v>17959350</v>
      </c>
      <c r="F17" s="51">
        <f>VLOOKUP($A17,'Data shares'!$C:$FA,99)</f>
        <v>32066550</v>
      </c>
      <c r="G17" s="50">
        <f>VLOOKUP($A17,'Data shares'!$C:$FA,101)*100</f>
        <v>-43.99</v>
      </c>
      <c r="H17" s="49">
        <f>VLOOKUP($A17,'Data Vlaue (Cr)'!$C:$FB,99)</f>
        <v>2545</v>
      </c>
      <c r="I17" s="49">
        <f>VLOOKUP($A17,'Data Vlaue (Cr)'!$C:$FB,100)</f>
        <v>4544</v>
      </c>
      <c r="J17" s="49">
        <f>VLOOKUP($A17,'Data Vlaue (Cr)'!$C:$FB,102)*100</f>
        <v>-43.99</v>
      </c>
    </row>
    <row r="18" spans="1:10" x14ac:dyDescent="0.25">
      <c r="A18" s="101" t="str">
        <f>'NIFTY GRP'!C13</f>
        <v>COALINDIA</v>
      </c>
      <c r="B18" s="140">
        <f>VLOOKUP($A18,'Data shares'!$C:$FA,7)</f>
        <v>458.15</v>
      </c>
      <c r="C18" s="140">
        <f>VLOOKUP($A18,'Data shares'!$C:$FA,3)</f>
        <v>456.55</v>
      </c>
      <c r="D18" s="50">
        <f>VLOOKUP($A18,'Data shares'!$C:$FA,6)*100</f>
        <v>-0.77</v>
      </c>
      <c r="E18" s="51">
        <f>VLOOKUP($A18,'Data shares'!$C:$FA,98)</f>
        <v>95651550</v>
      </c>
      <c r="F18" s="51">
        <f>VLOOKUP($A18,'Data shares'!$C:$FA,99)</f>
        <v>114535350</v>
      </c>
      <c r="G18" s="50">
        <f>VLOOKUP($A18,'Data shares'!$C:$FA,101)*100</f>
        <v>-16.489999999999998</v>
      </c>
      <c r="H18" s="49">
        <f>VLOOKUP($A18,'Data Vlaue (Cr)'!$C:$FB,99)</f>
        <v>4367</v>
      </c>
      <c r="I18" s="49">
        <f>VLOOKUP($A18,'Data Vlaue (Cr)'!$C:$FB,100)</f>
        <v>5229</v>
      </c>
      <c r="J18" s="49">
        <f>VLOOKUP($A18,'Data Vlaue (Cr)'!$C:$FB,102)*100</f>
        <v>-16.489999999999998</v>
      </c>
    </row>
    <row r="19" spans="1:10" x14ac:dyDescent="0.25">
      <c r="A19" s="101" t="str">
        <f>'NIFTY GRP'!C14</f>
        <v>DRREDDY</v>
      </c>
      <c r="B19" s="140">
        <f>VLOOKUP($A19,'Data shares'!$C:$FA,7)</f>
        <v>1327.9</v>
      </c>
      <c r="C19" s="140">
        <f>VLOOKUP($A19,'Data shares'!$C:$FA,3)</f>
        <v>1326.5</v>
      </c>
      <c r="D19" s="50">
        <f>VLOOKUP($A19,'Data shares'!$C:$FA,6)*100</f>
        <v>-0.62</v>
      </c>
      <c r="E19" s="51">
        <f>VLOOKUP($A19,'Data shares'!$C:$FA,98)</f>
        <v>21895000</v>
      </c>
      <c r="F19" s="51">
        <f>VLOOKUP($A19,'Data shares'!$C:$FA,99)</f>
        <v>37230625</v>
      </c>
      <c r="G19" s="50">
        <f>VLOOKUP($A19,'Data shares'!$C:$FA,101)*100</f>
        <v>-41.19</v>
      </c>
      <c r="H19" s="49">
        <f>VLOOKUP($A19,'Data Vlaue (Cr)'!$C:$FB,99)</f>
        <v>2904</v>
      </c>
      <c r="I19" s="49">
        <f>VLOOKUP($A19,'Data Vlaue (Cr)'!$C:$FB,100)</f>
        <v>4939</v>
      </c>
      <c r="J19" s="49">
        <f>VLOOKUP($A19,'Data Vlaue (Cr)'!$C:$FB,102)*100</f>
        <v>-41.19</v>
      </c>
    </row>
    <row r="20" spans="1:10" x14ac:dyDescent="0.25">
      <c r="A20" s="101" t="str">
        <f>'NIFTY GRP'!C15</f>
        <v>EICHERMOT</v>
      </c>
      <c r="B20" s="140">
        <f>VLOOKUP($A20,'Data shares'!$C:$FA,7)</f>
        <v>7376</v>
      </c>
      <c r="C20" s="140">
        <f>VLOOKUP($A20,'Data shares'!$C:$FA,3)</f>
        <v>7412</v>
      </c>
      <c r="D20" s="50">
        <f>VLOOKUP($A20,'Data shares'!$C:$FA,6)*100</f>
        <v>-0.8</v>
      </c>
      <c r="E20" s="51">
        <f>VLOOKUP($A20,'Data shares'!$C:$FA,98)</f>
        <v>4953800</v>
      </c>
      <c r="F20" s="51">
        <f>VLOOKUP($A20,'Data shares'!$C:$FA,99)</f>
        <v>7303600</v>
      </c>
      <c r="G20" s="50">
        <f>VLOOKUP($A20,'Data shares'!$C:$FA,101)*100</f>
        <v>-32.17</v>
      </c>
      <c r="H20" s="49">
        <f>VLOOKUP($A20,'Data Vlaue (Cr)'!$C:$FB,99)</f>
        <v>3672</v>
      </c>
      <c r="I20" s="49">
        <f>VLOOKUP($A20,'Data Vlaue (Cr)'!$C:$FB,100)</f>
        <v>5413</v>
      </c>
      <c r="J20" s="49">
        <f>VLOOKUP($A20,'Data Vlaue (Cr)'!$C:$FB,102)*100</f>
        <v>-32.17</v>
      </c>
    </row>
    <row r="21" spans="1:10" x14ac:dyDescent="0.25">
      <c r="A21" s="101" t="str">
        <f>'NIFTY GRP'!C16</f>
        <v>ETERNAL</v>
      </c>
      <c r="B21" s="140">
        <f>VLOOKUP($A21,'Data shares'!$C:$FA,7)</f>
        <v>250.17</v>
      </c>
      <c r="C21" s="140">
        <f>VLOOKUP($A21,'Data shares'!$C:$FA,3)</f>
        <v>252.4</v>
      </c>
      <c r="D21" s="50">
        <f>VLOOKUP($A21,'Data shares'!$C:$FA,6)*100</f>
        <v>1.1100000000000001</v>
      </c>
      <c r="E21" s="51">
        <f>VLOOKUP($A21,'Data shares'!$C:$FA,98)</f>
        <v>242856475</v>
      </c>
      <c r="F21" s="51">
        <f>VLOOKUP($A21,'Data shares'!$C:$FA,99)</f>
        <v>315208775</v>
      </c>
      <c r="G21" s="50">
        <f>VLOOKUP($A21,'Data shares'!$C:$FA,101)*100</f>
        <v>-22.95</v>
      </c>
      <c r="H21" s="49">
        <f>VLOOKUP($A21,'Data Vlaue (Cr)'!$C:$FB,99)</f>
        <v>6130</v>
      </c>
      <c r="I21" s="49">
        <f>VLOOKUP($A21,'Data Vlaue (Cr)'!$C:$FB,100)</f>
        <v>7956</v>
      </c>
      <c r="J21" s="49">
        <f>VLOOKUP($A21,'Data Vlaue (Cr)'!$C:$FB,102)*100</f>
        <v>-22.95</v>
      </c>
    </row>
    <row r="22" spans="1:10" x14ac:dyDescent="0.25">
      <c r="A22" s="101" t="str">
        <f>'NIFTY GRP'!C17</f>
        <v>GRASIM</v>
      </c>
      <c r="B22" s="140">
        <f>VLOOKUP($A22,'Data shares'!$C:$FA,7)</f>
        <v>3165</v>
      </c>
      <c r="C22" s="140">
        <f>VLOOKUP($A22,'Data shares'!$C:$FA,3)</f>
        <v>3187.3</v>
      </c>
      <c r="D22" s="50">
        <f>VLOOKUP($A22,'Data shares'!$C:$FA,6)*100</f>
        <v>-0.15</v>
      </c>
      <c r="E22" s="51">
        <f>VLOOKUP($A22,'Data shares'!$C:$FA,98)</f>
        <v>16942500</v>
      </c>
      <c r="F22" s="51">
        <f>VLOOKUP($A22,'Data shares'!$C:$FA,99)</f>
        <v>21216000</v>
      </c>
      <c r="G22" s="50">
        <f>VLOOKUP($A22,'Data shares'!$C:$FA,101)*100</f>
        <v>-20.14</v>
      </c>
      <c r="H22" s="49">
        <f>VLOOKUP($A22,'Data Vlaue (Cr)'!$C:$FB,99)</f>
        <v>5400</v>
      </c>
      <c r="I22" s="49">
        <f>VLOOKUP($A22,'Data Vlaue (Cr)'!$C:$FB,100)</f>
        <v>6762</v>
      </c>
      <c r="J22" s="49">
        <f>VLOOKUP($A22,'Data Vlaue (Cr)'!$C:$FB,102)*100</f>
        <v>-20.14</v>
      </c>
    </row>
    <row r="23" spans="1:10" x14ac:dyDescent="0.25">
      <c r="A23" s="101" t="str">
        <f>'NIFTY GRP'!C18</f>
        <v>HCLTECH</v>
      </c>
      <c r="B23" s="140">
        <f>VLOOKUP($A23,'Data shares'!$C:$FA,7)</f>
        <v>1161.9000000000001</v>
      </c>
      <c r="C23" s="140">
        <f>VLOOKUP($A23,'Data shares'!$C:$FA,3)</f>
        <v>1161.3</v>
      </c>
      <c r="D23" s="50">
        <f>VLOOKUP($A23,'Data shares'!$C:$FA,6)*100</f>
        <v>0.61</v>
      </c>
      <c r="E23" s="51">
        <f>VLOOKUP($A23,'Data shares'!$C:$FA,98)</f>
        <v>47429400</v>
      </c>
      <c r="F23" s="51">
        <f>VLOOKUP($A23,'Data shares'!$C:$FA,99)</f>
        <v>78039050</v>
      </c>
      <c r="G23" s="50">
        <f>VLOOKUP($A23,'Data shares'!$C:$FA,101)*100</f>
        <v>-39.22</v>
      </c>
      <c r="H23" s="49">
        <f>VLOOKUP($A23,'Data Vlaue (Cr)'!$C:$FB,99)</f>
        <v>5508</v>
      </c>
      <c r="I23" s="49">
        <f>VLOOKUP($A23,'Data Vlaue (Cr)'!$C:$FB,100)</f>
        <v>9063</v>
      </c>
      <c r="J23" s="49">
        <f>VLOOKUP($A23,'Data Vlaue (Cr)'!$C:$FB,102)*100</f>
        <v>-39.22</v>
      </c>
    </row>
    <row r="24" spans="1:10" x14ac:dyDescent="0.25">
      <c r="A24" s="101" t="str">
        <f>'NIFTY GRP'!C19</f>
        <v>HDFCBANK</v>
      </c>
      <c r="B24" s="140">
        <f>VLOOKUP($A24,'Data shares'!$C:$FA,7)</f>
        <v>778.9</v>
      </c>
      <c r="C24" s="140">
        <f>VLOOKUP($A24,'Data shares'!$C:$FA,3)</f>
        <v>771.85</v>
      </c>
      <c r="D24" s="50">
        <f>VLOOKUP($A24,'Data shares'!$C:$FA,6)*100</f>
        <v>-0.98</v>
      </c>
      <c r="E24" s="51">
        <f>VLOOKUP($A24,'Data shares'!$C:$FA,98)</f>
        <v>427880700</v>
      </c>
      <c r="F24" s="51">
        <f>VLOOKUP($A24,'Data shares'!$C:$FA,99)</f>
        <v>490120000</v>
      </c>
      <c r="G24" s="50">
        <f>VLOOKUP($A24,'Data shares'!$C:$FA,101)*100</f>
        <v>-12.7</v>
      </c>
      <c r="H24" s="49">
        <f>VLOOKUP($A24,'Data Vlaue (Cr)'!$C:$FB,99)</f>
        <v>33026</v>
      </c>
      <c r="I24" s="49">
        <f>VLOOKUP($A24,'Data Vlaue (Cr)'!$C:$FB,100)</f>
        <v>37830</v>
      </c>
      <c r="J24" s="49">
        <f>VLOOKUP($A24,'Data Vlaue (Cr)'!$C:$FB,102)*100</f>
        <v>-12.7</v>
      </c>
    </row>
    <row r="25" spans="1:10" x14ac:dyDescent="0.25">
      <c r="A25" s="101" t="str">
        <f>'NIFTY GRP'!C20</f>
        <v>HDFCLIFE</v>
      </c>
      <c r="B25" s="140">
        <f>VLOOKUP($A25,'Data shares'!$C:$FA,7)</f>
        <v>618.85</v>
      </c>
      <c r="C25" s="140">
        <f>VLOOKUP($A25,'Data shares'!$C:$FA,3)</f>
        <v>620.25</v>
      </c>
      <c r="D25" s="50">
        <f>VLOOKUP($A25,'Data shares'!$C:$FA,6)*100</f>
        <v>-0.21</v>
      </c>
      <c r="E25" s="51">
        <f>VLOOKUP($A25,'Data shares'!$C:$FA,98)</f>
        <v>63605300</v>
      </c>
      <c r="F25" s="51">
        <f>VLOOKUP($A25,'Data shares'!$C:$FA,99)</f>
        <v>93242600</v>
      </c>
      <c r="G25" s="50">
        <f>VLOOKUP($A25,'Data shares'!$C:$FA,101)*100</f>
        <v>-31.790000000000003</v>
      </c>
      <c r="H25" s="49">
        <f>VLOOKUP($A25,'Data Vlaue (Cr)'!$C:$FB,99)</f>
        <v>3945</v>
      </c>
      <c r="I25" s="49">
        <f>VLOOKUP($A25,'Data Vlaue (Cr)'!$C:$FB,100)</f>
        <v>5783</v>
      </c>
      <c r="J25" s="49">
        <f>VLOOKUP($A25,'Data Vlaue (Cr)'!$C:$FB,102)*100</f>
        <v>-31.790000000000003</v>
      </c>
    </row>
    <row r="26" spans="1:10" x14ac:dyDescent="0.25">
      <c r="A26" s="101" t="str">
        <f>'NIFTY GRP'!C21</f>
        <v>HINDALCO</v>
      </c>
      <c r="B26" s="140">
        <f>VLOOKUP($A26,'Data shares'!$C:$FA,7)</f>
        <v>1103.8</v>
      </c>
      <c r="C26" s="140">
        <f>VLOOKUP($A26,'Data shares'!$C:$FA,3)</f>
        <v>1114</v>
      </c>
      <c r="D26" s="50">
        <f>VLOOKUP($A26,'Data shares'!$C:$FA,6)*100</f>
        <v>0.77999999999999992</v>
      </c>
      <c r="E26" s="51">
        <f>VLOOKUP($A26,'Data shares'!$C:$FA,98)</f>
        <v>42738500</v>
      </c>
      <c r="F26" s="51">
        <f>VLOOKUP($A26,'Data shares'!$C:$FA,99)</f>
        <v>56735700</v>
      </c>
      <c r="G26" s="50">
        <f>VLOOKUP($A26,'Data shares'!$C:$FA,101)*100</f>
        <v>-24.67</v>
      </c>
      <c r="H26" s="49">
        <f>VLOOKUP($A26,'Data Vlaue (Cr)'!$C:$FB,99)</f>
        <v>4761</v>
      </c>
      <c r="I26" s="49">
        <f>VLOOKUP($A26,'Data Vlaue (Cr)'!$C:$FB,100)</f>
        <v>6320</v>
      </c>
      <c r="J26" s="49">
        <f>VLOOKUP($A26,'Data Vlaue (Cr)'!$C:$FB,102)*100</f>
        <v>-24.67</v>
      </c>
    </row>
    <row r="27" spans="1:10" x14ac:dyDescent="0.25">
      <c r="A27" s="101" t="str">
        <f>'NIFTY GRP'!C22</f>
        <v>HINDUNILVR</v>
      </c>
      <c r="B27" s="140">
        <f>VLOOKUP($A27,'Data shares'!$C:$FA,7)</f>
        <v>2209.4</v>
      </c>
      <c r="C27" s="140">
        <f>VLOOKUP($A27,'Data shares'!$C:$FA,3)</f>
        <v>2195.1</v>
      </c>
      <c r="D27" s="50">
        <f>VLOOKUP($A27,'Data shares'!$C:$FA,6)*100</f>
        <v>0.1</v>
      </c>
      <c r="E27" s="51">
        <f>VLOOKUP($A27,'Data shares'!$C:$FA,98)</f>
        <v>21510300</v>
      </c>
      <c r="F27" s="51">
        <f>VLOOKUP($A27,'Data shares'!$C:$FA,99)</f>
        <v>33523800</v>
      </c>
      <c r="G27" s="50">
        <f>VLOOKUP($A27,'Data shares'!$C:$FA,101)*100</f>
        <v>-35.839999999999996</v>
      </c>
      <c r="H27" s="49">
        <f>VLOOKUP($A27,'Data Vlaue (Cr)'!$C:$FB,99)</f>
        <v>4722</v>
      </c>
      <c r="I27" s="49">
        <f>VLOOKUP($A27,'Data Vlaue (Cr)'!$C:$FB,100)</f>
        <v>7359</v>
      </c>
      <c r="J27" s="49">
        <f>VLOOKUP($A27,'Data Vlaue (Cr)'!$C:$FB,102)*100</f>
        <v>-35.839999999999996</v>
      </c>
    </row>
    <row r="28" spans="1:10" x14ac:dyDescent="0.25">
      <c r="A28" s="101" t="str">
        <f>'NIFTY GRP'!C23</f>
        <v>ICICIBANK</v>
      </c>
      <c r="B28" s="140">
        <f>VLOOKUP($A28,'Data shares'!$C:$FA,7)</f>
        <v>1279.0999999999999</v>
      </c>
      <c r="C28" s="140">
        <f>VLOOKUP($A28,'Data shares'!$C:$FA,3)</f>
        <v>1290.2</v>
      </c>
      <c r="D28" s="50">
        <f>VLOOKUP($A28,'Data shares'!$C:$FA,6)*100</f>
        <v>-0.77999999999999992</v>
      </c>
      <c r="E28" s="51">
        <f>VLOOKUP($A28,'Data shares'!$C:$FA,98)</f>
        <v>184001300</v>
      </c>
      <c r="F28" s="51">
        <f>VLOOKUP($A28,'Data shares'!$C:$FA,99)</f>
        <v>225451100</v>
      </c>
      <c r="G28" s="50">
        <f>VLOOKUP($A28,'Data shares'!$C:$FA,101)*100</f>
        <v>-18.39</v>
      </c>
      <c r="H28" s="49">
        <f>VLOOKUP($A28,'Data Vlaue (Cr)'!$C:$FB,99)</f>
        <v>23740</v>
      </c>
      <c r="I28" s="49">
        <f>VLOOKUP($A28,'Data Vlaue (Cr)'!$C:$FB,100)</f>
        <v>29088</v>
      </c>
      <c r="J28" s="49">
        <f>VLOOKUP($A28,'Data Vlaue (Cr)'!$C:$FB,102)*100</f>
        <v>-18.39</v>
      </c>
    </row>
    <row r="29" spans="1:10" x14ac:dyDescent="0.25">
      <c r="A29" s="101" t="str">
        <f>'NIFTY GRP'!C24</f>
        <v>INDIGO</v>
      </c>
      <c r="B29" s="140">
        <f>VLOOKUP($A29,'Data shares'!$C:$FA,7)</f>
        <v>4480.8</v>
      </c>
      <c r="C29" s="140">
        <f>VLOOKUP($A29,'Data shares'!$C:$FA,3)</f>
        <v>4507.3</v>
      </c>
      <c r="D29" s="50">
        <f>VLOOKUP($A29,'Data shares'!$C:$FA,6)*100</f>
        <v>-0.24</v>
      </c>
      <c r="E29" s="51">
        <f>VLOOKUP($A29,'Data shares'!$C:$FA,98)</f>
        <v>10363500</v>
      </c>
      <c r="F29" s="51">
        <f>VLOOKUP($A29,'Data shares'!$C:$FA,99)</f>
        <v>17481450</v>
      </c>
      <c r="G29" s="50">
        <f>VLOOKUP($A29,'Data shares'!$C:$FA,101)*100</f>
        <v>-40.72</v>
      </c>
      <c r="H29" s="49">
        <f>VLOOKUP($A29,'Data Vlaue (Cr)'!$C:$FB,99)</f>
        <v>4671</v>
      </c>
      <c r="I29" s="49">
        <f>VLOOKUP($A29,'Data Vlaue (Cr)'!$C:$FB,100)</f>
        <v>7879</v>
      </c>
      <c r="J29" s="49">
        <f>VLOOKUP($A29,'Data Vlaue (Cr)'!$C:$FB,102)*100</f>
        <v>-40.72</v>
      </c>
    </row>
    <row r="30" spans="1:10" x14ac:dyDescent="0.25">
      <c r="A30" s="101" t="str">
        <f>'NIFTY GRP'!C25</f>
        <v>INFY</v>
      </c>
      <c r="B30" s="140">
        <f>VLOOKUP($A30,'Data shares'!$C:$FA,7)</f>
        <v>1167.7</v>
      </c>
      <c r="C30" s="140">
        <f>VLOOKUP($A30,'Data shares'!$C:$FA,3)</f>
        <v>1166</v>
      </c>
      <c r="D30" s="50">
        <f>VLOOKUP($A30,'Data shares'!$C:$FA,6)*100</f>
        <v>0.64</v>
      </c>
      <c r="E30" s="51">
        <f>VLOOKUP($A30,'Data shares'!$C:$FA,98)</f>
        <v>117598000</v>
      </c>
      <c r="F30" s="51">
        <f>VLOOKUP($A30,'Data shares'!$C:$FA,99)</f>
        <v>163788000</v>
      </c>
      <c r="G30" s="50">
        <f>VLOOKUP($A30,'Data shares'!$C:$FA,101)*100</f>
        <v>-28.199999999999996</v>
      </c>
      <c r="H30" s="49">
        <f>VLOOKUP($A30,'Data Vlaue (Cr)'!$C:$FB,99)</f>
        <v>13712</v>
      </c>
      <c r="I30" s="49">
        <f>VLOOKUP($A30,'Data Vlaue (Cr)'!$C:$FB,100)</f>
        <v>19098</v>
      </c>
      <c r="J30" s="49">
        <f>VLOOKUP($A30,'Data Vlaue (Cr)'!$C:$FB,102)*100</f>
        <v>-28.199999999999996</v>
      </c>
    </row>
    <row r="31" spans="1:10" x14ac:dyDescent="0.25">
      <c r="A31" s="101" t="str">
        <f>'NIFTY GRP'!C26</f>
        <v>ITC</v>
      </c>
      <c r="B31" s="140">
        <f>VLOOKUP($A31,'Data shares'!$C:$FA,7)</f>
        <v>301.64999999999998</v>
      </c>
      <c r="C31" s="140">
        <f>VLOOKUP($A31,'Data shares'!$C:$FA,3)</f>
        <v>303.14999999999998</v>
      </c>
      <c r="D31" s="50">
        <f>VLOOKUP($A31,'Data shares'!$C:$FA,6)*100</f>
        <v>-0.86999999999999988</v>
      </c>
      <c r="E31" s="51">
        <f>VLOOKUP($A31,'Data shares'!$C:$FA,98)</f>
        <v>246056000</v>
      </c>
      <c r="F31" s="51">
        <f>VLOOKUP($A31,'Data shares'!$C:$FA,99)</f>
        <v>370706150</v>
      </c>
      <c r="G31" s="50">
        <f>VLOOKUP($A31,'Data shares'!$C:$FA,101)*100</f>
        <v>-33.629999999999995</v>
      </c>
      <c r="H31" s="49">
        <f>VLOOKUP($A31,'Data Vlaue (Cr)'!$C:$FB,99)</f>
        <v>7459</v>
      </c>
      <c r="I31" s="49">
        <f>VLOOKUP($A31,'Data Vlaue (Cr)'!$C:$FB,100)</f>
        <v>11238</v>
      </c>
      <c r="J31" s="49">
        <f>VLOOKUP($A31,'Data Vlaue (Cr)'!$C:$FB,102)*100</f>
        <v>-33.629999999999995</v>
      </c>
    </row>
    <row r="32" spans="1:10" x14ac:dyDescent="0.25">
      <c r="A32" s="101" t="str">
        <f>'NIFTY GRP'!C27</f>
        <v>JIOFIN</v>
      </c>
      <c r="B32" s="140">
        <f>VLOOKUP($A32,'Data shares'!$C:$FA,7)</f>
        <v>240.67</v>
      </c>
      <c r="C32" s="140">
        <f>VLOOKUP($A32,'Data shares'!$C:$FA,3)</f>
        <v>242.09</v>
      </c>
      <c r="D32" s="50">
        <f>VLOOKUP($A32,'Data shares'!$C:$FA,6)*100</f>
        <v>-0.53</v>
      </c>
      <c r="E32" s="51">
        <f>VLOOKUP($A32,'Data shares'!$C:$FA,98)</f>
        <v>224582450</v>
      </c>
      <c r="F32" s="51">
        <f>VLOOKUP($A32,'Data shares'!$C:$FA,99)</f>
        <v>288234550</v>
      </c>
      <c r="G32" s="50">
        <f>VLOOKUP($A32,'Data shares'!$C:$FA,101)*100</f>
        <v>-22.08</v>
      </c>
      <c r="H32" s="49">
        <f>VLOOKUP($A32,'Data Vlaue (Cr)'!$C:$FB,99)</f>
        <v>5437</v>
      </c>
      <c r="I32" s="49">
        <f>VLOOKUP($A32,'Data Vlaue (Cr)'!$C:$FB,100)</f>
        <v>6978</v>
      </c>
      <c r="J32" s="49">
        <f>VLOOKUP($A32,'Data Vlaue (Cr)'!$C:$FB,102)*100</f>
        <v>-22.08</v>
      </c>
    </row>
    <row r="33" spans="1:10" x14ac:dyDescent="0.25">
      <c r="A33" s="101" t="str">
        <f>'NIFTY GRP'!C28</f>
        <v>JSWSTEEL</v>
      </c>
      <c r="B33" s="140">
        <f>VLOOKUP($A33,'Data shares'!$C:$FA,7)</f>
        <v>1293.5999999999999</v>
      </c>
      <c r="C33" s="140">
        <f>VLOOKUP($A33,'Data shares'!$C:$FA,3)</f>
        <v>1301.2</v>
      </c>
      <c r="D33" s="50">
        <f>VLOOKUP($A33,'Data shares'!$C:$FA,6)*100</f>
        <v>0.27999999999999997</v>
      </c>
      <c r="E33" s="51">
        <f>VLOOKUP($A33,'Data shares'!$C:$FA,98)</f>
        <v>47417400</v>
      </c>
      <c r="F33" s="51">
        <f>VLOOKUP($A33,'Data shares'!$C:$FA,99)</f>
        <v>58498200</v>
      </c>
      <c r="G33" s="50">
        <f>VLOOKUP($A33,'Data shares'!$C:$FA,101)*100</f>
        <v>-18.940000000000001</v>
      </c>
      <c r="H33" s="49">
        <f>VLOOKUP($A33,'Data Vlaue (Cr)'!$C:$FB,99)</f>
        <v>6170</v>
      </c>
      <c r="I33" s="49">
        <f>VLOOKUP($A33,'Data Vlaue (Cr)'!$C:$FB,100)</f>
        <v>7612</v>
      </c>
      <c r="J33" s="49">
        <f>VLOOKUP($A33,'Data Vlaue (Cr)'!$C:$FB,102)*100</f>
        <v>-18.940000000000001</v>
      </c>
    </row>
    <row r="34" spans="1:10" x14ac:dyDescent="0.25">
      <c r="A34" s="101" t="str">
        <f>'NIFTY GRP'!C29</f>
        <v>KOTAKBANK</v>
      </c>
      <c r="B34" s="140">
        <f>VLOOKUP($A34,'Data shares'!$C:$FA,7)</f>
        <v>388.65</v>
      </c>
      <c r="C34" s="140">
        <f>VLOOKUP($A34,'Data shares'!$C:$FA,3)</f>
        <v>390.9</v>
      </c>
      <c r="D34" s="50">
        <f>VLOOKUP($A34,'Data shares'!$C:$FA,6)*100</f>
        <v>-1.34</v>
      </c>
      <c r="E34" s="51">
        <f>VLOOKUP($A34,'Data shares'!$C:$FA,98)</f>
        <v>216590000</v>
      </c>
      <c r="F34" s="51">
        <f>VLOOKUP($A34,'Data shares'!$C:$FA,99)</f>
        <v>270740000</v>
      </c>
      <c r="G34" s="50">
        <f>VLOOKUP($A34,'Data shares'!$C:$FA,101)*100</f>
        <v>-20</v>
      </c>
      <c r="H34" s="49">
        <f>VLOOKUP($A34,'Data Vlaue (Cr)'!$C:$FB,99)</f>
        <v>8467</v>
      </c>
      <c r="I34" s="49">
        <f>VLOOKUP($A34,'Data Vlaue (Cr)'!$C:$FB,100)</f>
        <v>10583</v>
      </c>
      <c r="J34" s="49">
        <f>VLOOKUP($A34,'Data Vlaue (Cr)'!$C:$FB,102)*100</f>
        <v>-20</v>
      </c>
    </row>
    <row r="35" spans="1:10" x14ac:dyDescent="0.25">
      <c r="A35" s="101" t="str">
        <f>'NIFTY GRP'!C30</f>
        <v>LT</v>
      </c>
      <c r="B35" s="140">
        <f>VLOOKUP($A35,'Data shares'!$C:$FA,7)</f>
        <v>4037.8</v>
      </c>
      <c r="C35" s="140">
        <f>VLOOKUP($A35,'Data shares'!$C:$FA,3)</f>
        <v>4057.7</v>
      </c>
      <c r="D35" s="50">
        <f>VLOOKUP($A35,'Data shares'!$C:$FA,6)*100</f>
        <v>0.01</v>
      </c>
      <c r="E35" s="51">
        <f>VLOOKUP($A35,'Data shares'!$C:$FA,98)</f>
        <v>20515950</v>
      </c>
      <c r="F35" s="51">
        <f>VLOOKUP($A35,'Data shares'!$C:$FA,99)</f>
        <v>29544025</v>
      </c>
      <c r="G35" s="50">
        <f>VLOOKUP($A35,'Data shares'!$C:$FA,101)*100</f>
        <v>-30.56</v>
      </c>
      <c r="H35" s="49">
        <f>VLOOKUP($A35,'Data Vlaue (Cr)'!$C:$FB,99)</f>
        <v>8325</v>
      </c>
      <c r="I35" s="49">
        <f>VLOOKUP($A35,'Data Vlaue (Cr)'!$C:$FB,100)</f>
        <v>11988</v>
      </c>
      <c r="J35" s="49">
        <f>VLOOKUP($A35,'Data Vlaue (Cr)'!$C:$FB,102)*100</f>
        <v>-30.56</v>
      </c>
    </row>
    <row r="36" spans="1:10" x14ac:dyDescent="0.25">
      <c r="A36" s="101" t="str">
        <f>'NIFTY GRP'!C31</f>
        <v>M&amp;M</v>
      </c>
      <c r="B36" s="140">
        <f>VLOOKUP($A36,'Data shares'!$C:$FA,7)</f>
        <v>3107.3</v>
      </c>
      <c r="C36" s="140">
        <f>VLOOKUP($A36,'Data shares'!$C:$FA,3)</f>
        <v>3127.8</v>
      </c>
      <c r="D36" s="50">
        <f>VLOOKUP($A36,'Data shares'!$C:$FA,6)*100</f>
        <v>-1.1400000000000001</v>
      </c>
      <c r="E36" s="51">
        <f>VLOOKUP($A36,'Data shares'!$C:$FA,98)</f>
        <v>23583600</v>
      </c>
      <c r="F36" s="51">
        <f>VLOOKUP($A36,'Data shares'!$C:$FA,99)</f>
        <v>29847000</v>
      </c>
      <c r="G36" s="50">
        <f>VLOOKUP($A36,'Data shares'!$C:$FA,101)*100</f>
        <v>-20.990000000000002</v>
      </c>
      <c r="H36" s="49">
        <f>VLOOKUP($A36,'Data Vlaue (Cr)'!$C:$FB,99)</f>
        <v>7376</v>
      </c>
      <c r="I36" s="49">
        <f>VLOOKUP($A36,'Data Vlaue (Cr)'!$C:$FB,100)</f>
        <v>9336</v>
      </c>
      <c r="J36" s="49">
        <f>VLOOKUP($A36,'Data Vlaue (Cr)'!$C:$FB,102)*100</f>
        <v>-20.990000000000002</v>
      </c>
    </row>
    <row r="37" spans="1:10" x14ac:dyDescent="0.25">
      <c r="A37" s="101" t="str">
        <f>'NIFTY GRP'!C32</f>
        <v>MARUTI</v>
      </c>
      <c r="B37" s="140">
        <f>VLOOKUP($A37,'Data shares'!$C:$FA,7)</f>
        <v>13208</v>
      </c>
      <c r="C37" s="140">
        <f>VLOOKUP($A37,'Data shares'!$C:$FA,3)</f>
        <v>13279</v>
      </c>
      <c r="D37" s="50">
        <f>VLOOKUP($A37,'Data shares'!$C:$FA,6)*100</f>
        <v>6.9999999999999993E-2</v>
      </c>
      <c r="E37" s="51">
        <f>VLOOKUP($A37,'Data shares'!$C:$FA,98)</f>
        <v>4039750</v>
      </c>
      <c r="F37" s="51">
        <f>VLOOKUP($A37,'Data shares'!$C:$FA,99)</f>
        <v>6801000</v>
      </c>
      <c r="G37" s="50">
        <f>VLOOKUP($A37,'Data shares'!$C:$FA,101)*100</f>
        <v>-40.6</v>
      </c>
      <c r="H37" s="49">
        <f>VLOOKUP($A37,'Data Vlaue (Cr)'!$C:$FB,99)</f>
        <v>5364</v>
      </c>
      <c r="I37" s="49">
        <f>VLOOKUP($A37,'Data Vlaue (Cr)'!$C:$FB,100)</f>
        <v>9031</v>
      </c>
      <c r="J37" s="49">
        <f>VLOOKUP($A37,'Data Vlaue (Cr)'!$C:$FB,102)*100</f>
        <v>-40.6</v>
      </c>
    </row>
    <row r="38" spans="1:10" x14ac:dyDescent="0.25">
      <c r="A38" s="101" t="str">
        <f>'NIFTY GRP'!C33</f>
        <v>MAXHEALTH</v>
      </c>
      <c r="B38" s="140">
        <f>VLOOKUP($A38,'Data shares'!$C:$FA,7)</f>
        <v>993.95</v>
      </c>
      <c r="C38" s="140">
        <f>VLOOKUP($A38,'Data shares'!$C:$FA,3)</f>
        <v>1000</v>
      </c>
      <c r="D38" s="50">
        <f>VLOOKUP($A38,'Data shares'!$C:$FA,6)*100</f>
        <v>-0.82000000000000006</v>
      </c>
      <c r="E38" s="51">
        <f>VLOOKUP($A38,'Data shares'!$C:$FA,98)</f>
        <v>20211450</v>
      </c>
      <c r="F38" s="51">
        <f>VLOOKUP($A38,'Data shares'!$C:$FA,99)</f>
        <v>26300925</v>
      </c>
      <c r="G38" s="50">
        <f>VLOOKUP($A38,'Data shares'!$C:$FA,101)*100</f>
        <v>-23.150000000000002</v>
      </c>
      <c r="H38" s="49">
        <f>VLOOKUP($A38,'Data Vlaue (Cr)'!$C:$FB,99)</f>
        <v>2021</v>
      </c>
      <c r="I38" s="49">
        <f>VLOOKUP($A38,'Data Vlaue (Cr)'!$C:$FB,100)</f>
        <v>2630</v>
      </c>
      <c r="J38" s="49">
        <f>VLOOKUP($A38,'Data Vlaue (Cr)'!$C:$FB,102)*100</f>
        <v>-23.150000000000002</v>
      </c>
    </row>
    <row r="39" spans="1:10" x14ac:dyDescent="0.25">
      <c r="A39" s="101" t="str">
        <f>'NIFTY GRP'!C34</f>
        <v>NESTLEIND</v>
      </c>
      <c r="B39" s="140">
        <f>VLOOKUP($A39,'Data shares'!$C:$FA,7)</f>
        <v>1428.6</v>
      </c>
      <c r="C39" s="140">
        <f>VLOOKUP($A39,'Data shares'!$C:$FA,3)</f>
        <v>1437</v>
      </c>
      <c r="D39" s="50">
        <f>VLOOKUP($A39,'Data shares'!$C:$FA,6)*100</f>
        <v>0.89</v>
      </c>
      <c r="E39" s="51">
        <f>VLOOKUP($A39,'Data shares'!$C:$FA,98)</f>
        <v>15041500</v>
      </c>
      <c r="F39" s="51">
        <f>VLOOKUP($A39,'Data shares'!$C:$FA,99)</f>
        <v>22299000</v>
      </c>
      <c r="G39" s="50">
        <f>VLOOKUP($A39,'Data shares'!$C:$FA,101)*100</f>
        <v>-32.550000000000004</v>
      </c>
      <c r="H39" s="49">
        <f>VLOOKUP($A39,'Data Vlaue (Cr)'!$C:$FB,99)</f>
        <v>2161</v>
      </c>
      <c r="I39" s="49">
        <f>VLOOKUP($A39,'Data Vlaue (Cr)'!$C:$FB,100)</f>
        <v>3204</v>
      </c>
      <c r="J39" s="49">
        <f>VLOOKUP($A39,'Data Vlaue (Cr)'!$C:$FB,102)*100</f>
        <v>-32.550000000000004</v>
      </c>
    </row>
    <row r="40" spans="1:10" x14ac:dyDescent="0.25">
      <c r="A40" s="101" t="str">
        <f>'NIFTY GRP'!C35</f>
        <v>NTPC</v>
      </c>
      <c r="B40" s="140">
        <f>VLOOKUP($A40,'Data shares'!$C:$FA,7)</f>
        <v>389.7</v>
      </c>
      <c r="C40" s="140">
        <f>VLOOKUP($A40,'Data shares'!$C:$FA,3)</f>
        <v>392.65</v>
      </c>
      <c r="D40" s="50">
        <f>VLOOKUP($A40,'Data shares'!$C:$FA,6)*100</f>
        <v>-0.13999999999999999</v>
      </c>
      <c r="E40" s="51">
        <f>VLOOKUP($A40,'Data shares'!$C:$FA,98)</f>
        <v>147705000</v>
      </c>
      <c r="F40" s="51">
        <f>VLOOKUP($A40,'Data shares'!$C:$FA,99)</f>
        <v>242301000</v>
      </c>
      <c r="G40" s="50">
        <f>VLOOKUP($A40,'Data shares'!$C:$FA,101)*100</f>
        <v>-39.04</v>
      </c>
      <c r="H40" s="49">
        <f>VLOOKUP($A40,'Data Vlaue (Cr)'!$C:$FB,99)</f>
        <v>5800</v>
      </c>
      <c r="I40" s="49">
        <f>VLOOKUP($A40,'Data Vlaue (Cr)'!$C:$FB,100)</f>
        <v>9514</v>
      </c>
      <c r="J40" s="49">
        <f>VLOOKUP($A40,'Data Vlaue (Cr)'!$C:$FB,102)*100</f>
        <v>-39.04</v>
      </c>
    </row>
    <row r="41" spans="1:10" x14ac:dyDescent="0.25">
      <c r="A41" s="101" t="str">
        <f>'NIFTY GRP'!C36</f>
        <v>ONGC</v>
      </c>
      <c r="B41" s="140">
        <f>VLOOKUP($A41,'Data shares'!$C:$FA,7)</f>
        <v>287.5</v>
      </c>
      <c r="C41" s="140">
        <f>VLOOKUP($A41,'Data shares'!$C:$FA,3)</f>
        <v>289.85000000000002</v>
      </c>
      <c r="D41" s="50">
        <f>VLOOKUP($A41,'Data shares'!$C:$FA,6)*100</f>
        <v>0.91999999999999993</v>
      </c>
      <c r="E41" s="51">
        <f>VLOOKUP($A41,'Data shares'!$C:$FA,98)</f>
        <v>128497500</v>
      </c>
      <c r="F41" s="51">
        <f>VLOOKUP($A41,'Data shares'!$C:$FA,99)</f>
        <v>204664500</v>
      </c>
      <c r="G41" s="50">
        <f>VLOOKUP($A41,'Data shares'!$C:$FA,101)*100</f>
        <v>-37.22</v>
      </c>
      <c r="H41" s="49">
        <f>VLOOKUP($A41,'Data Vlaue (Cr)'!$C:$FB,99)</f>
        <v>3725</v>
      </c>
      <c r="I41" s="49">
        <f>VLOOKUP($A41,'Data Vlaue (Cr)'!$C:$FB,100)</f>
        <v>5932</v>
      </c>
      <c r="J41" s="49">
        <f>VLOOKUP($A41,'Data Vlaue (Cr)'!$C:$FB,102)*100</f>
        <v>-37.22</v>
      </c>
    </row>
    <row r="42" spans="1:10" x14ac:dyDescent="0.25">
      <c r="A42" s="101" t="str">
        <f>'NIFTY GRP'!C37</f>
        <v>POWERGRID</v>
      </c>
      <c r="B42" s="140">
        <f>VLOOKUP($A42,'Data shares'!$C:$FA,7)</f>
        <v>292.55</v>
      </c>
      <c r="C42" s="140">
        <f>VLOOKUP($A42,'Data shares'!$C:$FA,3)</f>
        <v>294.7</v>
      </c>
      <c r="D42" s="50">
        <f>VLOOKUP($A42,'Data shares'!$C:$FA,6)*100</f>
        <v>-0.84</v>
      </c>
      <c r="E42" s="51">
        <f>VLOOKUP($A42,'Data shares'!$C:$FA,98)</f>
        <v>104760300</v>
      </c>
      <c r="F42" s="51">
        <f>VLOOKUP($A42,'Data shares'!$C:$FA,99)</f>
        <v>140909700</v>
      </c>
      <c r="G42" s="50">
        <f>VLOOKUP($A42,'Data shares'!$C:$FA,101)*100</f>
        <v>-25.650000000000002</v>
      </c>
      <c r="H42" s="49">
        <f>VLOOKUP($A42,'Data Vlaue (Cr)'!$C:$FB,99)</f>
        <v>3087</v>
      </c>
      <c r="I42" s="49">
        <f>VLOOKUP($A42,'Data Vlaue (Cr)'!$C:$FB,100)</f>
        <v>4153</v>
      </c>
      <c r="J42" s="49">
        <f>VLOOKUP($A42,'Data Vlaue (Cr)'!$C:$FB,102)*100</f>
        <v>-25.650000000000002</v>
      </c>
    </row>
    <row r="43" spans="1:10" x14ac:dyDescent="0.25">
      <c r="A43" s="101" t="str">
        <f>'NIFTY GRP'!C38</f>
        <v>RELIANCE</v>
      </c>
      <c r="B43" s="140">
        <f>VLOOKUP($A43,'Data shares'!$C:$FA,7)</f>
        <v>1356.3</v>
      </c>
      <c r="C43" s="140">
        <f>VLOOKUP($A43,'Data shares'!$C:$FA,3)</f>
        <v>1363.9</v>
      </c>
      <c r="D43" s="50">
        <f>VLOOKUP($A43,'Data shares'!$C:$FA,6)*100</f>
        <v>-0.79</v>
      </c>
      <c r="E43" s="51">
        <f>VLOOKUP($A43,'Data shares'!$C:$FA,98)</f>
        <v>170511500</v>
      </c>
      <c r="F43" s="51">
        <f>VLOOKUP($A43,'Data shares'!$C:$FA,99)</f>
        <v>231814500</v>
      </c>
      <c r="G43" s="50">
        <f>VLOOKUP($A43,'Data shares'!$C:$FA,101)*100</f>
        <v>-26.44</v>
      </c>
      <c r="H43" s="49">
        <f>VLOOKUP($A43,'Data Vlaue (Cr)'!$C:$FB,99)</f>
        <v>23256</v>
      </c>
      <c r="I43" s="49">
        <f>VLOOKUP($A43,'Data Vlaue (Cr)'!$C:$FB,100)</f>
        <v>31617</v>
      </c>
      <c r="J43" s="49">
        <f>VLOOKUP($A43,'Data Vlaue (Cr)'!$C:$FB,102)*100</f>
        <v>-26.44</v>
      </c>
    </row>
    <row r="44" spans="1:10" x14ac:dyDescent="0.25">
      <c r="A44" s="101" t="str">
        <f>'NIFTY GRP'!C39</f>
        <v>SBILIFE</v>
      </c>
      <c r="B44" s="140">
        <f>VLOOKUP($A44,'Data shares'!$C:$FA,7)</f>
        <v>1883.2</v>
      </c>
      <c r="C44" s="140">
        <f>VLOOKUP($A44,'Data shares'!$C:$FA,3)</f>
        <v>1892</v>
      </c>
      <c r="D44" s="50">
        <f>VLOOKUP($A44,'Data shares'!$C:$FA,6)*100</f>
        <v>-0.91999999999999993</v>
      </c>
      <c r="E44" s="51">
        <f>VLOOKUP($A44,'Data shares'!$C:$FA,98)</f>
        <v>9216750</v>
      </c>
      <c r="F44" s="51">
        <f>VLOOKUP($A44,'Data shares'!$C:$FA,99)</f>
        <v>15393000</v>
      </c>
      <c r="G44" s="50">
        <f>VLOOKUP($A44,'Data shares'!$C:$FA,101)*100</f>
        <v>-40.119999999999997</v>
      </c>
      <c r="H44" s="49">
        <f>VLOOKUP($A44,'Data Vlaue (Cr)'!$C:$FB,99)</f>
        <v>1744</v>
      </c>
      <c r="I44" s="49">
        <f>VLOOKUP($A44,'Data Vlaue (Cr)'!$C:$FB,100)</f>
        <v>2912</v>
      </c>
      <c r="J44" s="49">
        <f>VLOOKUP($A44,'Data Vlaue (Cr)'!$C:$FB,102)*100</f>
        <v>-40.119999999999997</v>
      </c>
    </row>
    <row r="45" spans="1:10" x14ac:dyDescent="0.25">
      <c r="A45" s="101" t="str">
        <f>'NIFTY GRP'!C40</f>
        <v>SBIN</v>
      </c>
      <c r="B45" s="140">
        <f>VLOOKUP($A45,'Data shares'!$C:$FA,7)</f>
        <v>968.5</v>
      </c>
      <c r="C45" s="140">
        <f>VLOOKUP($A45,'Data shares'!$C:$FA,3)</f>
        <v>974.2</v>
      </c>
      <c r="D45" s="50">
        <f>VLOOKUP($A45,'Data shares'!$C:$FA,6)*100</f>
        <v>-0.26</v>
      </c>
      <c r="E45" s="51">
        <f>VLOOKUP($A45,'Data shares'!$C:$FA,98)</f>
        <v>160166250</v>
      </c>
      <c r="F45" s="51">
        <f>VLOOKUP($A45,'Data shares'!$C:$FA,99)</f>
        <v>249968250</v>
      </c>
      <c r="G45" s="50">
        <f>VLOOKUP($A45,'Data shares'!$C:$FA,101)*100</f>
        <v>-35.93</v>
      </c>
      <c r="H45" s="49">
        <f>VLOOKUP($A45,'Data Vlaue (Cr)'!$C:$FB,99)</f>
        <v>15603</v>
      </c>
      <c r="I45" s="49">
        <f>VLOOKUP($A45,'Data Vlaue (Cr)'!$C:$FB,100)</f>
        <v>24352</v>
      </c>
      <c r="J45" s="49">
        <f>VLOOKUP($A45,'Data Vlaue (Cr)'!$C:$FB,102)*100</f>
        <v>-35.93</v>
      </c>
    </row>
    <row r="46" spans="1:10" x14ac:dyDescent="0.25">
      <c r="A46" s="101" t="str">
        <f>'NIFTY GRP'!C41</f>
        <v>SHRIRAMFIN</v>
      </c>
      <c r="B46" s="140">
        <f>VLOOKUP($A46,'Data shares'!$C:$FA,7)</f>
        <v>952.15</v>
      </c>
      <c r="C46" s="140">
        <f>VLOOKUP($A46,'Data shares'!$C:$FA,3)</f>
        <v>959.25</v>
      </c>
      <c r="D46" s="50">
        <f>VLOOKUP($A46,'Data shares'!$C:$FA,6)*100</f>
        <v>-0.85000000000000009</v>
      </c>
      <c r="E46" s="51">
        <f>VLOOKUP($A46,'Data shares'!$C:$FA,98)</f>
        <v>49877025</v>
      </c>
      <c r="F46" s="51">
        <f>VLOOKUP($A46,'Data shares'!$C:$FA,99)</f>
        <v>68009700</v>
      </c>
      <c r="G46" s="50">
        <f>VLOOKUP($A46,'Data shares'!$C:$FA,101)*100</f>
        <v>-26.66</v>
      </c>
      <c r="H46" s="49">
        <f>VLOOKUP($A46,'Data Vlaue (Cr)'!$C:$FB,99)</f>
        <v>4784</v>
      </c>
      <c r="I46" s="49">
        <f>VLOOKUP($A46,'Data Vlaue (Cr)'!$C:$FB,100)</f>
        <v>6524</v>
      </c>
      <c r="J46" s="49">
        <f>VLOOKUP($A46,'Data Vlaue (Cr)'!$C:$FB,102)*100</f>
        <v>-26.66</v>
      </c>
    </row>
    <row r="47" spans="1:10" x14ac:dyDescent="0.25">
      <c r="A47" s="101" t="str">
        <f>'NIFTY GRP'!C42</f>
        <v>SUNPHARMA</v>
      </c>
      <c r="B47" s="140">
        <f>VLOOKUP($A47,'Data shares'!$C:$FA,7)</f>
        <v>1840.8</v>
      </c>
      <c r="C47" s="140">
        <f>VLOOKUP($A47,'Data shares'!$C:$FA,3)</f>
        <v>1855</v>
      </c>
      <c r="D47" s="50">
        <f>VLOOKUP($A47,'Data shares'!$C:$FA,6)*100</f>
        <v>-0.02</v>
      </c>
      <c r="E47" s="51">
        <f>VLOOKUP($A47,'Data shares'!$C:$FA,98)</f>
        <v>31971450</v>
      </c>
      <c r="F47" s="51">
        <f>VLOOKUP($A47,'Data shares'!$C:$FA,99)</f>
        <v>57382150</v>
      </c>
      <c r="G47" s="50">
        <f>VLOOKUP($A47,'Data shares'!$C:$FA,101)*100</f>
        <v>-44.28</v>
      </c>
      <c r="H47" s="49">
        <f>VLOOKUP($A47,'Data Vlaue (Cr)'!$C:$FB,99)</f>
        <v>5931</v>
      </c>
      <c r="I47" s="49">
        <f>VLOOKUP($A47,'Data Vlaue (Cr)'!$C:$FB,100)</f>
        <v>10644</v>
      </c>
      <c r="J47" s="49">
        <f>VLOOKUP($A47,'Data Vlaue (Cr)'!$C:$FB,102)*100</f>
        <v>-44.28</v>
      </c>
    </row>
    <row r="48" spans="1:10" x14ac:dyDescent="0.25">
      <c r="A48" s="101" t="str">
        <f>'NIFTY GRP'!C43</f>
        <v>TATACONSUM</v>
      </c>
      <c r="B48" s="140">
        <f>VLOOKUP($A48,'Data shares'!$C:$FA,7)</f>
        <v>1187.5999999999999</v>
      </c>
      <c r="C48" s="140">
        <f>VLOOKUP($A48,'Data shares'!$C:$FA,3)</f>
        <v>1197.7</v>
      </c>
      <c r="D48" s="50">
        <f>VLOOKUP($A48,'Data shares'!$C:$FA,6)*100</f>
        <v>0.02</v>
      </c>
      <c r="E48" s="51">
        <f>VLOOKUP($A48,'Data shares'!$C:$FA,98)</f>
        <v>17134700</v>
      </c>
      <c r="F48" s="51">
        <f>VLOOKUP($A48,'Data shares'!$C:$FA,99)</f>
        <v>23318900</v>
      </c>
      <c r="G48" s="50">
        <f>VLOOKUP($A48,'Data shares'!$C:$FA,101)*100</f>
        <v>-26.52</v>
      </c>
      <c r="H48" s="49">
        <f>VLOOKUP($A48,'Data Vlaue (Cr)'!$C:$FB,99)</f>
        <v>2052</v>
      </c>
      <c r="I48" s="49">
        <f>VLOOKUP($A48,'Data Vlaue (Cr)'!$C:$FB,100)</f>
        <v>2793</v>
      </c>
      <c r="J48" s="49">
        <f>VLOOKUP($A48,'Data Vlaue (Cr)'!$C:$FB,102)*100</f>
        <v>-26.52</v>
      </c>
    </row>
    <row r="49" spans="1:10" x14ac:dyDescent="0.25">
      <c r="A49" s="101" t="str">
        <f>'NIFTY GRP'!C44</f>
        <v>TATASTEEL</v>
      </c>
      <c r="B49" s="140">
        <f>VLOOKUP($A49,'Data shares'!$C:$FA,7)</f>
        <v>210.47</v>
      </c>
      <c r="C49" s="140">
        <f>VLOOKUP($A49,'Data shares'!$C:$FA,3)</f>
        <v>208.1</v>
      </c>
      <c r="D49" s="50">
        <f>VLOOKUP($A49,'Data shares'!$C:$FA,6)*100</f>
        <v>0.06</v>
      </c>
      <c r="E49" s="51">
        <f>VLOOKUP($A49,'Data shares'!$C:$FA,98)</f>
        <v>264448250</v>
      </c>
      <c r="F49" s="51">
        <f>VLOOKUP($A49,'Data shares'!$C:$FA,99)</f>
        <v>398689500</v>
      </c>
      <c r="G49" s="50">
        <f>VLOOKUP($A49,'Data shares'!$C:$FA,101)*100</f>
        <v>-33.67</v>
      </c>
      <c r="H49" s="49">
        <f>VLOOKUP($A49,'Data Vlaue (Cr)'!$C:$FB,99)</f>
        <v>5503</v>
      </c>
      <c r="I49" s="49">
        <f>VLOOKUP($A49,'Data Vlaue (Cr)'!$C:$FB,100)</f>
        <v>8297</v>
      </c>
      <c r="J49" s="49">
        <f>VLOOKUP($A49,'Data Vlaue (Cr)'!$C:$FB,102)*100</f>
        <v>-33.67</v>
      </c>
    </row>
    <row r="50" spans="1:10" x14ac:dyDescent="0.25">
      <c r="A50" s="101" t="str">
        <f>'NIFTY GRP'!C45</f>
        <v>TCS</v>
      </c>
      <c r="B50" s="140">
        <f>VLOOKUP($A50,'Data shares'!$C:$FA,7)</f>
        <v>2276.1999999999998</v>
      </c>
      <c r="C50" s="140">
        <f>VLOOKUP($A50,'Data shares'!$C:$FA,3)</f>
        <v>2287.5</v>
      </c>
      <c r="D50" s="50">
        <f>VLOOKUP($A50,'Data shares'!$C:$FA,6)*100</f>
        <v>0.43</v>
      </c>
      <c r="E50" s="51">
        <f>VLOOKUP($A50,'Data shares'!$C:$FA,98)</f>
        <v>55335850</v>
      </c>
      <c r="F50" s="51">
        <f>VLOOKUP($A50,'Data shares'!$C:$FA,99)</f>
        <v>77126450</v>
      </c>
      <c r="G50" s="50">
        <f>VLOOKUP($A50,'Data shares'!$C:$FA,101)*100</f>
        <v>-28.249999999999996</v>
      </c>
      <c r="H50" s="49">
        <f>VLOOKUP($A50,'Data Vlaue (Cr)'!$C:$FB,99)</f>
        <v>12658</v>
      </c>
      <c r="I50" s="49">
        <f>VLOOKUP($A50,'Data Vlaue (Cr)'!$C:$FB,100)</f>
        <v>17643</v>
      </c>
      <c r="J50" s="49">
        <f>VLOOKUP($A50,'Data Vlaue (Cr)'!$C:$FB,102)*100</f>
        <v>-28.249999999999996</v>
      </c>
    </row>
    <row r="51" spans="1:10" x14ac:dyDescent="0.25">
      <c r="A51" s="101" t="str">
        <f>'NIFTY GRP'!C46</f>
        <v>TECHM</v>
      </c>
      <c r="B51" s="140">
        <f>VLOOKUP($A51,'Data shares'!$C:$FA,7)</f>
        <v>1458.7</v>
      </c>
      <c r="C51" s="140">
        <f>VLOOKUP($A51,'Data shares'!$C:$FA,3)</f>
        <v>1452.3</v>
      </c>
      <c r="D51" s="50">
        <f>VLOOKUP($A51,'Data shares'!$C:$FA,6)*100</f>
        <v>1.77</v>
      </c>
      <c r="E51" s="51">
        <f>VLOOKUP($A51,'Data shares'!$C:$FA,98)</f>
        <v>22794600</v>
      </c>
      <c r="F51" s="51">
        <f>VLOOKUP($A51,'Data shares'!$C:$FA,99)</f>
        <v>35277000</v>
      </c>
      <c r="G51" s="50">
        <f>VLOOKUP($A51,'Data shares'!$C:$FA,101)*100</f>
        <v>-35.380000000000003</v>
      </c>
      <c r="H51" s="49">
        <f>VLOOKUP($A51,'Data Vlaue (Cr)'!$C:$FB,99)</f>
        <v>3310</v>
      </c>
      <c r="I51" s="49">
        <f>VLOOKUP($A51,'Data Vlaue (Cr)'!$C:$FB,100)</f>
        <v>5123</v>
      </c>
      <c r="J51" s="49">
        <f>VLOOKUP($A51,'Data Vlaue (Cr)'!$C:$FB,102)*100</f>
        <v>-35.380000000000003</v>
      </c>
    </row>
    <row r="52" spans="1:10" x14ac:dyDescent="0.25">
      <c r="A52" s="101" t="str">
        <f>'NIFTY GRP'!C47</f>
        <v>TITAN</v>
      </c>
      <c r="B52" s="140">
        <f>VLOOKUP($A52,'Data shares'!$C:$FA,7)</f>
        <v>4105.8999999999996</v>
      </c>
      <c r="C52" s="140">
        <f>VLOOKUP($A52,'Data shares'!$C:$FA,3)</f>
        <v>4133.3999999999996</v>
      </c>
      <c r="D52" s="50">
        <f>VLOOKUP($A52,'Data shares'!$C:$FA,6)*100</f>
        <v>-1.02</v>
      </c>
      <c r="E52" s="51">
        <f>VLOOKUP($A52,'Data shares'!$C:$FA,98)</f>
        <v>10336025</v>
      </c>
      <c r="F52" s="51">
        <f>VLOOKUP($A52,'Data shares'!$C:$FA,99)</f>
        <v>16890825</v>
      </c>
      <c r="G52" s="50">
        <f>VLOOKUP($A52,'Data shares'!$C:$FA,101)*100</f>
        <v>-38.81</v>
      </c>
      <c r="H52" s="49">
        <f>VLOOKUP($A52,'Data Vlaue (Cr)'!$C:$FB,99)</f>
        <v>4272</v>
      </c>
      <c r="I52" s="49">
        <f>VLOOKUP($A52,'Data Vlaue (Cr)'!$C:$FB,100)</f>
        <v>6982</v>
      </c>
      <c r="J52" s="49">
        <f>VLOOKUP($A52,'Data Vlaue (Cr)'!$C:$FB,102)*100</f>
        <v>-38.81</v>
      </c>
    </row>
    <row r="53" spans="1:10" x14ac:dyDescent="0.25">
      <c r="A53" s="101" t="str">
        <f>'NIFTY GRP'!C48</f>
        <v>TMPV</v>
      </c>
      <c r="B53" s="140">
        <f>VLOOKUP($A53,'Data shares'!$C:$FA,7)</f>
        <v>385.6</v>
      </c>
      <c r="C53" s="140">
        <f>VLOOKUP($A53,'Data shares'!$C:$FA,3)</f>
        <v>385.35</v>
      </c>
      <c r="D53" s="50">
        <f>VLOOKUP($A53,'Data shares'!$C:$FA,6)*100</f>
        <v>3.19</v>
      </c>
      <c r="E53" s="51">
        <f>VLOOKUP($A53,'Data shares'!$C:$FA,98)</f>
        <v>104730400</v>
      </c>
      <c r="F53" s="51">
        <f>VLOOKUP($A53,'Data shares'!$C:$FA,99)</f>
        <v>167809600</v>
      </c>
      <c r="G53" s="50">
        <f>VLOOKUP($A53,'Data shares'!$C:$FA,101)*100</f>
        <v>-37.590000000000003</v>
      </c>
      <c r="H53" s="49">
        <f>VLOOKUP($A53,'Data Vlaue (Cr)'!$C:$FB,99)</f>
        <v>4036</v>
      </c>
      <c r="I53" s="49">
        <f>VLOOKUP($A53,'Data Vlaue (Cr)'!$C:$FB,100)</f>
        <v>6467</v>
      </c>
      <c r="J53" s="49">
        <f>VLOOKUP($A53,'Data Vlaue (Cr)'!$C:$FB,102)*100</f>
        <v>-37.590000000000003</v>
      </c>
    </row>
    <row r="54" spans="1:10" x14ac:dyDescent="0.25">
      <c r="A54" s="101" t="str">
        <f>'NIFTY GRP'!C49</f>
        <v>TRENT</v>
      </c>
      <c r="B54" s="140">
        <f>VLOOKUP($A54,'Data shares'!$C:$FA,7)</f>
        <v>4239.6000000000004</v>
      </c>
      <c r="C54" s="140">
        <f>VLOOKUP($A54,'Data shares'!$C:$FA,3)</f>
        <v>4228.3999999999996</v>
      </c>
      <c r="D54" s="50">
        <f>VLOOKUP($A54,'Data shares'!$C:$FA,6)*100</f>
        <v>-0.89</v>
      </c>
      <c r="E54" s="51">
        <f>VLOOKUP($A54,'Data shares'!$C:$FA,98)</f>
        <v>7873300</v>
      </c>
      <c r="F54" s="51">
        <f>VLOOKUP($A54,'Data shares'!$C:$FA,99)</f>
        <v>11548900</v>
      </c>
      <c r="G54" s="50">
        <f>VLOOKUP($A54,'Data shares'!$C:$FA,101)*100</f>
        <v>-31.830000000000002</v>
      </c>
      <c r="H54" s="49">
        <f>VLOOKUP($A54,'Data Vlaue (Cr)'!$C:$FB,99)</f>
        <v>3329</v>
      </c>
      <c r="I54" s="49">
        <f>VLOOKUP($A54,'Data Vlaue (Cr)'!$C:$FB,100)</f>
        <v>4883</v>
      </c>
      <c r="J54" s="49">
        <f>VLOOKUP($A54,'Data Vlaue (Cr)'!$C:$FB,102)*100</f>
        <v>-31.830000000000002</v>
      </c>
    </row>
    <row r="55" spans="1:10" x14ac:dyDescent="0.25">
      <c r="A55" s="101" t="str">
        <f>'NIFTY GRP'!C50</f>
        <v>ULTRACEMCO</v>
      </c>
      <c r="B55" s="140">
        <f>VLOOKUP($A55,'Data shares'!$C:$FA,7)</f>
        <v>11623</v>
      </c>
      <c r="C55" s="140">
        <f>VLOOKUP($A55,'Data shares'!$C:$FA,3)</f>
        <v>11700</v>
      </c>
      <c r="D55" s="50">
        <f>VLOOKUP($A55,'Data shares'!$C:$FA,6)*100</f>
        <v>-0.97</v>
      </c>
      <c r="E55" s="51">
        <f>VLOOKUP($A55,'Data shares'!$C:$FA,98)</f>
        <v>2763400</v>
      </c>
      <c r="F55" s="51">
        <f>VLOOKUP($A55,'Data shares'!$C:$FA,99)</f>
        <v>4322050</v>
      </c>
      <c r="G55" s="50">
        <f>VLOOKUP($A55,'Data shares'!$C:$FA,101)*100</f>
        <v>-36.059999999999995</v>
      </c>
      <c r="H55" s="49">
        <f>VLOOKUP($A55,'Data Vlaue (Cr)'!$C:$FB,99)</f>
        <v>3233</v>
      </c>
      <c r="I55" s="49">
        <f>VLOOKUP($A55,'Data Vlaue (Cr)'!$C:$FB,100)</f>
        <v>5057</v>
      </c>
      <c r="J55" s="49">
        <f>VLOOKUP($A55,'Data Vlaue (Cr)'!$C:$FB,102)*100</f>
        <v>-36.059999999999995</v>
      </c>
    </row>
    <row r="56" spans="1:10" x14ac:dyDescent="0.25">
      <c r="A56" s="101" t="str">
        <f>'NIFTY GRP'!C51</f>
        <v>WIPRO</v>
      </c>
      <c r="B56" s="140">
        <f>VLOOKUP($A56,'Data shares'!$C:$FA,7)</f>
        <v>203.73</v>
      </c>
      <c r="C56" s="140">
        <f>VLOOKUP($A56,'Data shares'!$C:$FA,3)</f>
        <v>181.41</v>
      </c>
      <c r="D56" s="50">
        <f>VLOOKUP($A56,'Data shares'!$C:$FA,6)*100</f>
        <v>0.44999999999999996</v>
      </c>
      <c r="E56" s="51">
        <f>VLOOKUP($A56,'Data shares'!$C:$FA,98)</f>
        <v>480396000</v>
      </c>
      <c r="F56" s="51">
        <f>VLOOKUP($A56,'Data shares'!$C:$FA,99)</f>
        <v>616209000</v>
      </c>
      <c r="G56" s="50">
        <f>VLOOKUP($A56,'Data shares'!$C:$FA,101)*100</f>
        <v>-22.040000000000003</v>
      </c>
      <c r="H56" s="49">
        <f>VLOOKUP($A56,'Data Vlaue (Cr)'!$C:$FB,99)</f>
        <v>8715</v>
      </c>
      <c r="I56" s="49">
        <f>VLOOKUP($A56,'Data Vlaue (Cr)'!$C:$FB,100)</f>
        <v>11179</v>
      </c>
      <c r="J56" s="49">
        <f>VLOOKUP($A56,'Data Vlaue (Cr)'!$C:$FB,102)*100</f>
        <v>-22.040000000000003</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2"/>
      <c r="B62" s="17"/>
      <c r="C62" s="17"/>
      <c r="D62" s="17"/>
      <c r="E62" s="17"/>
      <c r="F62" s="17"/>
      <c r="G62" s="17"/>
      <c r="H62" s="17"/>
      <c r="I62" s="17"/>
      <c r="J62" s="17"/>
    </row>
    <row r="63" spans="1:10" x14ac:dyDescent="0.25">
      <c r="A63" s="102"/>
      <c r="B63" s="17"/>
      <c r="C63" s="17"/>
      <c r="D63" s="17"/>
      <c r="E63" s="17"/>
      <c r="F63" s="17"/>
      <c r="G63" s="17"/>
      <c r="H63" s="17"/>
      <c r="I63" s="17"/>
      <c r="J63" s="17"/>
    </row>
    <row r="64" spans="1:10" x14ac:dyDescent="0.25">
      <c r="A64" s="126" t="s">
        <v>391</v>
      </c>
      <c r="B64" s="122"/>
      <c r="C64" s="122"/>
      <c r="D64" s="122"/>
      <c r="E64" s="127">
        <f>SUM(E7:E62)</f>
        <v>4378381547</v>
      </c>
      <c r="F64" s="127">
        <f>SUM(F7:F62)</f>
        <v>6002476446</v>
      </c>
      <c r="G64" s="128">
        <f>(E64-F64)/F64</f>
        <v>-0.27057080750100787</v>
      </c>
      <c r="H64" s="127">
        <f>SUM(H7:H62)</f>
        <v>346101</v>
      </c>
      <c r="I64" s="127">
        <f>SUM(I7:I62)</f>
        <v>484045</v>
      </c>
      <c r="J64" s="128">
        <f>(H64-I64)/I64</f>
        <v>-0.28498176822402876</v>
      </c>
    </row>
    <row r="65" spans="1:10" x14ac:dyDescent="0.25">
      <c r="A65" s="126" t="s">
        <v>398</v>
      </c>
      <c r="B65" s="122"/>
      <c r="C65" s="122"/>
      <c r="D65" s="122"/>
      <c r="E65" s="125">
        <f>E64/10000000</f>
        <v>437.83815470000002</v>
      </c>
      <c r="F65" s="125">
        <f>F64/10000000</f>
        <v>600.24764459999994</v>
      </c>
      <c r="G65" s="128">
        <f>(E65-F65)/F65</f>
        <v>-0.27057080750100782</v>
      </c>
      <c r="H65" s="129">
        <f>H64/10000000</f>
        <v>3.4610099999999998E-2</v>
      </c>
      <c r="I65" s="129">
        <f>I64/10000000</f>
        <v>4.8404500000000003E-2</v>
      </c>
      <c r="J65" s="128">
        <f>(H65-I65)/I65</f>
        <v>-0.28498176822402888</v>
      </c>
    </row>
    <row r="70" spans="1:10" x14ac:dyDescent="0.25">
      <c r="A70" s="43"/>
      <c r="B70" s="43"/>
      <c r="C70" s="44"/>
    </row>
    <row r="71" spans="1:10" ht="34.5" x14ac:dyDescent="0.25">
      <c r="A71" s="95" t="s">
        <v>411</v>
      </c>
      <c r="B71" s="45"/>
      <c r="C71" s="45" t="s">
        <v>385</v>
      </c>
    </row>
    <row r="72" spans="1:10" x14ac:dyDescent="0.25">
      <c r="A72" s="22" t="s">
        <v>412</v>
      </c>
      <c r="B72" s="22" t="s">
        <v>413</v>
      </c>
      <c r="C72" s="22" t="s">
        <v>414</v>
      </c>
    </row>
    <row r="73" spans="1:10" x14ac:dyDescent="0.25">
      <c r="A73" s="38">
        <f>H64</f>
        <v>346101</v>
      </c>
      <c r="B73" s="38">
        <f>I64</f>
        <v>484045</v>
      </c>
      <c r="C73" s="42">
        <f>J64</f>
        <v>-0.28498176822402876</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191" activePane="bottomLeft" state="frozen"/>
      <selection pane="bottomLeft" activeCell="A7" sqref="A7:A221"/>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8" t="s">
        <v>356</v>
      </c>
      <c r="B3" s="299"/>
      <c r="C3" s="299"/>
      <c r="D3" s="299"/>
      <c r="E3" s="299"/>
      <c r="F3" s="299"/>
      <c r="G3" s="299"/>
      <c r="H3" s="299"/>
      <c r="I3" s="299"/>
      <c r="J3" s="299"/>
      <c r="K3" s="299"/>
      <c r="L3" s="299"/>
      <c r="M3" s="299"/>
      <c r="N3" s="299"/>
      <c r="O3" s="300"/>
    </row>
    <row r="4" spans="1:15" s="93" customFormat="1" x14ac:dyDescent="0.25">
      <c r="A4" s="285" t="s">
        <v>330</v>
      </c>
      <c r="B4" s="287" t="s">
        <v>308</v>
      </c>
      <c r="C4" s="289"/>
      <c r="D4" s="287" t="s">
        <v>357</v>
      </c>
      <c r="E4" s="288"/>
      <c r="F4" s="288"/>
      <c r="G4" s="288"/>
      <c r="H4" s="288"/>
      <c r="I4" s="288"/>
      <c r="J4" s="288"/>
      <c r="K4" s="288"/>
      <c r="L4" s="288"/>
      <c r="M4" s="288"/>
      <c r="N4" s="288"/>
      <c r="O4" s="289"/>
    </row>
    <row r="5" spans="1:15" s="93" customFormat="1" x14ac:dyDescent="0.25">
      <c r="A5" s="286"/>
      <c r="B5" s="301" t="s">
        <v>312</v>
      </c>
      <c r="C5" s="291"/>
      <c r="D5" s="301" t="s">
        <v>357</v>
      </c>
      <c r="E5" s="290"/>
      <c r="F5" s="291"/>
      <c r="G5" s="301" t="s">
        <v>358</v>
      </c>
      <c r="H5" s="290"/>
      <c r="I5" s="291"/>
      <c r="J5" s="301" t="s">
        <v>359</v>
      </c>
      <c r="K5" s="290"/>
      <c r="L5" s="291"/>
      <c r="M5" s="301" t="s">
        <v>360</v>
      </c>
      <c r="N5" s="290"/>
      <c r="O5" s="291"/>
    </row>
    <row r="6" spans="1:15" s="93" customFormat="1" x14ac:dyDescent="0.25">
      <c r="A6" s="76" t="s">
        <v>318</v>
      </c>
      <c r="B6" s="3">
        <f>'Nifty Baskets'!B6</f>
        <v>46168</v>
      </c>
      <c r="C6" s="76" t="s">
        <v>328</v>
      </c>
      <c r="D6" s="3">
        <f>B6</f>
        <v>46168</v>
      </c>
      <c r="E6" s="76" t="s">
        <v>322</v>
      </c>
      <c r="F6" s="76" t="s">
        <v>328</v>
      </c>
      <c r="G6" s="3">
        <f>D6</f>
        <v>46168</v>
      </c>
      <c r="H6" s="76" t="s">
        <v>322</v>
      </c>
      <c r="I6" s="76" t="s">
        <v>328</v>
      </c>
      <c r="J6" s="3">
        <f>D6</f>
        <v>46168</v>
      </c>
      <c r="K6" s="76" t="s">
        <v>322</v>
      </c>
      <c r="L6" s="76" t="s">
        <v>328</v>
      </c>
      <c r="M6" s="3">
        <f>D6</f>
        <v>46168</v>
      </c>
      <c r="N6" s="76" t="s">
        <v>322</v>
      </c>
      <c r="O6" s="76" t="s">
        <v>328</v>
      </c>
    </row>
    <row r="7" spans="1:15" x14ac:dyDescent="0.25">
      <c r="A7" s="101" t="str">
        <f>'Data Vlaue (Cr)'!C2</f>
        <v>360ONE</v>
      </c>
      <c r="B7" s="50">
        <f>VLOOKUP($A7,'Data Vlaue (Cr)'!$C:$FB,8)</f>
        <v>1125.3</v>
      </c>
      <c r="C7" s="50">
        <f>VLOOKUP($A7,'Data Vlaue (Cr)'!$C:$FB,11)*100</f>
        <v>-1.5</v>
      </c>
      <c r="D7" s="50">
        <f>VLOOKUP($A7,'Data Vlaue (Cr)'!$C:$FB,143)</f>
        <v>550.16</v>
      </c>
      <c r="E7" s="50">
        <f>VLOOKUP($A7,'Data Vlaue (Cr)'!$C:$FB,144)</f>
        <v>764.58</v>
      </c>
      <c r="F7" s="50">
        <f>VLOOKUP($A7,'Data Vlaue (Cr)'!$C:$FB,146)*100</f>
        <v>-28.04</v>
      </c>
      <c r="G7" s="49">
        <f>VLOOKUP($A7,'Data Vlaue (Cr)'!$C:$FB,43)</f>
        <v>353</v>
      </c>
      <c r="H7" s="49">
        <f>VLOOKUP($A7,'Data Vlaue (Cr)'!$C:$FB,44)</f>
        <v>401</v>
      </c>
      <c r="I7" s="49">
        <f>VLOOKUP($A7,'Data Vlaue (Cr)'!$C:$FB,46)*100</f>
        <v>-12.030000000000001</v>
      </c>
      <c r="J7" s="51">
        <f>VLOOKUP($A7,'Data Vlaue (Cr)'!$C:$FB,59)</f>
        <v>125</v>
      </c>
      <c r="K7" s="51">
        <f>VLOOKUP($A7,'Data Vlaue (Cr)'!$C:$FB,60)</f>
        <v>208</v>
      </c>
      <c r="L7" s="51">
        <f>VLOOKUP($A7,'Data Vlaue (Cr)'!$C:$FB,62)*100</f>
        <v>-40.19</v>
      </c>
      <c r="M7" s="51">
        <f>VLOOKUP($A7,'Data Vlaue (Cr)'!$C:$FB,63)</f>
        <v>69</v>
      </c>
      <c r="N7" s="51">
        <f>VLOOKUP($A7,'Data Vlaue (Cr)'!$C:$FB,64)</f>
        <v>154</v>
      </c>
      <c r="O7" s="51">
        <f>VLOOKUP($A7,'Data Vlaue (Cr)'!$C:$FB,66)*100</f>
        <v>-54.84</v>
      </c>
    </row>
    <row r="8" spans="1:15" x14ac:dyDescent="0.25">
      <c r="A8" s="101" t="str">
        <f>'Data Vlaue (Cr)'!C3</f>
        <v>ABB</v>
      </c>
      <c r="B8" s="50">
        <f>VLOOKUP($A8,'Data Vlaue (Cr)'!$C:$FB,8)</f>
        <v>6804</v>
      </c>
      <c r="C8" s="50">
        <f>VLOOKUP($A8,'Data Vlaue (Cr)'!$C:$FB,11)*100</f>
        <v>0.73</v>
      </c>
      <c r="D8" s="50">
        <f>VLOOKUP($A8,'Data Vlaue (Cr)'!$C:$FB,143)</f>
        <v>2304.11</v>
      </c>
      <c r="E8" s="50">
        <f>VLOOKUP($A8,'Data Vlaue (Cr)'!$C:$FB,144)</f>
        <v>5239.2</v>
      </c>
      <c r="F8" s="50">
        <f>VLOOKUP($A8,'Data Vlaue (Cr)'!$C:$FB,146)*100</f>
        <v>-56.02</v>
      </c>
      <c r="G8" s="49">
        <f>VLOOKUP($A8,'Data Vlaue (Cr)'!$C:$FB,43)</f>
        <v>511</v>
      </c>
      <c r="H8" s="49">
        <f>VLOOKUP($A8,'Data Vlaue (Cr)'!$C:$FB,44)</f>
        <v>1259</v>
      </c>
      <c r="I8" s="49">
        <f>VLOOKUP($A8,'Data Vlaue (Cr)'!$C:$FB,46)*100</f>
        <v>-59.4</v>
      </c>
      <c r="J8" s="51">
        <f>VLOOKUP($A8,'Data Vlaue (Cr)'!$C:$FB,59)</f>
        <v>1137</v>
      </c>
      <c r="K8" s="51">
        <f>VLOOKUP($A8,'Data Vlaue (Cr)'!$C:$FB,60)</f>
        <v>2667</v>
      </c>
      <c r="L8" s="51">
        <f>VLOOKUP($A8,'Data Vlaue (Cr)'!$C:$FB,62)*100</f>
        <v>-57.37</v>
      </c>
      <c r="M8" s="51">
        <f>VLOOKUP($A8,'Data Vlaue (Cr)'!$C:$FB,63)</f>
        <v>609</v>
      </c>
      <c r="N8" s="51">
        <f>VLOOKUP($A8,'Data Vlaue (Cr)'!$C:$FB,64)</f>
        <v>1272</v>
      </c>
      <c r="O8" s="51">
        <f>VLOOKUP($A8,'Data Vlaue (Cr)'!$C:$FB,66)*100</f>
        <v>-52.14</v>
      </c>
    </row>
    <row r="9" spans="1:15" x14ac:dyDescent="0.25">
      <c r="A9" s="101" t="str">
        <f>'Data Vlaue (Cr)'!C4</f>
        <v>ABCAPITAL</v>
      </c>
      <c r="B9" s="50">
        <f>VLOOKUP($A9,'Data Vlaue (Cr)'!$C:$FB,8)</f>
        <v>363.05</v>
      </c>
      <c r="C9" s="50">
        <f>VLOOKUP($A9,'Data Vlaue (Cr)'!$C:$FB,11)*100</f>
        <v>-0.16</v>
      </c>
      <c r="D9" s="50">
        <f>VLOOKUP($A9,'Data Vlaue (Cr)'!$C:$FB,143)</f>
        <v>1196.74</v>
      </c>
      <c r="E9" s="50">
        <f>VLOOKUP($A9,'Data Vlaue (Cr)'!$C:$FB,144)</f>
        <v>2458.1999999999998</v>
      </c>
      <c r="F9" s="50">
        <f>VLOOKUP($A9,'Data Vlaue (Cr)'!$C:$FB,146)*100</f>
        <v>-51.32</v>
      </c>
      <c r="G9" s="49">
        <f>VLOOKUP($A9,'Data Vlaue (Cr)'!$C:$FB,43)</f>
        <v>739</v>
      </c>
      <c r="H9" s="49">
        <f>VLOOKUP($A9,'Data Vlaue (Cr)'!$C:$FB,44)</f>
        <v>1186</v>
      </c>
      <c r="I9" s="49">
        <f>VLOOKUP($A9,'Data Vlaue (Cr)'!$C:$FB,46)*100</f>
        <v>-37.65</v>
      </c>
      <c r="J9" s="51">
        <f>VLOOKUP($A9,'Data Vlaue (Cr)'!$C:$FB,59)</f>
        <v>299</v>
      </c>
      <c r="K9" s="51">
        <f>VLOOKUP($A9,'Data Vlaue (Cr)'!$C:$FB,60)</f>
        <v>774</v>
      </c>
      <c r="L9" s="51">
        <f>VLOOKUP($A9,'Data Vlaue (Cr)'!$C:$FB,62)*100</f>
        <v>-61.4</v>
      </c>
      <c r="M9" s="51">
        <f>VLOOKUP($A9,'Data Vlaue (Cr)'!$C:$FB,63)</f>
        <v>152</v>
      </c>
      <c r="N9" s="51">
        <f>VLOOKUP($A9,'Data Vlaue (Cr)'!$C:$FB,64)</f>
        <v>496</v>
      </c>
      <c r="O9" s="51">
        <f>VLOOKUP($A9,'Data Vlaue (Cr)'!$C:$FB,66)*100</f>
        <v>-69.430000000000007</v>
      </c>
    </row>
    <row r="10" spans="1:15" x14ac:dyDescent="0.25">
      <c r="A10" s="101" t="str">
        <f>'Data Vlaue (Cr)'!C5</f>
        <v>ADANIENSOL</v>
      </c>
      <c r="B10" s="50">
        <f>VLOOKUP($A10,'Data Vlaue (Cr)'!$C:$FB,8)</f>
        <v>1463.3</v>
      </c>
      <c r="C10" s="50">
        <f>VLOOKUP($A10,'Data Vlaue (Cr)'!$C:$FB,11)*100</f>
        <v>4.2</v>
      </c>
      <c r="D10" s="50">
        <f>VLOOKUP($A10,'Data Vlaue (Cr)'!$C:$FB,143)</f>
        <v>4497.62</v>
      </c>
      <c r="E10" s="50">
        <f>VLOOKUP($A10,'Data Vlaue (Cr)'!$C:$FB,144)</f>
        <v>5811.38</v>
      </c>
      <c r="F10" s="50">
        <f>VLOOKUP($A10,'Data Vlaue (Cr)'!$C:$FB,146)*100</f>
        <v>-22.61</v>
      </c>
      <c r="G10" s="49">
        <f>VLOOKUP($A10,'Data Vlaue (Cr)'!$C:$FB,43)</f>
        <v>1943</v>
      </c>
      <c r="H10" s="49">
        <f>VLOOKUP($A10,'Data Vlaue (Cr)'!$C:$FB,44)</f>
        <v>2056</v>
      </c>
      <c r="I10" s="49">
        <f>VLOOKUP($A10,'Data Vlaue (Cr)'!$C:$FB,46)*100</f>
        <v>-5.52</v>
      </c>
      <c r="J10" s="51">
        <f>VLOOKUP($A10,'Data Vlaue (Cr)'!$C:$FB,59)</f>
        <v>1932</v>
      </c>
      <c r="K10" s="51">
        <f>VLOOKUP($A10,'Data Vlaue (Cr)'!$C:$FB,60)</f>
        <v>2970</v>
      </c>
      <c r="L10" s="51">
        <f>VLOOKUP($A10,'Data Vlaue (Cr)'!$C:$FB,62)*100</f>
        <v>-34.94</v>
      </c>
      <c r="M10" s="51">
        <f>VLOOKUP($A10,'Data Vlaue (Cr)'!$C:$FB,63)</f>
        <v>677</v>
      </c>
      <c r="N10" s="51">
        <f>VLOOKUP($A10,'Data Vlaue (Cr)'!$C:$FB,64)</f>
        <v>1029</v>
      </c>
      <c r="O10" s="51">
        <f>VLOOKUP($A10,'Data Vlaue (Cr)'!$C:$FB,66)*100</f>
        <v>-34.18</v>
      </c>
    </row>
    <row r="11" spans="1:15" x14ac:dyDescent="0.25">
      <c r="A11" s="101" t="str">
        <f>'Data Vlaue (Cr)'!C6</f>
        <v>ADANIENT</v>
      </c>
      <c r="B11" s="50">
        <f>VLOOKUP($A11,'Data Vlaue (Cr)'!$C:$FB,8)</f>
        <v>2969.3</v>
      </c>
      <c r="C11" s="50">
        <f>VLOOKUP($A11,'Data Vlaue (Cr)'!$C:$FB,11)*100</f>
        <v>4.2</v>
      </c>
      <c r="D11" s="50">
        <f>VLOOKUP($A11,'Data Vlaue (Cr)'!$C:$FB,143)</f>
        <v>16987.03</v>
      </c>
      <c r="E11" s="50">
        <f>VLOOKUP($A11,'Data Vlaue (Cr)'!$C:$FB,144)</f>
        <v>23906.880000000001</v>
      </c>
      <c r="F11" s="50">
        <f>VLOOKUP($A11,'Data Vlaue (Cr)'!$C:$FB,146)*100</f>
        <v>-28.95</v>
      </c>
      <c r="G11" s="49">
        <f>VLOOKUP($A11,'Data Vlaue (Cr)'!$C:$FB,43)</f>
        <v>3856</v>
      </c>
      <c r="H11" s="49">
        <f>VLOOKUP($A11,'Data Vlaue (Cr)'!$C:$FB,44)</f>
        <v>4672</v>
      </c>
      <c r="I11" s="49">
        <f>VLOOKUP($A11,'Data Vlaue (Cr)'!$C:$FB,46)*100</f>
        <v>-17.46</v>
      </c>
      <c r="J11" s="51">
        <f>VLOOKUP($A11,'Data Vlaue (Cr)'!$C:$FB,59)</f>
        <v>9114</v>
      </c>
      <c r="K11" s="51">
        <f>VLOOKUP($A11,'Data Vlaue (Cr)'!$C:$FB,60)</f>
        <v>14964</v>
      </c>
      <c r="L11" s="51">
        <f>VLOOKUP($A11,'Data Vlaue (Cr)'!$C:$FB,62)*100</f>
        <v>-39.090000000000003</v>
      </c>
      <c r="M11" s="51">
        <f>VLOOKUP($A11,'Data Vlaue (Cr)'!$C:$FB,63)</f>
        <v>4221</v>
      </c>
      <c r="N11" s="51">
        <f>VLOOKUP($A11,'Data Vlaue (Cr)'!$C:$FB,64)</f>
        <v>5410</v>
      </c>
      <c r="O11" s="51">
        <f>VLOOKUP($A11,'Data Vlaue (Cr)'!$C:$FB,66)*100</f>
        <v>-21.97</v>
      </c>
    </row>
    <row r="12" spans="1:15" x14ac:dyDescent="0.25">
      <c r="A12" s="101" t="str">
        <f>'Data Vlaue (Cr)'!C7</f>
        <v>ADANIGREEN</v>
      </c>
      <c r="B12" s="50">
        <f>VLOOKUP($A12,'Data Vlaue (Cr)'!$C:$FB,8)</f>
        <v>1457.4</v>
      </c>
      <c r="C12" s="50">
        <f>VLOOKUP($A12,'Data Vlaue (Cr)'!$C:$FB,11)*100</f>
        <v>3.2800000000000002</v>
      </c>
      <c r="D12" s="50">
        <f>VLOOKUP($A12,'Data Vlaue (Cr)'!$C:$FB,143)</f>
        <v>6760.85</v>
      </c>
      <c r="E12" s="50">
        <f>VLOOKUP($A12,'Data Vlaue (Cr)'!$C:$FB,144)</f>
        <v>8538.4500000000007</v>
      </c>
      <c r="F12" s="50">
        <f>VLOOKUP($A12,'Data Vlaue (Cr)'!$C:$FB,146)*100</f>
        <v>-20.82</v>
      </c>
      <c r="G12" s="49">
        <f>VLOOKUP($A12,'Data Vlaue (Cr)'!$C:$FB,43)</f>
        <v>2396</v>
      </c>
      <c r="H12" s="49">
        <f>VLOOKUP($A12,'Data Vlaue (Cr)'!$C:$FB,44)</f>
        <v>2423</v>
      </c>
      <c r="I12" s="49">
        <f>VLOOKUP($A12,'Data Vlaue (Cr)'!$C:$FB,46)*100</f>
        <v>-1.1199999999999999</v>
      </c>
      <c r="J12" s="51">
        <f>VLOOKUP($A12,'Data Vlaue (Cr)'!$C:$FB,59)</f>
        <v>3251</v>
      </c>
      <c r="K12" s="51">
        <f>VLOOKUP($A12,'Data Vlaue (Cr)'!$C:$FB,60)</f>
        <v>4718</v>
      </c>
      <c r="L12" s="51">
        <f>VLOOKUP($A12,'Data Vlaue (Cr)'!$C:$FB,62)*100</f>
        <v>-31.1</v>
      </c>
      <c r="M12" s="51">
        <f>VLOOKUP($A12,'Data Vlaue (Cr)'!$C:$FB,63)</f>
        <v>1187</v>
      </c>
      <c r="N12" s="51">
        <f>VLOOKUP($A12,'Data Vlaue (Cr)'!$C:$FB,64)</f>
        <v>1719</v>
      </c>
      <c r="O12" s="51">
        <f>VLOOKUP($A12,'Data Vlaue (Cr)'!$C:$FB,66)*100</f>
        <v>-30.95</v>
      </c>
    </row>
    <row r="13" spans="1:15" x14ac:dyDescent="0.25">
      <c r="A13" s="101" t="str">
        <f>'Data Vlaue (Cr)'!C8</f>
        <v>ADANIPORTS</v>
      </c>
      <c r="B13" s="50">
        <f>VLOOKUP($A13,'Data Vlaue (Cr)'!$C:$FB,8)</f>
        <v>1811.2</v>
      </c>
      <c r="C13" s="50">
        <f>VLOOKUP($A13,'Data Vlaue (Cr)'!$C:$FB,11)*100</f>
        <v>0.45999999999999996</v>
      </c>
      <c r="D13" s="50">
        <f>VLOOKUP($A13,'Data Vlaue (Cr)'!$C:$FB,143)</f>
        <v>4210.68</v>
      </c>
      <c r="E13" s="50">
        <f>VLOOKUP($A13,'Data Vlaue (Cr)'!$C:$FB,144)</f>
        <v>8438.59</v>
      </c>
      <c r="F13" s="50">
        <f>VLOOKUP($A13,'Data Vlaue (Cr)'!$C:$FB,146)*100</f>
        <v>-50.1</v>
      </c>
      <c r="G13" s="49">
        <f>VLOOKUP($A13,'Data Vlaue (Cr)'!$C:$FB,43)</f>
        <v>1230</v>
      </c>
      <c r="H13" s="49">
        <f>VLOOKUP($A13,'Data Vlaue (Cr)'!$C:$FB,44)</f>
        <v>2353</v>
      </c>
      <c r="I13" s="49">
        <f>VLOOKUP($A13,'Data Vlaue (Cr)'!$C:$FB,46)*100</f>
        <v>-47.72</v>
      </c>
      <c r="J13" s="51">
        <f>VLOOKUP($A13,'Data Vlaue (Cr)'!$C:$FB,59)</f>
        <v>2039</v>
      </c>
      <c r="K13" s="51">
        <f>VLOOKUP($A13,'Data Vlaue (Cr)'!$C:$FB,60)</f>
        <v>3956</v>
      </c>
      <c r="L13" s="51">
        <f>VLOOKUP($A13,'Data Vlaue (Cr)'!$C:$FB,62)*100</f>
        <v>-48.449999999999996</v>
      </c>
      <c r="M13" s="51">
        <f>VLOOKUP($A13,'Data Vlaue (Cr)'!$C:$FB,63)</f>
        <v>921</v>
      </c>
      <c r="N13" s="51">
        <f>VLOOKUP($A13,'Data Vlaue (Cr)'!$C:$FB,64)</f>
        <v>2147</v>
      </c>
      <c r="O13" s="51">
        <f>VLOOKUP($A13,'Data Vlaue (Cr)'!$C:$FB,66)*100</f>
        <v>-57.089999999999996</v>
      </c>
    </row>
    <row r="14" spans="1:15" x14ac:dyDescent="0.25">
      <c r="A14" s="101" t="str">
        <f>'Data Vlaue (Cr)'!C9</f>
        <v>ADANIPOWER</v>
      </c>
      <c r="B14" s="50">
        <f>VLOOKUP($A14,'Data Vlaue (Cr)'!$C:$FB,8)</f>
        <v>244.53</v>
      </c>
      <c r="C14" s="50">
        <f>VLOOKUP($A14,'Data Vlaue (Cr)'!$C:$FB,11)*100</f>
        <v>4.78</v>
      </c>
      <c r="D14" s="50">
        <f>VLOOKUP($A14,'Data Vlaue (Cr)'!$C:$FB,143)</f>
        <v>9136.18</v>
      </c>
      <c r="E14" s="50">
        <f>VLOOKUP($A14,'Data Vlaue (Cr)'!$C:$FB,144)</f>
        <v>10519.15</v>
      </c>
      <c r="F14" s="50">
        <f>VLOOKUP($A14,'Data Vlaue (Cr)'!$C:$FB,146)*100</f>
        <v>-13.15</v>
      </c>
      <c r="G14" s="49">
        <f>VLOOKUP($A14,'Data Vlaue (Cr)'!$C:$FB,43)</f>
        <v>2128</v>
      </c>
      <c r="H14" s="49">
        <f>VLOOKUP($A14,'Data Vlaue (Cr)'!$C:$FB,44)</f>
        <v>2689</v>
      </c>
      <c r="I14" s="49">
        <f>VLOOKUP($A14,'Data Vlaue (Cr)'!$C:$FB,46)*100</f>
        <v>-20.87</v>
      </c>
      <c r="J14" s="51">
        <f>VLOOKUP($A14,'Data Vlaue (Cr)'!$C:$FB,59)</f>
        <v>5355</v>
      </c>
      <c r="K14" s="51">
        <f>VLOOKUP($A14,'Data Vlaue (Cr)'!$C:$FB,60)</f>
        <v>6491</v>
      </c>
      <c r="L14" s="51">
        <f>VLOOKUP($A14,'Data Vlaue (Cr)'!$C:$FB,62)*100</f>
        <v>-17.5</v>
      </c>
      <c r="M14" s="51">
        <f>VLOOKUP($A14,'Data Vlaue (Cr)'!$C:$FB,63)</f>
        <v>1680</v>
      </c>
      <c r="N14" s="51">
        <f>VLOOKUP($A14,'Data Vlaue (Cr)'!$C:$FB,64)</f>
        <v>1896</v>
      </c>
      <c r="O14" s="51">
        <f>VLOOKUP($A14,'Data Vlaue (Cr)'!$C:$FB,66)*100</f>
        <v>-11.42</v>
      </c>
    </row>
    <row r="15" spans="1:15" x14ac:dyDescent="0.25">
      <c r="A15" s="101" t="str">
        <f>'Data Vlaue (Cr)'!C10</f>
        <v>ALKEM</v>
      </c>
      <c r="B15" s="50">
        <f>VLOOKUP($A15,'Data Vlaue (Cr)'!$C:$FB,8)</f>
        <v>5380</v>
      </c>
      <c r="C15" s="50">
        <f>VLOOKUP($A15,'Data Vlaue (Cr)'!$C:$FB,11)*100</f>
        <v>-0.38</v>
      </c>
      <c r="D15" s="50">
        <f>VLOOKUP($A15,'Data Vlaue (Cr)'!$C:$FB,143)</f>
        <v>867.39</v>
      </c>
      <c r="E15" s="50">
        <f>VLOOKUP($A15,'Data Vlaue (Cr)'!$C:$FB,144)</f>
        <v>883.48</v>
      </c>
      <c r="F15" s="50">
        <f>VLOOKUP($A15,'Data Vlaue (Cr)'!$C:$FB,146)*100</f>
        <v>-1.82</v>
      </c>
      <c r="G15" s="49">
        <f>VLOOKUP($A15,'Data Vlaue (Cr)'!$C:$FB,43)</f>
        <v>197</v>
      </c>
      <c r="H15" s="49">
        <f>VLOOKUP($A15,'Data Vlaue (Cr)'!$C:$FB,44)</f>
        <v>268</v>
      </c>
      <c r="I15" s="49">
        <f>VLOOKUP($A15,'Data Vlaue (Cr)'!$C:$FB,46)*100</f>
        <v>-26.56</v>
      </c>
      <c r="J15" s="51">
        <f>VLOOKUP($A15,'Data Vlaue (Cr)'!$C:$FB,59)</f>
        <v>238</v>
      </c>
      <c r="K15" s="51">
        <f>VLOOKUP($A15,'Data Vlaue (Cr)'!$C:$FB,60)</f>
        <v>421</v>
      </c>
      <c r="L15" s="51">
        <f>VLOOKUP($A15,'Data Vlaue (Cr)'!$C:$FB,62)*100</f>
        <v>-43.44</v>
      </c>
      <c r="M15" s="51">
        <f>VLOOKUP($A15,'Data Vlaue (Cr)'!$C:$FB,63)</f>
        <v>434</v>
      </c>
      <c r="N15" s="51">
        <f>VLOOKUP($A15,'Data Vlaue (Cr)'!$C:$FB,64)</f>
        <v>176</v>
      </c>
      <c r="O15" s="51">
        <f>VLOOKUP($A15,'Data Vlaue (Cr)'!$C:$FB,66)*100</f>
        <v>146.81</v>
      </c>
    </row>
    <row r="16" spans="1:15" x14ac:dyDescent="0.25">
      <c r="A16" s="101" t="str">
        <f>'Data Vlaue (Cr)'!C11</f>
        <v>AMBER</v>
      </c>
      <c r="B16" s="50">
        <f>VLOOKUP($A16,'Data Vlaue (Cr)'!$C:$FB,8)</f>
        <v>7312</v>
      </c>
      <c r="C16" s="50">
        <f>VLOOKUP($A16,'Data Vlaue (Cr)'!$C:$FB,11)*100</f>
        <v>-2</v>
      </c>
      <c r="D16" s="50">
        <f>VLOOKUP($A16,'Data Vlaue (Cr)'!$C:$FB,143)</f>
        <v>5409.94</v>
      </c>
      <c r="E16" s="50">
        <f>VLOOKUP($A16,'Data Vlaue (Cr)'!$C:$FB,144)</f>
        <v>9369.4599999999991</v>
      </c>
      <c r="F16" s="50">
        <f>VLOOKUP($A16,'Data Vlaue (Cr)'!$C:$FB,146)*100</f>
        <v>-42.26</v>
      </c>
      <c r="G16" s="49">
        <f>VLOOKUP($A16,'Data Vlaue (Cr)'!$C:$FB,43)</f>
        <v>1088</v>
      </c>
      <c r="H16" s="49">
        <f>VLOOKUP($A16,'Data Vlaue (Cr)'!$C:$FB,44)</f>
        <v>1266</v>
      </c>
      <c r="I16" s="49">
        <f>VLOOKUP($A16,'Data Vlaue (Cr)'!$C:$FB,46)*100</f>
        <v>-14.09</v>
      </c>
      <c r="J16" s="51">
        <f>VLOOKUP($A16,'Data Vlaue (Cr)'!$C:$FB,59)</f>
        <v>2705</v>
      </c>
      <c r="K16" s="51">
        <f>VLOOKUP($A16,'Data Vlaue (Cr)'!$C:$FB,60)</f>
        <v>4406</v>
      </c>
      <c r="L16" s="51">
        <f>VLOOKUP($A16,'Data Vlaue (Cr)'!$C:$FB,62)*100</f>
        <v>-38.590000000000003</v>
      </c>
      <c r="M16" s="51">
        <f>VLOOKUP($A16,'Data Vlaue (Cr)'!$C:$FB,63)</f>
        <v>1409</v>
      </c>
      <c r="N16" s="51">
        <f>VLOOKUP($A16,'Data Vlaue (Cr)'!$C:$FB,64)</f>
        <v>3450</v>
      </c>
      <c r="O16" s="51">
        <f>VLOOKUP($A16,'Data Vlaue (Cr)'!$C:$FB,66)*100</f>
        <v>-59.17</v>
      </c>
    </row>
    <row r="17" spans="1:15" x14ac:dyDescent="0.25">
      <c r="A17" s="101" t="str">
        <f>'Data Vlaue (Cr)'!C12</f>
        <v>AMBUJACEM</v>
      </c>
      <c r="B17" s="50">
        <f>VLOOKUP($A17,'Data Vlaue (Cr)'!$C:$FB,8)</f>
        <v>449.7</v>
      </c>
      <c r="C17" s="50">
        <f>VLOOKUP($A17,'Data Vlaue (Cr)'!$C:$FB,11)*100</f>
        <v>1.7500000000000002</v>
      </c>
      <c r="D17" s="50">
        <f>VLOOKUP($A17,'Data Vlaue (Cr)'!$C:$FB,143)</f>
        <v>3309.57</v>
      </c>
      <c r="E17" s="50">
        <f>VLOOKUP($A17,'Data Vlaue (Cr)'!$C:$FB,144)</f>
        <v>2754.93</v>
      </c>
      <c r="F17" s="50">
        <f>VLOOKUP($A17,'Data Vlaue (Cr)'!$C:$FB,146)*100</f>
        <v>20.13</v>
      </c>
      <c r="G17" s="49">
        <f>VLOOKUP($A17,'Data Vlaue (Cr)'!$C:$FB,43)</f>
        <v>1284</v>
      </c>
      <c r="H17" s="49">
        <f>VLOOKUP($A17,'Data Vlaue (Cr)'!$C:$FB,44)</f>
        <v>1413</v>
      </c>
      <c r="I17" s="49">
        <f>VLOOKUP($A17,'Data Vlaue (Cr)'!$C:$FB,46)*100</f>
        <v>-9.1399999999999988</v>
      </c>
      <c r="J17" s="51">
        <f>VLOOKUP($A17,'Data Vlaue (Cr)'!$C:$FB,59)</f>
        <v>1345</v>
      </c>
      <c r="K17" s="51">
        <f>VLOOKUP($A17,'Data Vlaue (Cr)'!$C:$FB,60)</f>
        <v>898</v>
      </c>
      <c r="L17" s="51">
        <f>VLOOKUP($A17,'Data Vlaue (Cr)'!$C:$FB,62)*100</f>
        <v>49.84</v>
      </c>
      <c r="M17" s="51">
        <f>VLOOKUP($A17,'Data Vlaue (Cr)'!$C:$FB,63)</f>
        <v>591</v>
      </c>
      <c r="N17" s="51">
        <f>VLOOKUP($A17,'Data Vlaue (Cr)'!$C:$FB,64)</f>
        <v>464</v>
      </c>
      <c r="O17" s="51">
        <f>VLOOKUP($A17,'Data Vlaue (Cr)'!$C:$FB,66)*100</f>
        <v>27.389999999999997</v>
      </c>
    </row>
    <row r="18" spans="1:15" x14ac:dyDescent="0.25">
      <c r="A18" s="101" t="str">
        <f>'Data Vlaue (Cr)'!C13</f>
        <v>ANGELONE</v>
      </c>
      <c r="B18" s="50">
        <f>VLOOKUP($A18,'Data Vlaue (Cr)'!$C:$FB,8)</f>
        <v>344.45</v>
      </c>
      <c r="C18" s="50">
        <f>VLOOKUP($A18,'Data Vlaue (Cr)'!$C:$FB,11)*100</f>
        <v>-0.57999999999999996</v>
      </c>
      <c r="D18" s="50">
        <f>VLOOKUP($A18,'Data Vlaue (Cr)'!$C:$FB,143)</f>
        <v>2206.4899999999998</v>
      </c>
      <c r="E18" s="50">
        <f>VLOOKUP($A18,'Data Vlaue (Cr)'!$C:$FB,144)</f>
        <v>4083.84</v>
      </c>
      <c r="F18" s="50">
        <f>VLOOKUP($A18,'Data Vlaue (Cr)'!$C:$FB,146)*100</f>
        <v>-45.97</v>
      </c>
      <c r="G18" s="49">
        <f>VLOOKUP($A18,'Data Vlaue (Cr)'!$C:$FB,43)</f>
        <v>692</v>
      </c>
      <c r="H18" s="49">
        <f>VLOOKUP($A18,'Data Vlaue (Cr)'!$C:$FB,44)</f>
        <v>787</v>
      </c>
      <c r="I18" s="49">
        <f>VLOOKUP($A18,'Data Vlaue (Cr)'!$C:$FB,46)*100</f>
        <v>-12.030000000000001</v>
      </c>
      <c r="J18" s="51">
        <f>VLOOKUP($A18,'Data Vlaue (Cr)'!$C:$FB,59)</f>
        <v>860</v>
      </c>
      <c r="K18" s="51">
        <f>VLOOKUP($A18,'Data Vlaue (Cr)'!$C:$FB,60)</f>
        <v>2077</v>
      </c>
      <c r="L18" s="51">
        <f>VLOOKUP($A18,'Data Vlaue (Cr)'!$C:$FB,62)*100</f>
        <v>-58.609999999999992</v>
      </c>
      <c r="M18" s="51">
        <f>VLOOKUP($A18,'Data Vlaue (Cr)'!$C:$FB,63)</f>
        <v>645</v>
      </c>
      <c r="N18" s="51">
        <f>VLOOKUP($A18,'Data Vlaue (Cr)'!$C:$FB,64)</f>
        <v>1198</v>
      </c>
      <c r="O18" s="51">
        <f>VLOOKUP($A18,'Data Vlaue (Cr)'!$C:$FB,66)*100</f>
        <v>-46.129999999999995</v>
      </c>
    </row>
    <row r="19" spans="1:15" x14ac:dyDescent="0.25">
      <c r="A19" s="101" t="str">
        <f>'Data Vlaue (Cr)'!C14</f>
        <v>APLAPOLLO</v>
      </c>
      <c r="B19" s="50">
        <f>VLOOKUP($A19,'Data Vlaue (Cr)'!$C:$FB,8)</f>
        <v>1874.1</v>
      </c>
      <c r="C19" s="50">
        <f>VLOOKUP($A19,'Data Vlaue (Cr)'!$C:$FB,11)*100</f>
        <v>-1.29</v>
      </c>
      <c r="D19" s="50">
        <f>VLOOKUP($A19,'Data Vlaue (Cr)'!$C:$FB,143)</f>
        <v>1244.96</v>
      </c>
      <c r="E19" s="50">
        <f>VLOOKUP($A19,'Data Vlaue (Cr)'!$C:$FB,144)</f>
        <v>1344.31</v>
      </c>
      <c r="F19" s="50">
        <f>VLOOKUP($A19,'Data Vlaue (Cr)'!$C:$FB,146)*100</f>
        <v>-7.39</v>
      </c>
      <c r="G19" s="49">
        <f>VLOOKUP($A19,'Data Vlaue (Cr)'!$C:$FB,43)</f>
        <v>461</v>
      </c>
      <c r="H19" s="49">
        <f>VLOOKUP($A19,'Data Vlaue (Cr)'!$C:$FB,44)</f>
        <v>476</v>
      </c>
      <c r="I19" s="49">
        <f>VLOOKUP($A19,'Data Vlaue (Cr)'!$C:$FB,46)*100</f>
        <v>-3.2</v>
      </c>
      <c r="J19" s="51">
        <f>VLOOKUP($A19,'Data Vlaue (Cr)'!$C:$FB,59)</f>
        <v>410</v>
      </c>
      <c r="K19" s="51">
        <f>VLOOKUP($A19,'Data Vlaue (Cr)'!$C:$FB,60)</f>
        <v>568</v>
      </c>
      <c r="L19" s="51">
        <f>VLOOKUP($A19,'Data Vlaue (Cr)'!$C:$FB,62)*100</f>
        <v>-27.87</v>
      </c>
      <c r="M19" s="51">
        <f>VLOOKUP($A19,'Data Vlaue (Cr)'!$C:$FB,63)</f>
        <v>359</v>
      </c>
      <c r="N19" s="51">
        <f>VLOOKUP($A19,'Data Vlaue (Cr)'!$C:$FB,64)</f>
        <v>264</v>
      </c>
      <c r="O19" s="51">
        <f>VLOOKUP($A19,'Data Vlaue (Cr)'!$C:$FB,66)*100</f>
        <v>36.07</v>
      </c>
    </row>
    <row r="20" spans="1:15" x14ac:dyDescent="0.25">
      <c r="A20" s="101" t="str">
        <f>'Data Vlaue (Cr)'!C15</f>
        <v>APOLLOHOSP</v>
      </c>
      <c r="B20" s="50">
        <f>VLOOKUP($A20,'Data Vlaue (Cr)'!$C:$FB,8)</f>
        <v>8258.5</v>
      </c>
      <c r="C20" s="50">
        <f>VLOOKUP($A20,'Data Vlaue (Cr)'!$C:$FB,11)*100</f>
        <v>-1.73</v>
      </c>
      <c r="D20" s="50">
        <f>VLOOKUP($A20,'Data Vlaue (Cr)'!$C:$FB,143)</f>
        <v>2979.6</v>
      </c>
      <c r="E20" s="50">
        <f>VLOOKUP($A20,'Data Vlaue (Cr)'!$C:$FB,144)</f>
        <v>4967.76</v>
      </c>
      <c r="F20" s="50">
        <f>VLOOKUP($A20,'Data Vlaue (Cr)'!$C:$FB,146)*100</f>
        <v>-40.020000000000003</v>
      </c>
      <c r="G20" s="49">
        <f>VLOOKUP($A20,'Data Vlaue (Cr)'!$C:$FB,43)</f>
        <v>509</v>
      </c>
      <c r="H20" s="49">
        <f>VLOOKUP($A20,'Data Vlaue (Cr)'!$C:$FB,44)</f>
        <v>763</v>
      </c>
      <c r="I20" s="49">
        <f>VLOOKUP($A20,'Data Vlaue (Cr)'!$C:$FB,46)*100</f>
        <v>-33.25</v>
      </c>
      <c r="J20" s="51">
        <f>VLOOKUP($A20,'Data Vlaue (Cr)'!$C:$FB,59)</f>
        <v>1232</v>
      </c>
      <c r="K20" s="51">
        <f>VLOOKUP($A20,'Data Vlaue (Cr)'!$C:$FB,60)</f>
        <v>2287</v>
      </c>
      <c r="L20" s="51">
        <f>VLOOKUP($A20,'Data Vlaue (Cr)'!$C:$FB,62)*100</f>
        <v>-46.11</v>
      </c>
      <c r="M20" s="51">
        <f>VLOOKUP($A20,'Data Vlaue (Cr)'!$C:$FB,63)</f>
        <v>1222</v>
      </c>
      <c r="N20" s="51">
        <f>VLOOKUP($A20,'Data Vlaue (Cr)'!$C:$FB,64)</f>
        <v>1868</v>
      </c>
      <c r="O20" s="51">
        <f>VLOOKUP($A20,'Data Vlaue (Cr)'!$C:$FB,66)*100</f>
        <v>-34.58</v>
      </c>
    </row>
    <row r="21" spans="1:15" x14ac:dyDescent="0.25">
      <c r="A21" s="101" t="str">
        <f>'Data Vlaue (Cr)'!C16</f>
        <v>ASHOKLEY</v>
      </c>
      <c r="B21" s="50">
        <f>VLOOKUP($A21,'Data Vlaue (Cr)'!$C:$FB,8)</f>
        <v>160.54</v>
      </c>
      <c r="C21" s="50">
        <f>VLOOKUP($A21,'Data Vlaue (Cr)'!$C:$FB,11)*100</f>
        <v>-2.16</v>
      </c>
      <c r="D21" s="50">
        <f>VLOOKUP($A21,'Data Vlaue (Cr)'!$C:$FB,143)</f>
        <v>3493.6</v>
      </c>
      <c r="E21" s="50">
        <f>VLOOKUP($A21,'Data Vlaue (Cr)'!$C:$FB,144)</f>
        <v>8585.2000000000007</v>
      </c>
      <c r="F21" s="50">
        <f>VLOOKUP($A21,'Data Vlaue (Cr)'!$C:$FB,146)*100</f>
        <v>-59.309999999999995</v>
      </c>
      <c r="G21" s="49">
        <f>VLOOKUP($A21,'Data Vlaue (Cr)'!$C:$FB,43)</f>
        <v>1366</v>
      </c>
      <c r="H21" s="49">
        <f>VLOOKUP($A21,'Data Vlaue (Cr)'!$C:$FB,44)</f>
        <v>2549</v>
      </c>
      <c r="I21" s="49">
        <f>VLOOKUP($A21,'Data Vlaue (Cr)'!$C:$FB,46)*100</f>
        <v>-46.42</v>
      </c>
      <c r="J21" s="51">
        <f>VLOOKUP($A21,'Data Vlaue (Cr)'!$C:$FB,59)</f>
        <v>1215</v>
      </c>
      <c r="K21" s="51">
        <f>VLOOKUP($A21,'Data Vlaue (Cr)'!$C:$FB,60)</f>
        <v>4081</v>
      </c>
      <c r="L21" s="51">
        <f>VLOOKUP($A21,'Data Vlaue (Cr)'!$C:$FB,62)*100</f>
        <v>-70.22</v>
      </c>
      <c r="M21" s="51">
        <f>VLOOKUP($A21,'Data Vlaue (Cr)'!$C:$FB,63)</f>
        <v>782</v>
      </c>
      <c r="N21" s="51">
        <f>VLOOKUP($A21,'Data Vlaue (Cr)'!$C:$FB,64)</f>
        <v>1628</v>
      </c>
      <c r="O21" s="51">
        <f>VLOOKUP($A21,'Data Vlaue (Cr)'!$C:$FB,66)*100</f>
        <v>-51.93</v>
      </c>
    </row>
    <row r="22" spans="1:15" x14ac:dyDescent="0.25">
      <c r="A22" s="101" t="str">
        <f>'Data Vlaue (Cr)'!C17</f>
        <v>ASIANPAINT</v>
      </c>
      <c r="B22" s="50">
        <f>VLOOKUP($A22,'Data Vlaue (Cr)'!$C:$FB,8)</f>
        <v>2647</v>
      </c>
      <c r="C22" s="50">
        <f>VLOOKUP($A22,'Data Vlaue (Cr)'!$C:$FB,11)*100</f>
        <v>-0.41000000000000003</v>
      </c>
      <c r="D22" s="50">
        <f>VLOOKUP($A22,'Data Vlaue (Cr)'!$C:$FB,143)</f>
        <v>3498.38</v>
      </c>
      <c r="E22" s="50">
        <f>VLOOKUP($A22,'Data Vlaue (Cr)'!$C:$FB,144)</f>
        <v>8260.11</v>
      </c>
      <c r="F22" s="50">
        <f>VLOOKUP($A22,'Data Vlaue (Cr)'!$C:$FB,146)*100</f>
        <v>-57.65</v>
      </c>
      <c r="G22" s="49">
        <f>VLOOKUP($A22,'Data Vlaue (Cr)'!$C:$FB,43)</f>
        <v>1031</v>
      </c>
      <c r="H22" s="49">
        <f>VLOOKUP($A22,'Data Vlaue (Cr)'!$C:$FB,44)</f>
        <v>1896</v>
      </c>
      <c r="I22" s="49">
        <f>VLOOKUP($A22,'Data Vlaue (Cr)'!$C:$FB,46)*100</f>
        <v>-45.61</v>
      </c>
      <c r="J22" s="51">
        <f>VLOOKUP($A22,'Data Vlaue (Cr)'!$C:$FB,59)</f>
        <v>1495</v>
      </c>
      <c r="K22" s="51">
        <f>VLOOKUP($A22,'Data Vlaue (Cr)'!$C:$FB,60)</f>
        <v>3916</v>
      </c>
      <c r="L22" s="51">
        <f>VLOOKUP($A22,'Data Vlaue (Cr)'!$C:$FB,62)*100</f>
        <v>-61.82</v>
      </c>
      <c r="M22" s="51">
        <f>VLOOKUP($A22,'Data Vlaue (Cr)'!$C:$FB,63)</f>
        <v>927</v>
      </c>
      <c r="N22" s="51">
        <f>VLOOKUP($A22,'Data Vlaue (Cr)'!$C:$FB,64)</f>
        <v>2351</v>
      </c>
      <c r="O22" s="51">
        <f>VLOOKUP($A22,'Data Vlaue (Cr)'!$C:$FB,66)*100</f>
        <v>-60.589999999999996</v>
      </c>
    </row>
    <row r="23" spans="1:15" x14ac:dyDescent="0.25">
      <c r="A23" s="101" t="str">
        <f>'Data Vlaue (Cr)'!C18</f>
        <v>ASTRAL</v>
      </c>
      <c r="B23" s="50">
        <f>VLOOKUP($A23,'Data Vlaue (Cr)'!$C:$FB,8)</f>
        <v>1578.8</v>
      </c>
      <c r="C23" s="50">
        <f>VLOOKUP($A23,'Data Vlaue (Cr)'!$C:$FB,11)*100</f>
        <v>1.71</v>
      </c>
      <c r="D23" s="50">
        <f>VLOOKUP($A23,'Data Vlaue (Cr)'!$C:$FB,143)</f>
        <v>1735.69</v>
      </c>
      <c r="E23" s="50">
        <f>VLOOKUP($A23,'Data Vlaue (Cr)'!$C:$FB,144)</f>
        <v>2406.0500000000002</v>
      </c>
      <c r="F23" s="50">
        <f>VLOOKUP($A23,'Data Vlaue (Cr)'!$C:$FB,146)*100</f>
        <v>-27.860000000000003</v>
      </c>
      <c r="G23" s="49">
        <f>VLOOKUP($A23,'Data Vlaue (Cr)'!$C:$FB,43)</f>
        <v>671</v>
      </c>
      <c r="H23" s="49">
        <f>VLOOKUP($A23,'Data Vlaue (Cr)'!$C:$FB,44)</f>
        <v>730</v>
      </c>
      <c r="I23" s="49">
        <f>VLOOKUP($A23,'Data Vlaue (Cr)'!$C:$FB,46)*100</f>
        <v>-8.07</v>
      </c>
      <c r="J23" s="51">
        <f>VLOOKUP($A23,'Data Vlaue (Cr)'!$C:$FB,59)</f>
        <v>685</v>
      </c>
      <c r="K23" s="51">
        <f>VLOOKUP($A23,'Data Vlaue (Cr)'!$C:$FB,60)</f>
        <v>1150</v>
      </c>
      <c r="L23" s="51">
        <f>VLOOKUP($A23,'Data Vlaue (Cr)'!$C:$FB,62)*100</f>
        <v>-40.5</v>
      </c>
      <c r="M23" s="51">
        <f>VLOOKUP($A23,'Data Vlaue (Cr)'!$C:$FB,63)</f>
        <v>372</v>
      </c>
      <c r="N23" s="51">
        <f>VLOOKUP($A23,'Data Vlaue (Cr)'!$C:$FB,64)</f>
        <v>515</v>
      </c>
      <c r="O23" s="51">
        <f>VLOOKUP($A23,'Data Vlaue (Cr)'!$C:$FB,66)*100</f>
        <v>-27.71</v>
      </c>
    </row>
    <row r="24" spans="1:15" x14ac:dyDescent="0.25">
      <c r="A24" s="101" t="str">
        <f>'Data Vlaue (Cr)'!C19</f>
        <v>AUBANK</v>
      </c>
      <c r="B24" s="50">
        <f>VLOOKUP($A24,'Data Vlaue (Cr)'!$C:$FB,8)</f>
        <v>1011.8</v>
      </c>
      <c r="C24" s="50">
        <f>VLOOKUP($A24,'Data Vlaue (Cr)'!$C:$FB,11)*100</f>
        <v>1.25</v>
      </c>
      <c r="D24" s="50">
        <f>VLOOKUP($A24,'Data Vlaue (Cr)'!$C:$FB,143)</f>
        <v>1970.03</v>
      </c>
      <c r="E24" s="50">
        <f>VLOOKUP($A24,'Data Vlaue (Cr)'!$C:$FB,144)</f>
        <v>4125.12</v>
      </c>
      <c r="F24" s="50">
        <f>VLOOKUP($A24,'Data Vlaue (Cr)'!$C:$FB,146)*100</f>
        <v>-52.239999999999995</v>
      </c>
      <c r="G24" s="49">
        <f>VLOOKUP($A24,'Data Vlaue (Cr)'!$C:$FB,43)</f>
        <v>916</v>
      </c>
      <c r="H24" s="49">
        <f>VLOOKUP($A24,'Data Vlaue (Cr)'!$C:$FB,44)</f>
        <v>1979</v>
      </c>
      <c r="I24" s="49">
        <f>VLOOKUP($A24,'Data Vlaue (Cr)'!$C:$FB,46)*100</f>
        <v>-53.7</v>
      </c>
      <c r="J24" s="51">
        <f>VLOOKUP($A24,'Data Vlaue (Cr)'!$C:$FB,59)</f>
        <v>640</v>
      </c>
      <c r="K24" s="51">
        <f>VLOOKUP($A24,'Data Vlaue (Cr)'!$C:$FB,60)</f>
        <v>1451</v>
      </c>
      <c r="L24" s="51">
        <f>VLOOKUP($A24,'Data Vlaue (Cr)'!$C:$FB,62)*100</f>
        <v>-55.910000000000004</v>
      </c>
      <c r="M24" s="51">
        <f>VLOOKUP($A24,'Data Vlaue (Cr)'!$C:$FB,63)</f>
        <v>415</v>
      </c>
      <c r="N24" s="51">
        <f>VLOOKUP($A24,'Data Vlaue (Cr)'!$C:$FB,64)</f>
        <v>743</v>
      </c>
      <c r="O24" s="51">
        <f>VLOOKUP($A24,'Data Vlaue (Cr)'!$C:$FB,66)*100</f>
        <v>-44.22</v>
      </c>
    </row>
    <row r="25" spans="1:15" x14ac:dyDescent="0.25">
      <c r="A25" s="101" t="str">
        <f>'Data Vlaue (Cr)'!C20</f>
        <v>AUROPHARMA</v>
      </c>
      <c r="B25" s="50">
        <f>VLOOKUP($A25,'Data Vlaue (Cr)'!$C:$FB,8)</f>
        <v>1461.2</v>
      </c>
      <c r="C25" s="50">
        <f>VLOOKUP($A25,'Data Vlaue (Cr)'!$C:$FB,11)*100</f>
        <v>0.44999999999999996</v>
      </c>
      <c r="D25" s="50">
        <f>VLOOKUP($A25,'Data Vlaue (Cr)'!$C:$FB,143)</f>
        <v>1714.14</v>
      </c>
      <c r="E25" s="50">
        <f>VLOOKUP($A25,'Data Vlaue (Cr)'!$C:$FB,144)</f>
        <v>3404.97</v>
      </c>
      <c r="F25" s="50">
        <f>VLOOKUP($A25,'Data Vlaue (Cr)'!$C:$FB,146)*100</f>
        <v>-49.66</v>
      </c>
      <c r="G25" s="49">
        <f>VLOOKUP($A25,'Data Vlaue (Cr)'!$C:$FB,43)</f>
        <v>592</v>
      </c>
      <c r="H25" s="49">
        <f>VLOOKUP($A25,'Data Vlaue (Cr)'!$C:$FB,44)</f>
        <v>1071</v>
      </c>
      <c r="I25" s="49">
        <f>VLOOKUP($A25,'Data Vlaue (Cr)'!$C:$FB,46)*100</f>
        <v>-44.73</v>
      </c>
      <c r="J25" s="51">
        <f>VLOOKUP($A25,'Data Vlaue (Cr)'!$C:$FB,59)</f>
        <v>734</v>
      </c>
      <c r="K25" s="51">
        <f>VLOOKUP($A25,'Data Vlaue (Cr)'!$C:$FB,60)</f>
        <v>1596</v>
      </c>
      <c r="L25" s="51">
        <f>VLOOKUP($A25,'Data Vlaue (Cr)'!$C:$FB,62)*100</f>
        <v>-54.010000000000005</v>
      </c>
      <c r="M25" s="51">
        <f>VLOOKUP($A25,'Data Vlaue (Cr)'!$C:$FB,63)</f>
        <v>378</v>
      </c>
      <c r="N25" s="51">
        <f>VLOOKUP($A25,'Data Vlaue (Cr)'!$C:$FB,64)</f>
        <v>713</v>
      </c>
      <c r="O25" s="51">
        <f>VLOOKUP($A25,'Data Vlaue (Cr)'!$C:$FB,66)*100</f>
        <v>-46.989999999999995</v>
      </c>
    </row>
    <row r="26" spans="1:15" x14ac:dyDescent="0.25">
      <c r="A26" s="101" t="str">
        <f>'Data Vlaue (Cr)'!C21</f>
        <v>AXISBANK</v>
      </c>
      <c r="B26" s="50">
        <f>VLOOKUP($A26,'Data Vlaue (Cr)'!$C:$FB,8)</f>
        <v>1299.3</v>
      </c>
      <c r="C26" s="50">
        <f>VLOOKUP($A26,'Data Vlaue (Cr)'!$C:$FB,11)*100</f>
        <v>-0.91</v>
      </c>
      <c r="D26" s="50">
        <f>VLOOKUP($A26,'Data Vlaue (Cr)'!$C:$FB,143)</f>
        <v>8230.24</v>
      </c>
      <c r="E26" s="50">
        <f>VLOOKUP($A26,'Data Vlaue (Cr)'!$C:$FB,144)</f>
        <v>15777.01</v>
      </c>
      <c r="F26" s="50">
        <f>VLOOKUP($A26,'Data Vlaue (Cr)'!$C:$FB,146)*100</f>
        <v>-47.83</v>
      </c>
      <c r="G26" s="49">
        <f>VLOOKUP($A26,'Data Vlaue (Cr)'!$C:$FB,43)</f>
        <v>2446</v>
      </c>
      <c r="H26" s="49">
        <f>VLOOKUP($A26,'Data Vlaue (Cr)'!$C:$FB,44)</f>
        <v>2908</v>
      </c>
      <c r="I26" s="49">
        <f>VLOOKUP($A26,'Data Vlaue (Cr)'!$C:$FB,46)*100</f>
        <v>-15.89</v>
      </c>
      <c r="J26" s="51">
        <f>VLOOKUP($A26,'Data Vlaue (Cr)'!$C:$FB,59)</f>
        <v>3274</v>
      </c>
      <c r="K26" s="51">
        <f>VLOOKUP($A26,'Data Vlaue (Cr)'!$C:$FB,60)</f>
        <v>9213</v>
      </c>
      <c r="L26" s="51">
        <f>VLOOKUP($A26,'Data Vlaue (Cr)'!$C:$FB,62)*100</f>
        <v>-64.459999999999994</v>
      </c>
      <c r="M26" s="51">
        <f>VLOOKUP($A26,'Data Vlaue (Cr)'!$C:$FB,63)</f>
        <v>2479</v>
      </c>
      <c r="N26" s="51">
        <f>VLOOKUP($A26,'Data Vlaue (Cr)'!$C:$FB,64)</f>
        <v>3600</v>
      </c>
      <c r="O26" s="51">
        <f>VLOOKUP($A26,'Data Vlaue (Cr)'!$C:$FB,66)*100</f>
        <v>-31.15</v>
      </c>
    </row>
    <row r="27" spans="1:15" x14ac:dyDescent="0.25">
      <c r="A27" s="101" t="str">
        <f>'Data Vlaue (Cr)'!C22</f>
        <v>BAJAJ-AUTO</v>
      </c>
      <c r="B27" s="50">
        <f>VLOOKUP($A27,'Data Vlaue (Cr)'!$C:$FB,8)</f>
        <v>10593</v>
      </c>
      <c r="C27" s="50">
        <f>VLOOKUP($A27,'Data Vlaue (Cr)'!$C:$FB,11)*100</f>
        <v>0.97</v>
      </c>
      <c r="D27" s="50">
        <f>VLOOKUP($A27,'Data Vlaue (Cr)'!$C:$FB,143)</f>
        <v>6040.27</v>
      </c>
      <c r="E27" s="50">
        <f>VLOOKUP($A27,'Data Vlaue (Cr)'!$C:$FB,144)</f>
        <v>13674.72</v>
      </c>
      <c r="F27" s="50">
        <f>VLOOKUP($A27,'Data Vlaue (Cr)'!$C:$FB,146)*100</f>
        <v>-55.83</v>
      </c>
      <c r="G27" s="49">
        <f>VLOOKUP($A27,'Data Vlaue (Cr)'!$C:$FB,43)</f>
        <v>1344</v>
      </c>
      <c r="H27" s="49">
        <f>VLOOKUP($A27,'Data Vlaue (Cr)'!$C:$FB,44)</f>
        <v>1960</v>
      </c>
      <c r="I27" s="49">
        <f>VLOOKUP($A27,'Data Vlaue (Cr)'!$C:$FB,46)*100</f>
        <v>-31.45</v>
      </c>
      <c r="J27" s="51">
        <f>VLOOKUP($A27,'Data Vlaue (Cr)'!$C:$FB,59)</f>
        <v>3292</v>
      </c>
      <c r="K27" s="51">
        <f>VLOOKUP($A27,'Data Vlaue (Cr)'!$C:$FB,60)</f>
        <v>6923</v>
      </c>
      <c r="L27" s="51">
        <f>VLOOKUP($A27,'Data Vlaue (Cr)'!$C:$FB,62)*100</f>
        <v>-52.44</v>
      </c>
      <c r="M27" s="51">
        <f>VLOOKUP($A27,'Data Vlaue (Cr)'!$C:$FB,63)</f>
        <v>1235</v>
      </c>
      <c r="N27" s="51">
        <f>VLOOKUP($A27,'Data Vlaue (Cr)'!$C:$FB,64)</f>
        <v>4448</v>
      </c>
      <c r="O27" s="51">
        <f>VLOOKUP($A27,'Data Vlaue (Cr)'!$C:$FB,66)*100</f>
        <v>-72.240000000000009</v>
      </c>
    </row>
    <row r="28" spans="1:15" x14ac:dyDescent="0.25">
      <c r="A28" s="101" t="str">
        <f>'Data Vlaue (Cr)'!C23</f>
        <v>BAJAJFINSV</v>
      </c>
      <c r="B28" s="50">
        <f>VLOOKUP($A28,'Data Vlaue (Cr)'!$C:$FB,8)</f>
        <v>1800.7</v>
      </c>
      <c r="C28" s="50">
        <f>VLOOKUP($A28,'Data Vlaue (Cr)'!$C:$FB,11)*100</f>
        <v>-0.37</v>
      </c>
      <c r="D28" s="50">
        <f>VLOOKUP($A28,'Data Vlaue (Cr)'!$C:$FB,143)</f>
        <v>1645.27</v>
      </c>
      <c r="E28" s="50">
        <f>VLOOKUP($A28,'Data Vlaue (Cr)'!$C:$FB,144)</f>
        <v>4082.83</v>
      </c>
      <c r="F28" s="50">
        <f>VLOOKUP($A28,'Data Vlaue (Cr)'!$C:$FB,146)*100</f>
        <v>-59.699999999999996</v>
      </c>
      <c r="G28" s="49">
        <f>VLOOKUP($A28,'Data Vlaue (Cr)'!$C:$FB,43)</f>
        <v>489</v>
      </c>
      <c r="H28" s="49">
        <f>VLOOKUP($A28,'Data Vlaue (Cr)'!$C:$FB,44)</f>
        <v>1157</v>
      </c>
      <c r="I28" s="49">
        <f>VLOOKUP($A28,'Data Vlaue (Cr)'!$C:$FB,46)*100</f>
        <v>-57.75</v>
      </c>
      <c r="J28" s="51">
        <f>VLOOKUP($A28,'Data Vlaue (Cr)'!$C:$FB,59)</f>
        <v>699</v>
      </c>
      <c r="K28" s="51">
        <f>VLOOKUP($A28,'Data Vlaue (Cr)'!$C:$FB,60)</f>
        <v>1727</v>
      </c>
      <c r="L28" s="51">
        <f>VLOOKUP($A28,'Data Vlaue (Cr)'!$C:$FB,62)*100</f>
        <v>-59.519999999999996</v>
      </c>
      <c r="M28" s="51">
        <f>VLOOKUP($A28,'Data Vlaue (Cr)'!$C:$FB,63)</f>
        <v>428</v>
      </c>
      <c r="N28" s="51">
        <f>VLOOKUP($A28,'Data Vlaue (Cr)'!$C:$FB,64)</f>
        <v>1205</v>
      </c>
      <c r="O28" s="51">
        <f>VLOOKUP($A28,'Data Vlaue (Cr)'!$C:$FB,66)*100</f>
        <v>-64.47</v>
      </c>
    </row>
    <row r="29" spans="1:15" x14ac:dyDescent="0.25">
      <c r="A29" s="101" t="str">
        <f>'Data Vlaue (Cr)'!C24</f>
        <v>BAJAJHLDNG</v>
      </c>
      <c r="B29" s="50">
        <f>VLOOKUP($A29,'Data Vlaue (Cr)'!$C:$FB,8)</f>
        <v>10705</v>
      </c>
      <c r="C29" s="50">
        <f>VLOOKUP($A29,'Data Vlaue (Cr)'!$C:$FB,11)*100</f>
        <v>0.59</v>
      </c>
      <c r="D29" s="50">
        <f>VLOOKUP($A29,'Data Vlaue (Cr)'!$C:$FB,143)</f>
        <v>495.82</v>
      </c>
      <c r="E29" s="50">
        <f>VLOOKUP($A29,'Data Vlaue (Cr)'!$C:$FB,144)</f>
        <v>779.46</v>
      </c>
      <c r="F29" s="50">
        <f>VLOOKUP($A29,'Data Vlaue (Cr)'!$C:$FB,146)*100</f>
        <v>-36.39</v>
      </c>
      <c r="G29" s="49">
        <f>VLOOKUP($A29,'Data Vlaue (Cr)'!$C:$FB,43)</f>
        <v>158</v>
      </c>
      <c r="H29" s="49">
        <f>VLOOKUP($A29,'Data Vlaue (Cr)'!$C:$FB,44)</f>
        <v>239</v>
      </c>
      <c r="I29" s="49">
        <f>VLOOKUP($A29,'Data Vlaue (Cr)'!$C:$FB,46)*100</f>
        <v>-33.800000000000004</v>
      </c>
      <c r="J29" s="51">
        <f>VLOOKUP($A29,'Data Vlaue (Cr)'!$C:$FB,59)</f>
        <v>190</v>
      </c>
      <c r="K29" s="51">
        <f>VLOOKUP($A29,'Data Vlaue (Cr)'!$C:$FB,60)</f>
        <v>285</v>
      </c>
      <c r="L29" s="51">
        <f>VLOOKUP($A29,'Data Vlaue (Cr)'!$C:$FB,62)*100</f>
        <v>-33.31</v>
      </c>
      <c r="M29" s="51">
        <f>VLOOKUP($A29,'Data Vlaue (Cr)'!$C:$FB,63)</f>
        <v>140</v>
      </c>
      <c r="N29" s="51">
        <f>VLOOKUP($A29,'Data Vlaue (Cr)'!$C:$FB,64)</f>
        <v>251</v>
      </c>
      <c r="O29" s="51">
        <f>VLOOKUP($A29,'Data Vlaue (Cr)'!$C:$FB,66)*100</f>
        <v>-44.1</v>
      </c>
    </row>
    <row r="30" spans="1:15" x14ac:dyDescent="0.25">
      <c r="A30" s="101" t="str">
        <f>'Data Vlaue (Cr)'!C25</f>
        <v>BAJFINANCE</v>
      </c>
      <c r="B30" s="50">
        <f>VLOOKUP($A30,'Data Vlaue (Cr)'!$C:$FB,8)</f>
        <v>930.2</v>
      </c>
      <c r="C30" s="50">
        <f>VLOOKUP($A30,'Data Vlaue (Cr)'!$C:$FB,11)*100</f>
        <v>-1.24</v>
      </c>
      <c r="D30" s="50">
        <f>VLOOKUP($A30,'Data Vlaue (Cr)'!$C:$FB,143)</f>
        <v>4546.1099999999997</v>
      </c>
      <c r="E30" s="50">
        <f>VLOOKUP($A30,'Data Vlaue (Cr)'!$C:$FB,144)</f>
        <v>9173.6200000000008</v>
      </c>
      <c r="F30" s="50">
        <f>VLOOKUP($A30,'Data Vlaue (Cr)'!$C:$FB,146)*100</f>
        <v>-50.44</v>
      </c>
      <c r="G30" s="49">
        <f>VLOOKUP($A30,'Data Vlaue (Cr)'!$C:$FB,43)</f>
        <v>1213</v>
      </c>
      <c r="H30" s="49">
        <f>VLOOKUP($A30,'Data Vlaue (Cr)'!$C:$FB,44)</f>
        <v>3080</v>
      </c>
      <c r="I30" s="49">
        <f>VLOOKUP($A30,'Data Vlaue (Cr)'!$C:$FB,46)*100</f>
        <v>-60.629999999999995</v>
      </c>
      <c r="J30" s="51">
        <f>VLOOKUP($A30,'Data Vlaue (Cr)'!$C:$FB,59)</f>
        <v>2072</v>
      </c>
      <c r="K30" s="51">
        <f>VLOOKUP($A30,'Data Vlaue (Cr)'!$C:$FB,60)</f>
        <v>3864</v>
      </c>
      <c r="L30" s="51">
        <f>VLOOKUP($A30,'Data Vlaue (Cr)'!$C:$FB,62)*100</f>
        <v>-46.379999999999995</v>
      </c>
      <c r="M30" s="51">
        <f>VLOOKUP($A30,'Data Vlaue (Cr)'!$C:$FB,63)</f>
        <v>1133</v>
      </c>
      <c r="N30" s="51">
        <f>VLOOKUP($A30,'Data Vlaue (Cr)'!$C:$FB,64)</f>
        <v>2026</v>
      </c>
      <c r="O30" s="51">
        <f>VLOOKUP($A30,'Data Vlaue (Cr)'!$C:$FB,66)*100</f>
        <v>-44.06</v>
      </c>
    </row>
    <row r="31" spans="1:15" x14ac:dyDescent="0.25">
      <c r="A31" s="101" t="str">
        <f>'Data Vlaue (Cr)'!C26</f>
        <v>BANDHANBNK</v>
      </c>
      <c r="B31" s="50">
        <f>VLOOKUP($A31,'Data Vlaue (Cr)'!$C:$FB,8)</f>
        <v>200.4</v>
      </c>
      <c r="C31" s="50">
        <f>VLOOKUP($A31,'Data Vlaue (Cr)'!$C:$FB,11)*100</f>
        <v>1.7399999999999998</v>
      </c>
      <c r="D31" s="50">
        <f>VLOOKUP($A31,'Data Vlaue (Cr)'!$C:$FB,143)</f>
        <v>2884.87</v>
      </c>
      <c r="E31" s="50">
        <f>VLOOKUP($A31,'Data Vlaue (Cr)'!$C:$FB,144)</f>
        <v>2479.7399999999998</v>
      </c>
      <c r="F31" s="50">
        <f>VLOOKUP($A31,'Data Vlaue (Cr)'!$C:$FB,146)*100</f>
        <v>16.34</v>
      </c>
      <c r="G31" s="49">
        <f>VLOOKUP($A31,'Data Vlaue (Cr)'!$C:$FB,43)</f>
        <v>983</v>
      </c>
      <c r="H31" s="49">
        <f>VLOOKUP($A31,'Data Vlaue (Cr)'!$C:$FB,44)</f>
        <v>1412</v>
      </c>
      <c r="I31" s="49">
        <f>VLOOKUP($A31,'Data Vlaue (Cr)'!$C:$FB,46)*100</f>
        <v>-30.409999999999997</v>
      </c>
      <c r="J31" s="51">
        <f>VLOOKUP($A31,'Data Vlaue (Cr)'!$C:$FB,59)</f>
        <v>1391</v>
      </c>
      <c r="K31" s="51">
        <f>VLOOKUP($A31,'Data Vlaue (Cr)'!$C:$FB,60)</f>
        <v>787</v>
      </c>
      <c r="L31" s="51">
        <f>VLOOKUP($A31,'Data Vlaue (Cr)'!$C:$FB,62)*100</f>
        <v>76.790000000000006</v>
      </c>
      <c r="M31" s="51">
        <f>VLOOKUP($A31,'Data Vlaue (Cr)'!$C:$FB,63)</f>
        <v>457</v>
      </c>
      <c r="N31" s="51">
        <f>VLOOKUP($A31,'Data Vlaue (Cr)'!$C:$FB,64)</f>
        <v>297</v>
      </c>
      <c r="O31" s="51">
        <f>VLOOKUP($A31,'Data Vlaue (Cr)'!$C:$FB,66)*100</f>
        <v>53.87</v>
      </c>
    </row>
    <row r="32" spans="1:15" x14ac:dyDescent="0.25">
      <c r="A32" s="101" t="str">
        <f>'Data Vlaue (Cr)'!C27</f>
        <v>BANKBARODA</v>
      </c>
      <c r="B32" s="50">
        <f>VLOOKUP($A32,'Data Vlaue (Cr)'!$C:$FB,8)</f>
        <v>270.55</v>
      </c>
      <c r="C32" s="50">
        <f>VLOOKUP($A32,'Data Vlaue (Cr)'!$C:$FB,11)*100</f>
        <v>-0.62</v>
      </c>
      <c r="D32" s="50">
        <f>VLOOKUP($A32,'Data Vlaue (Cr)'!$C:$FB,143)</f>
        <v>2514.92</v>
      </c>
      <c r="E32" s="50">
        <f>VLOOKUP($A32,'Data Vlaue (Cr)'!$C:$FB,144)</f>
        <v>4502.57</v>
      </c>
      <c r="F32" s="50">
        <f>VLOOKUP($A32,'Data Vlaue (Cr)'!$C:$FB,146)*100</f>
        <v>-44.14</v>
      </c>
      <c r="G32" s="49">
        <f>VLOOKUP($A32,'Data Vlaue (Cr)'!$C:$FB,43)</f>
        <v>1119</v>
      </c>
      <c r="H32" s="49">
        <f>VLOOKUP($A32,'Data Vlaue (Cr)'!$C:$FB,44)</f>
        <v>1987</v>
      </c>
      <c r="I32" s="49">
        <f>VLOOKUP($A32,'Data Vlaue (Cr)'!$C:$FB,46)*100</f>
        <v>-43.669999999999995</v>
      </c>
      <c r="J32" s="51">
        <f>VLOOKUP($A32,'Data Vlaue (Cr)'!$C:$FB,59)</f>
        <v>872</v>
      </c>
      <c r="K32" s="51">
        <f>VLOOKUP($A32,'Data Vlaue (Cr)'!$C:$FB,60)</f>
        <v>1616</v>
      </c>
      <c r="L32" s="51">
        <f>VLOOKUP($A32,'Data Vlaue (Cr)'!$C:$FB,62)*100</f>
        <v>-46.03</v>
      </c>
      <c r="M32" s="51">
        <f>VLOOKUP($A32,'Data Vlaue (Cr)'!$C:$FB,63)</f>
        <v>497</v>
      </c>
      <c r="N32" s="51">
        <f>VLOOKUP($A32,'Data Vlaue (Cr)'!$C:$FB,64)</f>
        <v>872</v>
      </c>
      <c r="O32" s="51">
        <f>VLOOKUP($A32,'Data Vlaue (Cr)'!$C:$FB,66)*100</f>
        <v>-42.980000000000004</v>
      </c>
    </row>
    <row r="33" spans="1:15" x14ac:dyDescent="0.25">
      <c r="A33" s="101" t="str">
        <f>'Data Vlaue (Cr)'!C28</f>
        <v>BANKINDIA</v>
      </c>
      <c r="B33" s="50">
        <f>VLOOKUP($A33,'Data Vlaue (Cr)'!$C:$FB,8)</f>
        <v>144.99</v>
      </c>
      <c r="C33" s="50">
        <f>VLOOKUP($A33,'Data Vlaue (Cr)'!$C:$FB,11)*100</f>
        <v>-0.70000000000000007</v>
      </c>
      <c r="D33" s="50">
        <f>VLOOKUP($A33,'Data Vlaue (Cr)'!$C:$FB,143)</f>
        <v>1058.5</v>
      </c>
      <c r="E33" s="50">
        <f>VLOOKUP($A33,'Data Vlaue (Cr)'!$C:$FB,144)</f>
        <v>1844.13</v>
      </c>
      <c r="F33" s="50">
        <f>VLOOKUP($A33,'Data Vlaue (Cr)'!$C:$FB,146)*100</f>
        <v>-42.6</v>
      </c>
      <c r="G33" s="49">
        <f>VLOOKUP($A33,'Data Vlaue (Cr)'!$C:$FB,43)</f>
        <v>556</v>
      </c>
      <c r="H33" s="49">
        <f>VLOOKUP($A33,'Data Vlaue (Cr)'!$C:$FB,44)</f>
        <v>806</v>
      </c>
      <c r="I33" s="49">
        <f>VLOOKUP($A33,'Data Vlaue (Cr)'!$C:$FB,46)*100</f>
        <v>-31</v>
      </c>
      <c r="J33" s="51">
        <f>VLOOKUP($A33,'Data Vlaue (Cr)'!$C:$FB,59)</f>
        <v>325</v>
      </c>
      <c r="K33" s="51">
        <f>VLOOKUP($A33,'Data Vlaue (Cr)'!$C:$FB,60)</f>
        <v>743</v>
      </c>
      <c r="L33" s="51">
        <f>VLOOKUP($A33,'Data Vlaue (Cr)'!$C:$FB,62)*100</f>
        <v>-56.25</v>
      </c>
      <c r="M33" s="51">
        <f>VLOOKUP($A33,'Data Vlaue (Cr)'!$C:$FB,63)</f>
        <v>166</v>
      </c>
      <c r="N33" s="51">
        <f>VLOOKUP($A33,'Data Vlaue (Cr)'!$C:$FB,64)</f>
        <v>288</v>
      </c>
      <c r="O33" s="51">
        <f>VLOOKUP($A33,'Data Vlaue (Cr)'!$C:$FB,66)*100</f>
        <v>-42.32</v>
      </c>
    </row>
    <row r="34" spans="1:15" x14ac:dyDescent="0.25">
      <c r="A34" s="101" t="str">
        <f>'Data Vlaue (Cr)'!C29</f>
        <v>BANKNIFTY</v>
      </c>
      <c r="B34" s="50">
        <f>VLOOKUP($A34,'Data Vlaue (Cr)'!$C:$FB,8)</f>
        <v>55092.9</v>
      </c>
      <c r="C34" s="50">
        <f>VLOOKUP($A34,'Data Vlaue (Cr)'!$C:$FB,11)*100</f>
        <v>-0.36</v>
      </c>
      <c r="D34" s="50">
        <f>VLOOKUP($A34,'Data Vlaue (Cr)'!$C:$FB,143)</f>
        <v>14711606.140000001</v>
      </c>
      <c r="E34" s="50">
        <f>VLOOKUP($A34,'Data Vlaue (Cr)'!$C:$FB,144)</f>
        <v>2569479.6800000002</v>
      </c>
      <c r="F34" s="50">
        <f>VLOOKUP($A34,'Data Vlaue (Cr)'!$C:$FB,146)*100</f>
        <v>472.55</v>
      </c>
      <c r="G34" s="49">
        <f>VLOOKUP($A34,'Data Vlaue (Cr)'!$C:$FB,43)</f>
        <v>10213</v>
      </c>
      <c r="H34" s="49">
        <f>VLOOKUP($A34,'Data Vlaue (Cr)'!$C:$FB,44)</f>
        <v>11919</v>
      </c>
      <c r="I34" s="49">
        <f>VLOOKUP($A34,'Data Vlaue (Cr)'!$C:$FB,46)*100</f>
        <v>-14.31</v>
      </c>
      <c r="J34" s="51">
        <f>VLOOKUP($A34,'Data Vlaue (Cr)'!$C:$FB,59)</f>
        <v>7377929</v>
      </c>
      <c r="K34" s="51">
        <f>VLOOKUP($A34,'Data Vlaue (Cr)'!$C:$FB,60)</f>
        <v>1364545</v>
      </c>
      <c r="L34" s="51">
        <f>VLOOKUP($A34,'Data Vlaue (Cr)'!$C:$FB,62)*100</f>
        <v>440.69000000000005</v>
      </c>
      <c r="M34" s="51">
        <f>VLOOKUP($A34,'Data Vlaue (Cr)'!$C:$FB,63)</f>
        <v>7373212</v>
      </c>
      <c r="N34" s="51">
        <f>VLOOKUP($A34,'Data Vlaue (Cr)'!$C:$FB,64)</f>
        <v>1206972</v>
      </c>
      <c r="O34" s="51">
        <f>VLOOKUP($A34,'Data Vlaue (Cr)'!$C:$FB,66)*100</f>
        <v>510.89000000000004</v>
      </c>
    </row>
    <row r="35" spans="1:15" x14ac:dyDescent="0.25">
      <c r="A35" s="101" t="str">
        <f>'Data Vlaue (Cr)'!C30</f>
        <v>BDL</v>
      </c>
      <c r="B35" s="50">
        <f>VLOOKUP($A35,'Data Vlaue (Cr)'!$C:$FB,8)</f>
        <v>1329.9</v>
      </c>
      <c r="C35" s="50">
        <f>VLOOKUP($A35,'Data Vlaue (Cr)'!$C:$FB,11)*100</f>
        <v>0.28999999999999998</v>
      </c>
      <c r="D35" s="50">
        <f>VLOOKUP($A35,'Data Vlaue (Cr)'!$C:$FB,143)</f>
        <v>938.15</v>
      </c>
      <c r="E35" s="50">
        <f>VLOOKUP($A35,'Data Vlaue (Cr)'!$C:$FB,144)</f>
        <v>1214.57</v>
      </c>
      <c r="F35" s="50">
        <f>VLOOKUP($A35,'Data Vlaue (Cr)'!$C:$FB,146)*100</f>
        <v>-22.759999999999998</v>
      </c>
      <c r="G35" s="49">
        <f>VLOOKUP($A35,'Data Vlaue (Cr)'!$C:$FB,43)</f>
        <v>297</v>
      </c>
      <c r="H35" s="49">
        <f>VLOOKUP($A35,'Data Vlaue (Cr)'!$C:$FB,44)</f>
        <v>457</v>
      </c>
      <c r="I35" s="49">
        <f>VLOOKUP($A35,'Data Vlaue (Cr)'!$C:$FB,46)*100</f>
        <v>-34.880000000000003</v>
      </c>
      <c r="J35" s="51">
        <f>VLOOKUP($A35,'Data Vlaue (Cr)'!$C:$FB,59)</f>
        <v>467</v>
      </c>
      <c r="K35" s="51">
        <f>VLOOKUP($A35,'Data Vlaue (Cr)'!$C:$FB,60)</f>
        <v>528</v>
      </c>
      <c r="L35" s="51">
        <f>VLOOKUP($A35,'Data Vlaue (Cr)'!$C:$FB,62)*100</f>
        <v>-11.559999999999999</v>
      </c>
      <c r="M35" s="51">
        <f>VLOOKUP($A35,'Data Vlaue (Cr)'!$C:$FB,63)</f>
        <v>139</v>
      </c>
      <c r="N35" s="51">
        <f>VLOOKUP($A35,'Data Vlaue (Cr)'!$C:$FB,64)</f>
        <v>188</v>
      </c>
      <c r="O35" s="51">
        <f>VLOOKUP($A35,'Data Vlaue (Cr)'!$C:$FB,66)*100</f>
        <v>-26.13</v>
      </c>
    </row>
    <row r="36" spans="1:15" x14ac:dyDescent="0.25">
      <c r="A36" s="101" t="str">
        <f>'Data Vlaue (Cr)'!C31</f>
        <v>BEL</v>
      </c>
      <c r="B36" s="50">
        <f>VLOOKUP($A36,'Data Vlaue (Cr)'!$C:$FB,8)</f>
        <v>420.1</v>
      </c>
      <c r="C36" s="50">
        <f>VLOOKUP($A36,'Data Vlaue (Cr)'!$C:$FB,11)*100</f>
        <v>-0.41000000000000003</v>
      </c>
      <c r="D36" s="50">
        <f>VLOOKUP($A36,'Data Vlaue (Cr)'!$C:$FB,143)</f>
        <v>5405.77</v>
      </c>
      <c r="E36" s="50">
        <f>VLOOKUP($A36,'Data Vlaue (Cr)'!$C:$FB,144)</f>
        <v>6645.74</v>
      </c>
      <c r="F36" s="50">
        <f>VLOOKUP($A36,'Data Vlaue (Cr)'!$C:$FB,146)*100</f>
        <v>-18.66</v>
      </c>
      <c r="G36" s="49">
        <f>VLOOKUP($A36,'Data Vlaue (Cr)'!$C:$FB,43)</f>
        <v>2033</v>
      </c>
      <c r="H36" s="49">
        <f>VLOOKUP($A36,'Data Vlaue (Cr)'!$C:$FB,44)</f>
        <v>2560</v>
      </c>
      <c r="I36" s="49">
        <f>VLOOKUP($A36,'Data Vlaue (Cr)'!$C:$FB,46)*100</f>
        <v>-20.59</v>
      </c>
      <c r="J36" s="51">
        <f>VLOOKUP($A36,'Data Vlaue (Cr)'!$C:$FB,59)</f>
        <v>2253</v>
      </c>
      <c r="K36" s="51">
        <f>VLOOKUP($A36,'Data Vlaue (Cr)'!$C:$FB,60)</f>
        <v>2852</v>
      </c>
      <c r="L36" s="51">
        <f>VLOOKUP($A36,'Data Vlaue (Cr)'!$C:$FB,62)*100</f>
        <v>-21.02</v>
      </c>
      <c r="M36" s="51">
        <f>VLOOKUP($A36,'Data Vlaue (Cr)'!$C:$FB,63)</f>
        <v>1008</v>
      </c>
      <c r="N36" s="51">
        <f>VLOOKUP($A36,'Data Vlaue (Cr)'!$C:$FB,64)</f>
        <v>1159</v>
      </c>
      <c r="O36" s="51">
        <f>VLOOKUP($A36,'Data Vlaue (Cr)'!$C:$FB,66)*100</f>
        <v>-13.059999999999999</v>
      </c>
    </row>
    <row r="37" spans="1:15" x14ac:dyDescent="0.25">
      <c r="A37" s="101" t="str">
        <f>'Data Vlaue (Cr)'!C32</f>
        <v>BHARATFORG</v>
      </c>
      <c r="B37" s="50">
        <f>VLOOKUP($A37,'Data Vlaue (Cr)'!$C:$FB,8)</f>
        <v>1930.4</v>
      </c>
      <c r="C37" s="50">
        <f>VLOOKUP($A37,'Data Vlaue (Cr)'!$C:$FB,11)*100</f>
        <v>0.63</v>
      </c>
      <c r="D37" s="50">
        <f>VLOOKUP($A37,'Data Vlaue (Cr)'!$C:$FB,143)</f>
        <v>1583.89</v>
      </c>
      <c r="E37" s="50">
        <f>VLOOKUP($A37,'Data Vlaue (Cr)'!$C:$FB,144)</f>
        <v>2673.28</v>
      </c>
      <c r="F37" s="50">
        <f>VLOOKUP($A37,'Data Vlaue (Cr)'!$C:$FB,146)*100</f>
        <v>-40.75</v>
      </c>
      <c r="G37" s="49">
        <f>VLOOKUP($A37,'Data Vlaue (Cr)'!$C:$FB,43)</f>
        <v>451</v>
      </c>
      <c r="H37" s="49">
        <f>VLOOKUP($A37,'Data Vlaue (Cr)'!$C:$FB,44)</f>
        <v>823</v>
      </c>
      <c r="I37" s="49">
        <f>VLOOKUP($A37,'Data Vlaue (Cr)'!$C:$FB,46)*100</f>
        <v>-45.23</v>
      </c>
      <c r="J37" s="51">
        <f>VLOOKUP($A37,'Data Vlaue (Cr)'!$C:$FB,59)</f>
        <v>890</v>
      </c>
      <c r="K37" s="51">
        <f>VLOOKUP($A37,'Data Vlaue (Cr)'!$C:$FB,60)</f>
        <v>1351</v>
      </c>
      <c r="L37" s="51">
        <f>VLOOKUP($A37,'Data Vlaue (Cr)'!$C:$FB,62)*100</f>
        <v>-34.14</v>
      </c>
      <c r="M37" s="51">
        <f>VLOOKUP($A37,'Data Vlaue (Cr)'!$C:$FB,63)</f>
        <v>233</v>
      </c>
      <c r="N37" s="51">
        <f>VLOOKUP($A37,'Data Vlaue (Cr)'!$C:$FB,64)</f>
        <v>486</v>
      </c>
      <c r="O37" s="51">
        <f>VLOOKUP($A37,'Data Vlaue (Cr)'!$C:$FB,66)*100</f>
        <v>-52.129999999999995</v>
      </c>
    </row>
    <row r="38" spans="1:15" x14ac:dyDescent="0.25">
      <c r="A38" s="101" t="str">
        <f>'Data Vlaue (Cr)'!C33</f>
        <v>BHARTIARTL</v>
      </c>
      <c r="B38" s="50">
        <f>VLOOKUP($A38,'Data Vlaue (Cr)'!$C:$FB,8)</f>
        <v>1846.9</v>
      </c>
      <c r="C38" s="50">
        <f>VLOOKUP($A38,'Data Vlaue (Cr)'!$C:$FB,11)*100</f>
        <v>-1.49</v>
      </c>
      <c r="D38" s="50">
        <f>VLOOKUP($A38,'Data Vlaue (Cr)'!$C:$FB,143)</f>
        <v>7063.58</v>
      </c>
      <c r="E38" s="50">
        <f>VLOOKUP($A38,'Data Vlaue (Cr)'!$C:$FB,144)</f>
        <v>13433.97</v>
      </c>
      <c r="F38" s="50">
        <f>VLOOKUP($A38,'Data Vlaue (Cr)'!$C:$FB,146)*100</f>
        <v>-47.42</v>
      </c>
      <c r="G38" s="49">
        <f>VLOOKUP($A38,'Data Vlaue (Cr)'!$C:$FB,43)</f>
        <v>2399</v>
      </c>
      <c r="H38" s="49">
        <f>VLOOKUP($A38,'Data Vlaue (Cr)'!$C:$FB,44)</f>
        <v>4644</v>
      </c>
      <c r="I38" s="49">
        <f>VLOOKUP($A38,'Data Vlaue (Cr)'!$C:$FB,46)*100</f>
        <v>-48.339999999999996</v>
      </c>
      <c r="J38" s="51">
        <f>VLOOKUP($A38,'Data Vlaue (Cr)'!$C:$FB,59)</f>
        <v>2911</v>
      </c>
      <c r="K38" s="51">
        <f>VLOOKUP($A38,'Data Vlaue (Cr)'!$C:$FB,60)</f>
        <v>5491</v>
      </c>
      <c r="L38" s="51">
        <f>VLOOKUP($A38,'Data Vlaue (Cr)'!$C:$FB,62)*100</f>
        <v>-46.989999999999995</v>
      </c>
      <c r="M38" s="51">
        <f>VLOOKUP($A38,'Data Vlaue (Cr)'!$C:$FB,63)</f>
        <v>1616</v>
      </c>
      <c r="N38" s="51">
        <f>VLOOKUP($A38,'Data Vlaue (Cr)'!$C:$FB,64)</f>
        <v>3058</v>
      </c>
      <c r="O38" s="51">
        <f>VLOOKUP($A38,'Data Vlaue (Cr)'!$C:$FB,66)*100</f>
        <v>-47.15</v>
      </c>
    </row>
    <row r="39" spans="1:15" x14ac:dyDescent="0.25">
      <c r="A39" s="101" t="str">
        <f>'Data Vlaue (Cr)'!C34</f>
        <v>BHEL</v>
      </c>
      <c r="B39" s="50">
        <f>VLOOKUP($A39,'Data Vlaue (Cr)'!$C:$FB,8)</f>
        <v>417.75</v>
      </c>
      <c r="C39" s="50">
        <f>VLOOKUP($A39,'Data Vlaue (Cr)'!$C:$FB,11)*100</f>
        <v>-0.38999999999999996</v>
      </c>
      <c r="D39" s="50">
        <f>VLOOKUP($A39,'Data Vlaue (Cr)'!$C:$FB,143)</f>
        <v>5807.54</v>
      </c>
      <c r="E39" s="50">
        <f>VLOOKUP($A39,'Data Vlaue (Cr)'!$C:$FB,144)</f>
        <v>8157.46</v>
      </c>
      <c r="F39" s="50">
        <f>VLOOKUP($A39,'Data Vlaue (Cr)'!$C:$FB,146)*100</f>
        <v>-28.810000000000002</v>
      </c>
      <c r="G39" s="49">
        <f>VLOOKUP($A39,'Data Vlaue (Cr)'!$C:$FB,43)</f>
        <v>2252</v>
      </c>
      <c r="H39" s="49">
        <f>VLOOKUP($A39,'Data Vlaue (Cr)'!$C:$FB,44)</f>
        <v>2517</v>
      </c>
      <c r="I39" s="49">
        <f>VLOOKUP($A39,'Data Vlaue (Cr)'!$C:$FB,46)*100</f>
        <v>-10.549999999999999</v>
      </c>
      <c r="J39" s="51">
        <f>VLOOKUP($A39,'Data Vlaue (Cr)'!$C:$FB,59)</f>
        <v>2338</v>
      </c>
      <c r="K39" s="51">
        <f>VLOOKUP($A39,'Data Vlaue (Cr)'!$C:$FB,60)</f>
        <v>3876</v>
      </c>
      <c r="L39" s="51">
        <f>VLOOKUP($A39,'Data Vlaue (Cr)'!$C:$FB,62)*100</f>
        <v>-39.67</v>
      </c>
      <c r="M39" s="51">
        <f>VLOOKUP($A39,'Data Vlaue (Cr)'!$C:$FB,63)</f>
        <v>1204</v>
      </c>
      <c r="N39" s="51">
        <f>VLOOKUP($A39,'Data Vlaue (Cr)'!$C:$FB,64)</f>
        <v>1793</v>
      </c>
      <c r="O39" s="51">
        <f>VLOOKUP($A39,'Data Vlaue (Cr)'!$C:$FB,66)*100</f>
        <v>-32.86</v>
      </c>
    </row>
    <row r="40" spans="1:15" x14ac:dyDescent="0.25">
      <c r="A40" s="101" t="str">
        <f>'Data Vlaue (Cr)'!C35</f>
        <v>BIOCON</v>
      </c>
      <c r="B40" s="50">
        <f>VLOOKUP($A40,'Data Vlaue (Cr)'!$C:$FB,8)</f>
        <v>436.15</v>
      </c>
      <c r="C40" s="50">
        <f>VLOOKUP($A40,'Data Vlaue (Cr)'!$C:$FB,11)*100</f>
        <v>1.4200000000000002</v>
      </c>
      <c r="D40" s="50">
        <f>VLOOKUP($A40,'Data Vlaue (Cr)'!$C:$FB,143)</f>
        <v>3131.71</v>
      </c>
      <c r="E40" s="50">
        <f>VLOOKUP($A40,'Data Vlaue (Cr)'!$C:$FB,144)</f>
        <v>3133.82</v>
      </c>
      <c r="F40" s="50">
        <f>VLOOKUP($A40,'Data Vlaue (Cr)'!$C:$FB,146)*100</f>
        <v>-6.9999999999999993E-2</v>
      </c>
      <c r="G40" s="49">
        <f>VLOOKUP($A40,'Data Vlaue (Cr)'!$C:$FB,43)</f>
        <v>920</v>
      </c>
      <c r="H40" s="49">
        <f>VLOOKUP($A40,'Data Vlaue (Cr)'!$C:$FB,44)</f>
        <v>1113</v>
      </c>
      <c r="I40" s="49">
        <f>VLOOKUP($A40,'Data Vlaue (Cr)'!$C:$FB,46)*100</f>
        <v>-17.330000000000002</v>
      </c>
      <c r="J40" s="51">
        <f>VLOOKUP($A40,'Data Vlaue (Cr)'!$C:$FB,59)</f>
        <v>1626</v>
      </c>
      <c r="K40" s="51">
        <f>VLOOKUP($A40,'Data Vlaue (Cr)'!$C:$FB,60)</f>
        <v>1297</v>
      </c>
      <c r="L40" s="51">
        <f>VLOOKUP($A40,'Data Vlaue (Cr)'!$C:$FB,62)*100</f>
        <v>25.3</v>
      </c>
      <c r="M40" s="51">
        <f>VLOOKUP($A40,'Data Vlaue (Cr)'!$C:$FB,63)</f>
        <v>559</v>
      </c>
      <c r="N40" s="51">
        <f>VLOOKUP($A40,'Data Vlaue (Cr)'!$C:$FB,64)</f>
        <v>766</v>
      </c>
      <c r="O40" s="51">
        <f>VLOOKUP($A40,'Data Vlaue (Cr)'!$C:$FB,66)*100</f>
        <v>-27.02</v>
      </c>
    </row>
    <row r="41" spans="1:15" x14ac:dyDescent="0.25">
      <c r="A41" s="101" t="str">
        <f>'Data Vlaue (Cr)'!C36</f>
        <v>BLUESTARCO</v>
      </c>
      <c r="B41" s="50">
        <f>VLOOKUP($A41,'Data Vlaue (Cr)'!$C:$FB,8)</f>
        <v>1640.9</v>
      </c>
      <c r="C41" s="50">
        <f>VLOOKUP($A41,'Data Vlaue (Cr)'!$C:$FB,11)*100</f>
        <v>-0.69</v>
      </c>
      <c r="D41" s="50">
        <f>VLOOKUP($A41,'Data Vlaue (Cr)'!$C:$FB,143)</f>
        <v>662.33</v>
      </c>
      <c r="E41" s="50">
        <f>VLOOKUP($A41,'Data Vlaue (Cr)'!$C:$FB,144)</f>
        <v>891.36</v>
      </c>
      <c r="F41" s="50">
        <f>VLOOKUP($A41,'Data Vlaue (Cr)'!$C:$FB,146)*100</f>
        <v>-25.69</v>
      </c>
      <c r="G41" s="49">
        <f>VLOOKUP($A41,'Data Vlaue (Cr)'!$C:$FB,43)</f>
        <v>240</v>
      </c>
      <c r="H41" s="49">
        <f>VLOOKUP($A41,'Data Vlaue (Cr)'!$C:$FB,44)</f>
        <v>401</v>
      </c>
      <c r="I41" s="49">
        <f>VLOOKUP($A41,'Data Vlaue (Cr)'!$C:$FB,46)*100</f>
        <v>-40.11</v>
      </c>
      <c r="J41" s="51">
        <f>VLOOKUP($A41,'Data Vlaue (Cr)'!$C:$FB,59)</f>
        <v>240</v>
      </c>
      <c r="K41" s="51">
        <f>VLOOKUP($A41,'Data Vlaue (Cr)'!$C:$FB,60)</f>
        <v>284</v>
      </c>
      <c r="L41" s="51">
        <f>VLOOKUP($A41,'Data Vlaue (Cr)'!$C:$FB,62)*100</f>
        <v>-15.58</v>
      </c>
      <c r="M41" s="51">
        <f>VLOOKUP($A41,'Data Vlaue (Cr)'!$C:$FB,63)</f>
        <v>172</v>
      </c>
      <c r="N41" s="51">
        <f>VLOOKUP($A41,'Data Vlaue (Cr)'!$C:$FB,64)</f>
        <v>185</v>
      </c>
      <c r="O41" s="51">
        <f>VLOOKUP($A41,'Data Vlaue (Cr)'!$C:$FB,66)*100</f>
        <v>-7.33</v>
      </c>
    </row>
    <row r="42" spans="1:15" x14ac:dyDescent="0.25">
      <c r="A42" s="101" t="str">
        <f>'Data Vlaue (Cr)'!C37</f>
        <v>BOSCHLTD</v>
      </c>
      <c r="B42" s="50">
        <f>VLOOKUP($A42,'Data Vlaue (Cr)'!$C:$FB,8)</f>
        <v>35835</v>
      </c>
      <c r="C42" s="50">
        <f>VLOOKUP($A42,'Data Vlaue (Cr)'!$C:$FB,11)*100</f>
        <v>-1.31</v>
      </c>
      <c r="D42" s="50">
        <f>VLOOKUP($A42,'Data Vlaue (Cr)'!$C:$FB,143)</f>
        <v>2901.06</v>
      </c>
      <c r="E42" s="50">
        <f>VLOOKUP($A42,'Data Vlaue (Cr)'!$C:$FB,144)</f>
        <v>8197.58</v>
      </c>
      <c r="F42" s="50">
        <f>VLOOKUP($A42,'Data Vlaue (Cr)'!$C:$FB,146)*100</f>
        <v>-64.61</v>
      </c>
      <c r="G42" s="49">
        <f>VLOOKUP($A42,'Data Vlaue (Cr)'!$C:$FB,43)</f>
        <v>327</v>
      </c>
      <c r="H42" s="49">
        <f>VLOOKUP($A42,'Data Vlaue (Cr)'!$C:$FB,44)</f>
        <v>696</v>
      </c>
      <c r="I42" s="49">
        <f>VLOOKUP($A42,'Data Vlaue (Cr)'!$C:$FB,46)*100</f>
        <v>-53.04</v>
      </c>
      <c r="J42" s="51">
        <f>VLOOKUP($A42,'Data Vlaue (Cr)'!$C:$FB,59)</f>
        <v>1861</v>
      </c>
      <c r="K42" s="51">
        <f>VLOOKUP($A42,'Data Vlaue (Cr)'!$C:$FB,60)</f>
        <v>5091</v>
      </c>
      <c r="L42" s="51">
        <f>VLOOKUP($A42,'Data Vlaue (Cr)'!$C:$FB,62)*100</f>
        <v>-63.44</v>
      </c>
      <c r="M42" s="51">
        <f>VLOOKUP($A42,'Data Vlaue (Cr)'!$C:$FB,63)</f>
        <v>628</v>
      </c>
      <c r="N42" s="51">
        <f>VLOOKUP($A42,'Data Vlaue (Cr)'!$C:$FB,64)</f>
        <v>2161</v>
      </c>
      <c r="O42" s="51">
        <f>VLOOKUP($A42,'Data Vlaue (Cr)'!$C:$FB,66)*100</f>
        <v>-70.930000000000007</v>
      </c>
    </row>
    <row r="43" spans="1:15" x14ac:dyDescent="0.25">
      <c r="A43" s="101" t="str">
        <f>'Data Vlaue (Cr)'!C38</f>
        <v>BPCL</v>
      </c>
      <c r="B43" s="50">
        <f>VLOOKUP($A43,'Data Vlaue (Cr)'!$C:$FB,8)</f>
        <v>304.60000000000002</v>
      </c>
      <c r="C43" s="50">
        <f>VLOOKUP($A43,'Data Vlaue (Cr)'!$C:$FB,11)*100</f>
        <v>-1.18</v>
      </c>
      <c r="D43" s="50">
        <f>VLOOKUP($A43,'Data Vlaue (Cr)'!$C:$FB,143)</f>
        <v>1505.74</v>
      </c>
      <c r="E43" s="50">
        <f>VLOOKUP($A43,'Data Vlaue (Cr)'!$C:$FB,144)</f>
        <v>4893.7700000000004</v>
      </c>
      <c r="F43" s="50">
        <f>VLOOKUP($A43,'Data Vlaue (Cr)'!$C:$FB,146)*100</f>
        <v>-69.23</v>
      </c>
      <c r="G43" s="49">
        <f>VLOOKUP($A43,'Data Vlaue (Cr)'!$C:$FB,43)</f>
        <v>380</v>
      </c>
      <c r="H43" s="49">
        <f>VLOOKUP($A43,'Data Vlaue (Cr)'!$C:$FB,44)</f>
        <v>1110</v>
      </c>
      <c r="I43" s="49">
        <f>VLOOKUP($A43,'Data Vlaue (Cr)'!$C:$FB,46)*100</f>
        <v>-65.790000000000006</v>
      </c>
      <c r="J43" s="51">
        <f>VLOOKUP($A43,'Data Vlaue (Cr)'!$C:$FB,59)</f>
        <v>703</v>
      </c>
      <c r="K43" s="51">
        <f>VLOOKUP($A43,'Data Vlaue (Cr)'!$C:$FB,60)</f>
        <v>2617</v>
      </c>
      <c r="L43" s="51">
        <f>VLOOKUP($A43,'Data Vlaue (Cr)'!$C:$FB,62)*100</f>
        <v>-73.13</v>
      </c>
      <c r="M43" s="51">
        <f>VLOOKUP($A43,'Data Vlaue (Cr)'!$C:$FB,63)</f>
        <v>390</v>
      </c>
      <c r="N43" s="51">
        <f>VLOOKUP($A43,'Data Vlaue (Cr)'!$C:$FB,64)</f>
        <v>1094</v>
      </c>
      <c r="O43" s="51">
        <f>VLOOKUP($A43,'Data Vlaue (Cr)'!$C:$FB,66)*100</f>
        <v>-64.36</v>
      </c>
    </row>
    <row r="44" spans="1:15" x14ac:dyDescent="0.25">
      <c r="A44" s="101" t="str">
        <f>'Data Vlaue (Cr)'!C39</f>
        <v>BRITANNIA</v>
      </c>
      <c r="B44" s="50">
        <f>VLOOKUP($A44,'Data Vlaue (Cr)'!$C:$FB,8)</f>
        <v>5338</v>
      </c>
      <c r="C44" s="50">
        <f>VLOOKUP($A44,'Data Vlaue (Cr)'!$C:$FB,11)*100</f>
        <v>0.21</v>
      </c>
      <c r="D44" s="50">
        <f>VLOOKUP($A44,'Data Vlaue (Cr)'!$C:$FB,143)</f>
        <v>1569.63</v>
      </c>
      <c r="E44" s="50">
        <f>VLOOKUP($A44,'Data Vlaue (Cr)'!$C:$FB,144)</f>
        <v>2489.9</v>
      </c>
      <c r="F44" s="50">
        <f>VLOOKUP($A44,'Data Vlaue (Cr)'!$C:$FB,146)*100</f>
        <v>-36.96</v>
      </c>
      <c r="G44" s="49">
        <f>VLOOKUP($A44,'Data Vlaue (Cr)'!$C:$FB,43)</f>
        <v>548</v>
      </c>
      <c r="H44" s="49">
        <f>VLOOKUP($A44,'Data Vlaue (Cr)'!$C:$FB,44)</f>
        <v>1021</v>
      </c>
      <c r="I44" s="49">
        <f>VLOOKUP($A44,'Data Vlaue (Cr)'!$C:$FB,46)*100</f>
        <v>-46.300000000000004</v>
      </c>
      <c r="J44" s="51">
        <f>VLOOKUP($A44,'Data Vlaue (Cr)'!$C:$FB,59)</f>
        <v>676</v>
      </c>
      <c r="K44" s="51">
        <f>VLOOKUP($A44,'Data Vlaue (Cr)'!$C:$FB,60)</f>
        <v>982</v>
      </c>
      <c r="L44" s="51">
        <f>VLOOKUP($A44,'Data Vlaue (Cr)'!$C:$FB,62)*100</f>
        <v>-31.16</v>
      </c>
      <c r="M44" s="51">
        <f>VLOOKUP($A44,'Data Vlaue (Cr)'!$C:$FB,63)</f>
        <v>318</v>
      </c>
      <c r="N44" s="51">
        <f>VLOOKUP($A44,'Data Vlaue (Cr)'!$C:$FB,64)</f>
        <v>440</v>
      </c>
      <c r="O44" s="51">
        <f>VLOOKUP($A44,'Data Vlaue (Cr)'!$C:$FB,66)*100</f>
        <v>-27.68</v>
      </c>
    </row>
    <row r="45" spans="1:15" x14ac:dyDescent="0.25">
      <c r="A45" s="101" t="str">
        <f>'Data Vlaue (Cr)'!C40</f>
        <v>BSE</v>
      </c>
      <c r="B45" s="50">
        <f>VLOOKUP($A45,'Data Vlaue (Cr)'!$C:$FB,8)</f>
        <v>4403.3</v>
      </c>
      <c r="C45" s="50">
        <f>VLOOKUP($A45,'Data Vlaue (Cr)'!$C:$FB,11)*100</f>
        <v>2.6100000000000003</v>
      </c>
      <c r="D45" s="50">
        <f>VLOOKUP($A45,'Data Vlaue (Cr)'!$C:$FB,143)</f>
        <v>17060.87</v>
      </c>
      <c r="E45" s="50">
        <f>VLOOKUP($A45,'Data Vlaue (Cr)'!$C:$FB,144)</f>
        <v>20406.34</v>
      </c>
      <c r="F45" s="50">
        <f>VLOOKUP($A45,'Data Vlaue (Cr)'!$C:$FB,146)*100</f>
        <v>-16.39</v>
      </c>
      <c r="G45" s="49">
        <f>VLOOKUP($A45,'Data Vlaue (Cr)'!$C:$FB,43)</f>
        <v>2910</v>
      </c>
      <c r="H45" s="49">
        <f>VLOOKUP($A45,'Data Vlaue (Cr)'!$C:$FB,44)</f>
        <v>2410</v>
      </c>
      <c r="I45" s="49">
        <f>VLOOKUP($A45,'Data Vlaue (Cr)'!$C:$FB,46)*100</f>
        <v>20.73</v>
      </c>
      <c r="J45" s="51">
        <f>VLOOKUP($A45,'Data Vlaue (Cr)'!$C:$FB,59)</f>
        <v>8333</v>
      </c>
      <c r="K45" s="51">
        <f>VLOOKUP($A45,'Data Vlaue (Cr)'!$C:$FB,60)</f>
        <v>10096</v>
      </c>
      <c r="L45" s="51">
        <f>VLOOKUP($A45,'Data Vlaue (Cr)'!$C:$FB,62)*100</f>
        <v>-17.47</v>
      </c>
      <c r="M45" s="51">
        <f>VLOOKUP($A45,'Data Vlaue (Cr)'!$C:$FB,63)</f>
        <v>6243</v>
      </c>
      <c r="N45" s="51">
        <f>VLOOKUP($A45,'Data Vlaue (Cr)'!$C:$FB,64)</f>
        <v>8771</v>
      </c>
      <c r="O45" s="51">
        <f>VLOOKUP($A45,'Data Vlaue (Cr)'!$C:$FB,66)*100</f>
        <v>-28.83</v>
      </c>
    </row>
    <row r="46" spans="1:15" x14ac:dyDescent="0.25">
      <c r="A46" s="101" t="str">
        <f>'Data Vlaue (Cr)'!C41</f>
        <v>CAMS</v>
      </c>
      <c r="B46" s="50">
        <f>VLOOKUP($A46,'Data Vlaue (Cr)'!$C:$FB,8)</f>
        <v>773.15</v>
      </c>
      <c r="C46" s="50">
        <f>VLOOKUP($A46,'Data Vlaue (Cr)'!$C:$FB,11)*100</f>
        <v>0.44999999999999996</v>
      </c>
      <c r="D46" s="50">
        <f>VLOOKUP($A46,'Data Vlaue (Cr)'!$C:$FB,143)</f>
        <v>449.99</v>
      </c>
      <c r="E46" s="50">
        <f>VLOOKUP($A46,'Data Vlaue (Cr)'!$C:$FB,144)</f>
        <v>913.98</v>
      </c>
      <c r="F46" s="50">
        <f>VLOOKUP($A46,'Data Vlaue (Cr)'!$C:$FB,146)*100</f>
        <v>-50.77</v>
      </c>
      <c r="G46" s="49">
        <f>VLOOKUP($A46,'Data Vlaue (Cr)'!$C:$FB,43)</f>
        <v>239</v>
      </c>
      <c r="H46" s="49">
        <f>VLOOKUP($A46,'Data Vlaue (Cr)'!$C:$FB,44)</f>
        <v>448</v>
      </c>
      <c r="I46" s="49">
        <f>VLOOKUP($A46,'Data Vlaue (Cr)'!$C:$FB,46)*100</f>
        <v>-46.589999999999996</v>
      </c>
      <c r="J46" s="51">
        <f>VLOOKUP($A46,'Data Vlaue (Cr)'!$C:$FB,59)</f>
        <v>147</v>
      </c>
      <c r="K46" s="51">
        <f>VLOOKUP($A46,'Data Vlaue (Cr)'!$C:$FB,60)</f>
        <v>293</v>
      </c>
      <c r="L46" s="51">
        <f>VLOOKUP($A46,'Data Vlaue (Cr)'!$C:$FB,62)*100</f>
        <v>-49.8</v>
      </c>
      <c r="M46" s="51">
        <f>VLOOKUP($A46,'Data Vlaue (Cr)'!$C:$FB,63)</f>
        <v>59</v>
      </c>
      <c r="N46" s="51">
        <f>VLOOKUP($A46,'Data Vlaue (Cr)'!$C:$FB,64)</f>
        <v>164</v>
      </c>
      <c r="O46" s="51">
        <f>VLOOKUP($A46,'Data Vlaue (Cr)'!$C:$FB,66)*100</f>
        <v>-64.08</v>
      </c>
    </row>
    <row r="47" spans="1:15" x14ac:dyDescent="0.25">
      <c r="A47" s="101" t="str">
        <f>'Data Vlaue (Cr)'!C42</f>
        <v>CANBK</v>
      </c>
      <c r="B47" s="50">
        <f>VLOOKUP($A47,'Data Vlaue (Cr)'!$C:$FB,8)</f>
        <v>133.15</v>
      </c>
      <c r="C47" s="50">
        <f>VLOOKUP($A47,'Data Vlaue (Cr)'!$C:$FB,11)*100</f>
        <v>-0.41000000000000003</v>
      </c>
      <c r="D47" s="50">
        <f>VLOOKUP($A47,'Data Vlaue (Cr)'!$C:$FB,143)</f>
        <v>3224.34</v>
      </c>
      <c r="E47" s="50">
        <f>VLOOKUP($A47,'Data Vlaue (Cr)'!$C:$FB,144)</f>
        <v>5162.0200000000004</v>
      </c>
      <c r="F47" s="50">
        <f>VLOOKUP($A47,'Data Vlaue (Cr)'!$C:$FB,146)*100</f>
        <v>-37.54</v>
      </c>
      <c r="G47" s="49">
        <f>VLOOKUP($A47,'Data Vlaue (Cr)'!$C:$FB,43)</f>
        <v>1566</v>
      </c>
      <c r="H47" s="49">
        <f>VLOOKUP($A47,'Data Vlaue (Cr)'!$C:$FB,44)</f>
        <v>1901</v>
      </c>
      <c r="I47" s="49">
        <f>VLOOKUP($A47,'Data Vlaue (Cr)'!$C:$FB,46)*100</f>
        <v>-17.62</v>
      </c>
      <c r="J47" s="51">
        <f>VLOOKUP($A47,'Data Vlaue (Cr)'!$C:$FB,59)</f>
        <v>1006</v>
      </c>
      <c r="K47" s="51">
        <f>VLOOKUP($A47,'Data Vlaue (Cr)'!$C:$FB,60)</f>
        <v>1890</v>
      </c>
      <c r="L47" s="51">
        <f>VLOOKUP($A47,'Data Vlaue (Cr)'!$C:$FB,62)*100</f>
        <v>-46.77</v>
      </c>
      <c r="M47" s="51">
        <f>VLOOKUP($A47,'Data Vlaue (Cr)'!$C:$FB,63)</f>
        <v>604</v>
      </c>
      <c r="N47" s="51">
        <f>VLOOKUP($A47,'Data Vlaue (Cr)'!$C:$FB,64)</f>
        <v>1347</v>
      </c>
      <c r="O47" s="51">
        <f>VLOOKUP($A47,'Data Vlaue (Cr)'!$C:$FB,66)*100</f>
        <v>-55.13</v>
      </c>
    </row>
    <row r="48" spans="1:15" x14ac:dyDescent="0.25">
      <c r="A48" s="101" t="str">
        <f>'Data Vlaue (Cr)'!C43</f>
        <v>CDSL</v>
      </c>
      <c r="B48" s="50">
        <f>VLOOKUP($A48,'Data Vlaue (Cr)'!$C:$FB,8)</f>
        <v>1226.3</v>
      </c>
      <c r="C48" s="50">
        <f>VLOOKUP($A48,'Data Vlaue (Cr)'!$C:$FB,11)*100</f>
        <v>0.73</v>
      </c>
      <c r="D48" s="50">
        <f>VLOOKUP($A48,'Data Vlaue (Cr)'!$C:$FB,143)</f>
        <v>2195.8000000000002</v>
      </c>
      <c r="E48" s="50">
        <f>VLOOKUP($A48,'Data Vlaue (Cr)'!$C:$FB,144)</f>
        <v>3558.94</v>
      </c>
      <c r="F48" s="50">
        <f>VLOOKUP($A48,'Data Vlaue (Cr)'!$C:$FB,146)*100</f>
        <v>-38.299999999999997</v>
      </c>
      <c r="G48" s="49">
        <f>VLOOKUP($A48,'Data Vlaue (Cr)'!$C:$FB,43)</f>
        <v>920</v>
      </c>
      <c r="H48" s="49">
        <f>VLOOKUP($A48,'Data Vlaue (Cr)'!$C:$FB,44)</f>
        <v>1145</v>
      </c>
      <c r="I48" s="49">
        <f>VLOOKUP($A48,'Data Vlaue (Cr)'!$C:$FB,46)*100</f>
        <v>-19.670000000000002</v>
      </c>
      <c r="J48" s="51">
        <f>VLOOKUP($A48,'Data Vlaue (Cr)'!$C:$FB,59)</f>
        <v>819</v>
      </c>
      <c r="K48" s="51">
        <f>VLOOKUP($A48,'Data Vlaue (Cr)'!$C:$FB,60)</f>
        <v>1626</v>
      </c>
      <c r="L48" s="51">
        <f>VLOOKUP($A48,'Data Vlaue (Cr)'!$C:$FB,62)*100</f>
        <v>-49.669999999999995</v>
      </c>
      <c r="M48" s="51">
        <f>VLOOKUP($A48,'Data Vlaue (Cr)'!$C:$FB,63)</f>
        <v>408</v>
      </c>
      <c r="N48" s="51">
        <f>VLOOKUP($A48,'Data Vlaue (Cr)'!$C:$FB,64)</f>
        <v>723</v>
      </c>
      <c r="O48" s="51">
        <f>VLOOKUP($A48,'Data Vlaue (Cr)'!$C:$FB,66)*100</f>
        <v>-43.56</v>
      </c>
    </row>
    <row r="49" spans="1:15" x14ac:dyDescent="0.25">
      <c r="A49" s="101" t="str">
        <f>'Data Vlaue (Cr)'!C44</f>
        <v>CGPOWER</v>
      </c>
      <c r="B49" s="50">
        <f>VLOOKUP($A49,'Data Vlaue (Cr)'!$C:$FB,8)</f>
        <v>879.15</v>
      </c>
      <c r="C49" s="50">
        <f>VLOOKUP($A49,'Data Vlaue (Cr)'!$C:$FB,11)*100</f>
        <v>1.3</v>
      </c>
      <c r="D49" s="50">
        <f>VLOOKUP($A49,'Data Vlaue (Cr)'!$C:$FB,143)</f>
        <v>1652.48</v>
      </c>
      <c r="E49" s="50">
        <f>VLOOKUP($A49,'Data Vlaue (Cr)'!$C:$FB,144)</f>
        <v>2292.09</v>
      </c>
      <c r="F49" s="50">
        <f>VLOOKUP($A49,'Data Vlaue (Cr)'!$C:$FB,146)*100</f>
        <v>-27.91</v>
      </c>
      <c r="G49" s="49">
        <f>VLOOKUP($A49,'Data Vlaue (Cr)'!$C:$FB,43)</f>
        <v>603</v>
      </c>
      <c r="H49" s="49">
        <f>VLOOKUP($A49,'Data Vlaue (Cr)'!$C:$FB,44)</f>
        <v>902</v>
      </c>
      <c r="I49" s="49">
        <f>VLOOKUP($A49,'Data Vlaue (Cr)'!$C:$FB,46)*100</f>
        <v>-33.1</v>
      </c>
      <c r="J49" s="51">
        <f>VLOOKUP($A49,'Data Vlaue (Cr)'!$C:$FB,59)</f>
        <v>830</v>
      </c>
      <c r="K49" s="51">
        <f>VLOOKUP($A49,'Data Vlaue (Cr)'!$C:$FB,60)</f>
        <v>987</v>
      </c>
      <c r="L49" s="51">
        <f>VLOOKUP($A49,'Data Vlaue (Cr)'!$C:$FB,62)*100</f>
        <v>-15.909999999999998</v>
      </c>
      <c r="M49" s="51">
        <f>VLOOKUP($A49,'Data Vlaue (Cr)'!$C:$FB,63)</f>
        <v>204</v>
      </c>
      <c r="N49" s="51">
        <f>VLOOKUP($A49,'Data Vlaue (Cr)'!$C:$FB,64)</f>
        <v>407</v>
      </c>
      <c r="O49" s="51">
        <f>VLOOKUP($A49,'Data Vlaue (Cr)'!$C:$FB,66)*100</f>
        <v>-49.89</v>
      </c>
    </row>
    <row r="50" spans="1:15" x14ac:dyDescent="0.25">
      <c r="A50" s="101" t="str">
        <f>'Data Vlaue (Cr)'!C45</f>
        <v>CHOLAFIN</v>
      </c>
      <c r="B50" s="50">
        <f>VLOOKUP($A50,'Data Vlaue (Cr)'!$C:$FB,8)</f>
        <v>1567.3</v>
      </c>
      <c r="C50" s="50">
        <f>VLOOKUP($A50,'Data Vlaue (Cr)'!$C:$FB,11)*100</f>
        <v>-1.49</v>
      </c>
      <c r="D50" s="50">
        <f>VLOOKUP($A50,'Data Vlaue (Cr)'!$C:$FB,143)</f>
        <v>1626.31</v>
      </c>
      <c r="E50" s="50">
        <f>VLOOKUP($A50,'Data Vlaue (Cr)'!$C:$FB,144)</f>
        <v>4337.29</v>
      </c>
      <c r="F50" s="50">
        <f>VLOOKUP($A50,'Data Vlaue (Cr)'!$C:$FB,146)*100</f>
        <v>-62.5</v>
      </c>
      <c r="G50" s="49">
        <f>VLOOKUP($A50,'Data Vlaue (Cr)'!$C:$FB,43)</f>
        <v>560</v>
      </c>
      <c r="H50" s="49">
        <f>VLOOKUP($A50,'Data Vlaue (Cr)'!$C:$FB,44)</f>
        <v>1837</v>
      </c>
      <c r="I50" s="49">
        <f>VLOOKUP($A50,'Data Vlaue (Cr)'!$C:$FB,46)*100</f>
        <v>-69.53</v>
      </c>
      <c r="J50" s="51">
        <f>VLOOKUP($A50,'Data Vlaue (Cr)'!$C:$FB,59)</f>
        <v>461</v>
      </c>
      <c r="K50" s="51">
        <f>VLOOKUP($A50,'Data Vlaue (Cr)'!$C:$FB,60)</f>
        <v>1641</v>
      </c>
      <c r="L50" s="51">
        <f>VLOOKUP($A50,'Data Vlaue (Cr)'!$C:$FB,62)*100</f>
        <v>-71.91</v>
      </c>
      <c r="M50" s="51">
        <f>VLOOKUP($A50,'Data Vlaue (Cr)'!$C:$FB,63)</f>
        <v>595</v>
      </c>
      <c r="N50" s="51">
        <f>VLOOKUP($A50,'Data Vlaue (Cr)'!$C:$FB,64)</f>
        <v>812</v>
      </c>
      <c r="O50" s="51">
        <f>VLOOKUP($A50,'Data Vlaue (Cr)'!$C:$FB,66)*100</f>
        <v>-26.700000000000003</v>
      </c>
    </row>
    <row r="51" spans="1:15" x14ac:dyDescent="0.25">
      <c r="A51" s="101" t="str">
        <f>'Data Vlaue (Cr)'!C46</f>
        <v>CIPLA</v>
      </c>
      <c r="B51" s="50">
        <f>VLOOKUP($A51,'Data Vlaue (Cr)'!$C:$FB,8)</f>
        <v>1417.5</v>
      </c>
      <c r="C51" s="50">
        <f>VLOOKUP($A51,'Data Vlaue (Cr)'!$C:$FB,11)*100</f>
        <v>0.25</v>
      </c>
      <c r="D51" s="50">
        <f>VLOOKUP($A51,'Data Vlaue (Cr)'!$C:$FB,143)</f>
        <v>2024.84</v>
      </c>
      <c r="E51" s="50">
        <f>VLOOKUP($A51,'Data Vlaue (Cr)'!$C:$FB,144)</f>
        <v>3930.51</v>
      </c>
      <c r="F51" s="50">
        <f>VLOOKUP($A51,'Data Vlaue (Cr)'!$C:$FB,146)*100</f>
        <v>-48.480000000000004</v>
      </c>
      <c r="G51" s="49">
        <f>VLOOKUP($A51,'Data Vlaue (Cr)'!$C:$FB,43)</f>
        <v>509</v>
      </c>
      <c r="H51" s="49">
        <f>VLOOKUP($A51,'Data Vlaue (Cr)'!$C:$FB,44)</f>
        <v>1077</v>
      </c>
      <c r="I51" s="49">
        <f>VLOOKUP($A51,'Data Vlaue (Cr)'!$C:$FB,46)*100</f>
        <v>-52.75</v>
      </c>
      <c r="J51" s="51">
        <f>VLOOKUP($A51,'Data Vlaue (Cr)'!$C:$FB,59)</f>
        <v>885</v>
      </c>
      <c r="K51" s="51">
        <f>VLOOKUP($A51,'Data Vlaue (Cr)'!$C:$FB,60)</f>
        <v>1901</v>
      </c>
      <c r="L51" s="51">
        <f>VLOOKUP($A51,'Data Vlaue (Cr)'!$C:$FB,62)*100</f>
        <v>-53.43</v>
      </c>
      <c r="M51" s="51">
        <f>VLOOKUP($A51,'Data Vlaue (Cr)'!$C:$FB,63)</f>
        <v>626</v>
      </c>
      <c r="N51" s="51">
        <f>VLOOKUP($A51,'Data Vlaue (Cr)'!$C:$FB,64)</f>
        <v>963</v>
      </c>
      <c r="O51" s="51">
        <f>VLOOKUP($A51,'Data Vlaue (Cr)'!$C:$FB,66)*100</f>
        <v>-35.04</v>
      </c>
    </row>
    <row r="52" spans="1:15" x14ac:dyDescent="0.25">
      <c r="A52" s="101" t="str">
        <f>'Data Vlaue (Cr)'!C47</f>
        <v>COALINDIA</v>
      </c>
      <c r="B52" s="50">
        <f>VLOOKUP($A52,'Data Vlaue (Cr)'!$C:$FB,8)</f>
        <v>458.15</v>
      </c>
      <c r="C52" s="50">
        <f>VLOOKUP($A52,'Data Vlaue (Cr)'!$C:$FB,11)*100</f>
        <v>0.03</v>
      </c>
      <c r="D52" s="50">
        <f>VLOOKUP($A52,'Data Vlaue (Cr)'!$C:$FB,143)</f>
        <v>9950.49</v>
      </c>
      <c r="E52" s="50">
        <f>VLOOKUP($A52,'Data Vlaue (Cr)'!$C:$FB,144)</f>
        <v>4487.91</v>
      </c>
      <c r="F52" s="50">
        <f>VLOOKUP($A52,'Data Vlaue (Cr)'!$C:$FB,146)*100</f>
        <v>121.72</v>
      </c>
      <c r="G52" s="49">
        <f>VLOOKUP($A52,'Data Vlaue (Cr)'!$C:$FB,43)</f>
        <v>2033</v>
      </c>
      <c r="H52" s="49">
        <f>VLOOKUP($A52,'Data Vlaue (Cr)'!$C:$FB,44)</f>
        <v>1685</v>
      </c>
      <c r="I52" s="49">
        <f>VLOOKUP($A52,'Data Vlaue (Cr)'!$C:$FB,46)*100</f>
        <v>20.66</v>
      </c>
      <c r="J52" s="51">
        <f>VLOOKUP($A52,'Data Vlaue (Cr)'!$C:$FB,59)</f>
        <v>4561</v>
      </c>
      <c r="K52" s="51">
        <f>VLOOKUP($A52,'Data Vlaue (Cr)'!$C:$FB,60)</f>
        <v>1448</v>
      </c>
      <c r="L52" s="51">
        <f>VLOOKUP($A52,'Data Vlaue (Cr)'!$C:$FB,62)*100</f>
        <v>215.04</v>
      </c>
      <c r="M52" s="51">
        <f>VLOOKUP($A52,'Data Vlaue (Cr)'!$C:$FB,63)</f>
        <v>2980</v>
      </c>
      <c r="N52" s="51">
        <f>VLOOKUP($A52,'Data Vlaue (Cr)'!$C:$FB,64)</f>
        <v>1275</v>
      </c>
      <c r="O52" s="51">
        <f>VLOOKUP($A52,'Data Vlaue (Cr)'!$C:$FB,66)*100</f>
        <v>133.75</v>
      </c>
    </row>
    <row r="53" spans="1:15" x14ac:dyDescent="0.25">
      <c r="A53" s="101" t="str">
        <f>'Data Vlaue (Cr)'!C48</f>
        <v>COCHINSHIP</v>
      </c>
      <c r="B53" s="50">
        <f>VLOOKUP($A53,'Data Vlaue (Cr)'!$C:$FB,8)</f>
        <v>1526.2</v>
      </c>
      <c r="C53" s="50">
        <f>VLOOKUP($A53,'Data Vlaue (Cr)'!$C:$FB,11)*100</f>
        <v>-0.18</v>
      </c>
      <c r="D53" s="50">
        <f>VLOOKUP($A53,'Data Vlaue (Cr)'!$C:$FB,143)</f>
        <v>763.05</v>
      </c>
      <c r="E53" s="50">
        <f>VLOOKUP($A53,'Data Vlaue (Cr)'!$C:$FB,144)</f>
        <v>829.87</v>
      </c>
      <c r="F53" s="50">
        <f>VLOOKUP($A53,'Data Vlaue (Cr)'!$C:$FB,146)*100</f>
        <v>-8.0500000000000007</v>
      </c>
      <c r="G53" s="49">
        <f>VLOOKUP($A53,'Data Vlaue (Cr)'!$C:$FB,43)</f>
        <v>357</v>
      </c>
      <c r="H53" s="49">
        <f>VLOOKUP($A53,'Data Vlaue (Cr)'!$C:$FB,44)</f>
        <v>430</v>
      </c>
      <c r="I53" s="49">
        <f>VLOOKUP($A53,'Data Vlaue (Cr)'!$C:$FB,46)*100</f>
        <v>-16.919999999999998</v>
      </c>
      <c r="J53" s="51">
        <f>VLOOKUP($A53,'Data Vlaue (Cr)'!$C:$FB,59)</f>
        <v>271</v>
      </c>
      <c r="K53" s="51">
        <f>VLOOKUP($A53,'Data Vlaue (Cr)'!$C:$FB,60)</f>
        <v>263</v>
      </c>
      <c r="L53" s="51">
        <f>VLOOKUP($A53,'Data Vlaue (Cr)'!$C:$FB,62)*100</f>
        <v>2.94</v>
      </c>
      <c r="M53" s="51">
        <f>VLOOKUP($A53,'Data Vlaue (Cr)'!$C:$FB,63)</f>
        <v>120</v>
      </c>
      <c r="N53" s="51">
        <f>VLOOKUP($A53,'Data Vlaue (Cr)'!$C:$FB,64)</f>
        <v>122</v>
      </c>
      <c r="O53" s="51">
        <f>VLOOKUP($A53,'Data Vlaue (Cr)'!$C:$FB,66)*100</f>
        <v>-1.26</v>
      </c>
    </row>
    <row r="54" spans="1:15" x14ac:dyDescent="0.25">
      <c r="A54" s="101" t="str">
        <f>'Data Vlaue (Cr)'!C49</f>
        <v>COFORGE</v>
      </c>
      <c r="B54" s="50">
        <f>VLOOKUP($A54,'Data Vlaue (Cr)'!$C:$FB,8)</f>
        <v>1422.8</v>
      </c>
      <c r="C54" s="50">
        <f>VLOOKUP($A54,'Data Vlaue (Cr)'!$C:$FB,11)*100</f>
        <v>1.77</v>
      </c>
      <c r="D54" s="50">
        <f>VLOOKUP($A54,'Data Vlaue (Cr)'!$C:$FB,143)</f>
        <v>3269.72</v>
      </c>
      <c r="E54" s="50">
        <f>VLOOKUP($A54,'Data Vlaue (Cr)'!$C:$FB,144)</f>
        <v>6024.73</v>
      </c>
      <c r="F54" s="50">
        <f>VLOOKUP($A54,'Data Vlaue (Cr)'!$C:$FB,146)*100</f>
        <v>-45.73</v>
      </c>
      <c r="G54" s="49">
        <f>VLOOKUP($A54,'Data Vlaue (Cr)'!$C:$FB,43)</f>
        <v>860</v>
      </c>
      <c r="H54" s="49">
        <f>VLOOKUP($A54,'Data Vlaue (Cr)'!$C:$FB,44)</f>
        <v>1572</v>
      </c>
      <c r="I54" s="49">
        <f>VLOOKUP($A54,'Data Vlaue (Cr)'!$C:$FB,46)*100</f>
        <v>-45.29</v>
      </c>
      <c r="J54" s="51">
        <f>VLOOKUP($A54,'Data Vlaue (Cr)'!$C:$FB,59)</f>
        <v>1582</v>
      </c>
      <c r="K54" s="51">
        <f>VLOOKUP($A54,'Data Vlaue (Cr)'!$C:$FB,60)</f>
        <v>2948</v>
      </c>
      <c r="L54" s="51">
        <f>VLOOKUP($A54,'Data Vlaue (Cr)'!$C:$FB,62)*100</f>
        <v>-46.33</v>
      </c>
      <c r="M54" s="51">
        <f>VLOOKUP($A54,'Data Vlaue (Cr)'!$C:$FB,63)</f>
        <v>814</v>
      </c>
      <c r="N54" s="51">
        <f>VLOOKUP($A54,'Data Vlaue (Cr)'!$C:$FB,64)</f>
        <v>1562</v>
      </c>
      <c r="O54" s="51">
        <f>VLOOKUP($A54,'Data Vlaue (Cr)'!$C:$FB,66)*100</f>
        <v>-47.910000000000004</v>
      </c>
    </row>
    <row r="55" spans="1:15" x14ac:dyDescent="0.25">
      <c r="A55" s="101" t="str">
        <f>'Data Vlaue (Cr)'!C50</f>
        <v>COLPAL</v>
      </c>
      <c r="B55" s="50">
        <f>VLOOKUP($A55,'Data Vlaue (Cr)'!$C:$FB,8)</f>
        <v>2077.1</v>
      </c>
      <c r="C55" s="50">
        <f>VLOOKUP($A55,'Data Vlaue (Cr)'!$C:$FB,11)*100</f>
        <v>-0.95</v>
      </c>
      <c r="D55" s="50">
        <f>VLOOKUP($A55,'Data Vlaue (Cr)'!$C:$FB,143)</f>
        <v>1783.3</v>
      </c>
      <c r="E55" s="50">
        <f>VLOOKUP($A55,'Data Vlaue (Cr)'!$C:$FB,144)</f>
        <v>6153.55</v>
      </c>
      <c r="F55" s="50">
        <f>VLOOKUP($A55,'Data Vlaue (Cr)'!$C:$FB,146)*100</f>
        <v>-71.02000000000001</v>
      </c>
      <c r="G55" s="49">
        <f>VLOOKUP($A55,'Data Vlaue (Cr)'!$C:$FB,43)</f>
        <v>494</v>
      </c>
      <c r="H55" s="49">
        <f>VLOOKUP($A55,'Data Vlaue (Cr)'!$C:$FB,44)</f>
        <v>1185</v>
      </c>
      <c r="I55" s="49">
        <f>VLOOKUP($A55,'Data Vlaue (Cr)'!$C:$FB,46)*100</f>
        <v>-58.28</v>
      </c>
      <c r="J55" s="51">
        <f>VLOOKUP($A55,'Data Vlaue (Cr)'!$C:$FB,59)</f>
        <v>800</v>
      </c>
      <c r="K55" s="51">
        <f>VLOOKUP($A55,'Data Vlaue (Cr)'!$C:$FB,60)</f>
        <v>2616</v>
      </c>
      <c r="L55" s="51">
        <f>VLOOKUP($A55,'Data Vlaue (Cr)'!$C:$FB,62)*100</f>
        <v>-69.42</v>
      </c>
      <c r="M55" s="51">
        <f>VLOOKUP($A55,'Data Vlaue (Cr)'!$C:$FB,63)</f>
        <v>442</v>
      </c>
      <c r="N55" s="51">
        <f>VLOOKUP($A55,'Data Vlaue (Cr)'!$C:$FB,64)</f>
        <v>2139</v>
      </c>
      <c r="O55" s="51">
        <f>VLOOKUP($A55,'Data Vlaue (Cr)'!$C:$FB,66)*100</f>
        <v>-79.349999999999994</v>
      </c>
    </row>
    <row r="56" spans="1:15" x14ac:dyDescent="0.25">
      <c r="A56" s="101" t="str">
        <f>'Data Vlaue (Cr)'!C51</f>
        <v>CONCOR</v>
      </c>
      <c r="B56" s="50">
        <f>VLOOKUP($A56,'Data Vlaue (Cr)'!$C:$FB,8)</f>
        <v>475.9</v>
      </c>
      <c r="C56" s="50">
        <f>VLOOKUP($A56,'Data Vlaue (Cr)'!$C:$FB,11)*100</f>
        <v>-7.06</v>
      </c>
      <c r="D56" s="50">
        <f>VLOOKUP($A56,'Data Vlaue (Cr)'!$C:$FB,143)</f>
        <v>3948.16</v>
      </c>
      <c r="E56" s="50">
        <f>VLOOKUP($A56,'Data Vlaue (Cr)'!$C:$FB,144)</f>
        <v>1607.88</v>
      </c>
      <c r="F56" s="50">
        <f>VLOOKUP($A56,'Data Vlaue (Cr)'!$C:$FB,146)*100</f>
        <v>145.55000000000001</v>
      </c>
      <c r="G56" s="49">
        <f>VLOOKUP($A56,'Data Vlaue (Cr)'!$C:$FB,43)</f>
        <v>930</v>
      </c>
      <c r="H56" s="49">
        <f>VLOOKUP($A56,'Data Vlaue (Cr)'!$C:$FB,44)</f>
        <v>674</v>
      </c>
      <c r="I56" s="49">
        <f>VLOOKUP($A56,'Data Vlaue (Cr)'!$C:$FB,46)*100</f>
        <v>37.99</v>
      </c>
      <c r="J56" s="51">
        <f>VLOOKUP($A56,'Data Vlaue (Cr)'!$C:$FB,59)</f>
        <v>1564</v>
      </c>
      <c r="K56" s="51">
        <f>VLOOKUP($A56,'Data Vlaue (Cr)'!$C:$FB,60)</f>
        <v>466</v>
      </c>
      <c r="L56" s="51">
        <f>VLOOKUP($A56,'Data Vlaue (Cr)'!$C:$FB,62)*100</f>
        <v>235.78</v>
      </c>
      <c r="M56" s="51">
        <f>VLOOKUP($A56,'Data Vlaue (Cr)'!$C:$FB,63)</f>
        <v>1287</v>
      </c>
      <c r="N56" s="51">
        <f>VLOOKUP($A56,'Data Vlaue (Cr)'!$C:$FB,64)</f>
        <v>342</v>
      </c>
      <c r="O56" s="51">
        <f>VLOOKUP($A56,'Data Vlaue (Cr)'!$C:$FB,66)*100</f>
        <v>275.93</v>
      </c>
    </row>
    <row r="57" spans="1:15" x14ac:dyDescent="0.25">
      <c r="A57" s="101" t="str">
        <f>'Data Vlaue (Cr)'!C52</f>
        <v>CROMPTON</v>
      </c>
      <c r="B57" s="50">
        <f>VLOOKUP($A57,'Data Vlaue (Cr)'!$C:$FB,8)</f>
        <v>289.05</v>
      </c>
      <c r="C57" s="50">
        <f>VLOOKUP($A57,'Data Vlaue (Cr)'!$C:$FB,11)*100</f>
        <v>-1.52</v>
      </c>
      <c r="D57" s="50">
        <f>VLOOKUP($A57,'Data Vlaue (Cr)'!$C:$FB,143)</f>
        <v>1032.1600000000001</v>
      </c>
      <c r="E57" s="50">
        <f>VLOOKUP($A57,'Data Vlaue (Cr)'!$C:$FB,144)</f>
        <v>1481.1</v>
      </c>
      <c r="F57" s="50">
        <f>VLOOKUP($A57,'Data Vlaue (Cr)'!$C:$FB,146)*100</f>
        <v>-30.31</v>
      </c>
      <c r="G57" s="49">
        <f>VLOOKUP($A57,'Data Vlaue (Cr)'!$C:$FB,43)</f>
        <v>541</v>
      </c>
      <c r="H57" s="49">
        <f>VLOOKUP($A57,'Data Vlaue (Cr)'!$C:$FB,44)</f>
        <v>834</v>
      </c>
      <c r="I57" s="49">
        <f>VLOOKUP($A57,'Data Vlaue (Cr)'!$C:$FB,46)*100</f>
        <v>-35.19</v>
      </c>
      <c r="J57" s="51">
        <f>VLOOKUP($A57,'Data Vlaue (Cr)'!$C:$FB,59)</f>
        <v>321</v>
      </c>
      <c r="K57" s="51">
        <f>VLOOKUP($A57,'Data Vlaue (Cr)'!$C:$FB,60)</f>
        <v>420</v>
      </c>
      <c r="L57" s="51">
        <f>VLOOKUP($A57,'Data Vlaue (Cr)'!$C:$FB,62)*100</f>
        <v>-23.5</v>
      </c>
      <c r="M57" s="51">
        <f>VLOOKUP($A57,'Data Vlaue (Cr)'!$C:$FB,63)</f>
        <v>154</v>
      </c>
      <c r="N57" s="51">
        <f>VLOOKUP($A57,'Data Vlaue (Cr)'!$C:$FB,64)</f>
        <v>186</v>
      </c>
      <c r="O57" s="51">
        <f>VLOOKUP($A57,'Data Vlaue (Cr)'!$C:$FB,66)*100</f>
        <v>-17.260000000000002</v>
      </c>
    </row>
    <row r="58" spans="1:15" x14ac:dyDescent="0.25">
      <c r="A58" s="101" t="str">
        <f>'Data Vlaue (Cr)'!C53</f>
        <v>CUMMINSIND</v>
      </c>
      <c r="B58" s="50">
        <f>VLOOKUP($A58,'Data Vlaue (Cr)'!$C:$FB,8)</f>
        <v>5418.5</v>
      </c>
      <c r="C58" s="50">
        <f>VLOOKUP($A58,'Data Vlaue (Cr)'!$C:$FB,11)*100</f>
        <v>0.67999999999999994</v>
      </c>
      <c r="D58" s="50">
        <f>VLOOKUP($A58,'Data Vlaue (Cr)'!$C:$FB,143)</f>
        <v>1949.47</v>
      </c>
      <c r="E58" s="50">
        <f>VLOOKUP($A58,'Data Vlaue (Cr)'!$C:$FB,144)</f>
        <v>2449.98</v>
      </c>
      <c r="F58" s="50">
        <f>VLOOKUP($A58,'Data Vlaue (Cr)'!$C:$FB,146)*100</f>
        <v>-20.43</v>
      </c>
      <c r="G58" s="49">
        <f>VLOOKUP($A58,'Data Vlaue (Cr)'!$C:$FB,43)</f>
        <v>698</v>
      </c>
      <c r="H58" s="49">
        <f>VLOOKUP($A58,'Data Vlaue (Cr)'!$C:$FB,44)</f>
        <v>1211</v>
      </c>
      <c r="I58" s="49">
        <f>VLOOKUP($A58,'Data Vlaue (Cr)'!$C:$FB,46)*100</f>
        <v>-42.3</v>
      </c>
      <c r="J58" s="51">
        <f>VLOOKUP($A58,'Data Vlaue (Cr)'!$C:$FB,59)</f>
        <v>750</v>
      </c>
      <c r="K58" s="51">
        <f>VLOOKUP($A58,'Data Vlaue (Cr)'!$C:$FB,60)</f>
        <v>800</v>
      </c>
      <c r="L58" s="51">
        <f>VLOOKUP($A58,'Data Vlaue (Cr)'!$C:$FB,62)*100</f>
        <v>-6.23</v>
      </c>
      <c r="M58" s="51">
        <f>VLOOKUP($A58,'Data Vlaue (Cr)'!$C:$FB,63)</f>
        <v>497</v>
      </c>
      <c r="N58" s="51">
        <f>VLOOKUP($A58,'Data Vlaue (Cr)'!$C:$FB,64)</f>
        <v>462</v>
      </c>
      <c r="O58" s="51">
        <f>VLOOKUP($A58,'Data Vlaue (Cr)'!$C:$FB,66)*100</f>
        <v>7.5399999999999991</v>
      </c>
    </row>
    <row r="59" spans="1:15" x14ac:dyDescent="0.25">
      <c r="A59" s="101" t="str">
        <f>'Data Vlaue (Cr)'!C54</f>
        <v>DABUR</v>
      </c>
      <c r="B59" s="50">
        <f>VLOOKUP($A59,'Data Vlaue (Cr)'!$C:$FB,8)</f>
        <v>447.6</v>
      </c>
      <c r="C59" s="50">
        <f>VLOOKUP($A59,'Data Vlaue (Cr)'!$C:$FB,11)*100</f>
        <v>0.09</v>
      </c>
      <c r="D59" s="50">
        <f>VLOOKUP($A59,'Data Vlaue (Cr)'!$C:$FB,143)</f>
        <v>710.73</v>
      </c>
      <c r="E59" s="50">
        <f>VLOOKUP($A59,'Data Vlaue (Cr)'!$C:$FB,144)</f>
        <v>1219.24</v>
      </c>
      <c r="F59" s="50">
        <f>VLOOKUP($A59,'Data Vlaue (Cr)'!$C:$FB,146)*100</f>
        <v>-41.71</v>
      </c>
      <c r="G59" s="49">
        <f>VLOOKUP($A59,'Data Vlaue (Cr)'!$C:$FB,43)</f>
        <v>328</v>
      </c>
      <c r="H59" s="49">
        <f>VLOOKUP($A59,'Data Vlaue (Cr)'!$C:$FB,44)</f>
        <v>675</v>
      </c>
      <c r="I59" s="49">
        <f>VLOOKUP($A59,'Data Vlaue (Cr)'!$C:$FB,46)*100</f>
        <v>-51.359999999999992</v>
      </c>
      <c r="J59" s="51">
        <f>VLOOKUP($A59,'Data Vlaue (Cr)'!$C:$FB,59)</f>
        <v>208</v>
      </c>
      <c r="K59" s="51">
        <f>VLOOKUP($A59,'Data Vlaue (Cr)'!$C:$FB,60)</f>
        <v>360</v>
      </c>
      <c r="L59" s="51">
        <f>VLOOKUP($A59,'Data Vlaue (Cr)'!$C:$FB,62)*100</f>
        <v>-42.33</v>
      </c>
      <c r="M59" s="51">
        <f>VLOOKUP($A59,'Data Vlaue (Cr)'!$C:$FB,63)</f>
        <v>165</v>
      </c>
      <c r="N59" s="51">
        <f>VLOOKUP($A59,'Data Vlaue (Cr)'!$C:$FB,64)</f>
        <v>163</v>
      </c>
      <c r="O59" s="51">
        <f>VLOOKUP($A59,'Data Vlaue (Cr)'!$C:$FB,66)*100</f>
        <v>1.28</v>
      </c>
    </row>
    <row r="60" spans="1:15" x14ac:dyDescent="0.25">
      <c r="A60" s="101" t="str">
        <f>'Data Vlaue (Cr)'!C55</f>
        <v>DALBHARAT</v>
      </c>
      <c r="B60" s="50">
        <f>VLOOKUP($A60,'Data Vlaue (Cr)'!$C:$FB,8)</f>
        <v>1785.6</v>
      </c>
      <c r="C60" s="50">
        <f>VLOOKUP($A60,'Data Vlaue (Cr)'!$C:$FB,11)*100</f>
        <v>-2.0299999999999998</v>
      </c>
      <c r="D60" s="50">
        <f>VLOOKUP($A60,'Data Vlaue (Cr)'!$C:$FB,143)</f>
        <v>640.5</v>
      </c>
      <c r="E60" s="50">
        <f>VLOOKUP($A60,'Data Vlaue (Cr)'!$C:$FB,144)</f>
        <v>1696.49</v>
      </c>
      <c r="F60" s="50">
        <f>VLOOKUP($A60,'Data Vlaue (Cr)'!$C:$FB,146)*100</f>
        <v>-62.250000000000007</v>
      </c>
      <c r="G60" s="49">
        <f>VLOOKUP($A60,'Data Vlaue (Cr)'!$C:$FB,43)</f>
        <v>222</v>
      </c>
      <c r="H60" s="49">
        <f>VLOOKUP($A60,'Data Vlaue (Cr)'!$C:$FB,44)</f>
        <v>703</v>
      </c>
      <c r="I60" s="49">
        <f>VLOOKUP($A60,'Data Vlaue (Cr)'!$C:$FB,46)*100</f>
        <v>-68.410000000000011</v>
      </c>
      <c r="J60" s="51">
        <f>VLOOKUP($A60,'Data Vlaue (Cr)'!$C:$FB,59)</f>
        <v>270</v>
      </c>
      <c r="K60" s="51">
        <f>VLOOKUP($A60,'Data Vlaue (Cr)'!$C:$FB,60)</f>
        <v>658</v>
      </c>
      <c r="L60" s="51">
        <f>VLOOKUP($A60,'Data Vlaue (Cr)'!$C:$FB,62)*100</f>
        <v>-58.930000000000007</v>
      </c>
      <c r="M60" s="51">
        <f>VLOOKUP($A60,'Data Vlaue (Cr)'!$C:$FB,63)</f>
        <v>137</v>
      </c>
      <c r="N60" s="51">
        <f>VLOOKUP($A60,'Data Vlaue (Cr)'!$C:$FB,64)</f>
        <v>306</v>
      </c>
      <c r="O60" s="51">
        <f>VLOOKUP($A60,'Data Vlaue (Cr)'!$C:$FB,66)*100</f>
        <v>-55.089999999999996</v>
      </c>
    </row>
    <row r="61" spans="1:15" x14ac:dyDescent="0.25">
      <c r="A61" s="101" t="str">
        <f>'Data Vlaue (Cr)'!C56</f>
        <v>DELHIVERY</v>
      </c>
      <c r="B61" s="50">
        <f>VLOOKUP($A61,'Data Vlaue (Cr)'!$C:$FB,8)</f>
        <v>463.5</v>
      </c>
      <c r="C61" s="50">
        <f>VLOOKUP($A61,'Data Vlaue (Cr)'!$C:$FB,11)*100</f>
        <v>1.77</v>
      </c>
      <c r="D61" s="50">
        <f>VLOOKUP($A61,'Data Vlaue (Cr)'!$C:$FB,143)</f>
        <v>1037.8</v>
      </c>
      <c r="E61" s="50">
        <f>VLOOKUP($A61,'Data Vlaue (Cr)'!$C:$FB,144)</f>
        <v>1657.37</v>
      </c>
      <c r="F61" s="50">
        <f>VLOOKUP($A61,'Data Vlaue (Cr)'!$C:$FB,146)*100</f>
        <v>-37.380000000000003</v>
      </c>
      <c r="G61" s="49">
        <f>VLOOKUP($A61,'Data Vlaue (Cr)'!$C:$FB,43)</f>
        <v>504</v>
      </c>
      <c r="H61" s="49">
        <f>VLOOKUP($A61,'Data Vlaue (Cr)'!$C:$FB,44)</f>
        <v>928</v>
      </c>
      <c r="I61" s="49">
        <f>VLOOKUP($A61,'Data Vlaue (Cr)'!$C:$FB,46)*100</f>
        <v>-45.71</v>
      </c>
      <c r="J61" s="51">
        <f>VLOOKUP($A61,'Data Vlaue (Cr)'!$C:$FB,59)</f>
        <v>380</v>
      </c>
      <c r="K61" s="51">
        <f>VLOOKUP($A61,'Data Vlaue (Cr)'!$C:$FB,60)</f>
        <v>517</v>
      </c>
      <c r="L61" s="51">
        <f>VLOOKUP($A61,'Data Vlaue (Cr)'!$C:$FB,62)*100</f>
        <v>-26.47</v>
      </c>
      <c r="M61" s="51">
        <f>VLOOKUP($A61,'Data Vlaue (Cr)'!$C:$FB,63)</f>
        <v>154</v>
      </c>
      <c r="N61" s="51">
        <f>VLOOKUP($A61,'Data Vlaue (Cr)'!$C:$FB,64)</f>
        <v>232</v>
      </c>
      <c r="O61" s="51">
        <f>VLOOKUP($A61,'Data Vlaue (Cr)'!$C:$FB,66)*100</f>
        <v>-33.69</v>
      </c>
    </row>
    <row r="62" spans="1:15" x14ac:dyDescent="0.25">
      <c r="A62" s="101" t="str">
        <f>'Data Vlaue (Cr)'!C57</f>
        <v>DIVISLAB</v>
      </c>
      <c r="B62" s="50">
        <f>VLOOKUP($A62,'Data Vlaue (Cr)'!$C:$FB,8)</f>
        <v>6753</v>
      </c>
      <c r="C62" s="50">
        <f>VLOOKUP($A62,'Data Vlaue (Cr)'!$C:$FB,11)*100</f>
        <v>-0.05</v>
      </c>
      <c r="D62" s="50">
        <f>VLOOKUP($A62,'Data Vlaue (Cr)'!$C:$FB,143)</f>
        <v>2866.55</v>
      </c>
      <c r="E62" s="50">
        <f>VLOOKUP($A62,'Data Vlaue (Cr)'!$C:$FB,144)</f>
        <v>9675.7900000000009</v>
      </c>
      <c r="F62" s="50">
        <f>VLOOKUP($A62,'Data Vlaue (Cr)'!$C:$FB,146)*100</f>
        <v>-70.37</v>
      </c>
      <c r="G62" s="49">
        <f>VLOOKUP($A62,'Data Vlaue (Cr)'!$C:$FB,43)</f>
        <v>491</v>
      </c>
      <c r="H62" s="49">
        <f>VLOOKUP($A62,'Data Vlaue (Cr)'!$C:$FB,44)</f>
        <v>1811</v>
      </c>
      <c r="I62" s="49">
        <f>VLOOKUP($A62,'Data Vlaue (Cr)'!$C:$FB,46)*100</f>
        <v>-72.87</v>
      </c>
      <c r="J62" s="51">
        <f>VLOOKUP($A62,'Data Vlaue (Cr)'!$C:$FB,59)</f>
        <v>1310</v>
      </c>
      <c r="K62" s="51">
        <f>VLOOKUP($A62,'Data Vlaue (Cr)'!$C:$FB,60)</f>
        <v>4452</v>
      </c>
      <c r="L62" s="51">
        <f>VLOOKUP($A62,'Data Vlaue (Cr)'!$C:$FB,62)*100</f>
        <v>-70.58</v>
      </c>
      <c r="M62" s="51">
        <f>VLOOKUP($A62,'Data Vlaue (Cr)'!$C:$FB,63)</f>
        <v>1058</v>
      </c>
      <c r="N62" s="51">
        <f>VLOOKUP($A62,'Data Vlaue (Cr)'!$C:$FB,64)</f>
        <v>3253</v>
      </c>
      <c r="O62" s="51">
        <f>VLOOKUP($A62,'Data Vlaue (Cr)'!$C:$FB,66)*100</f>
        <v>-67.47</v>
      </c>
    </row>
    <row r="63" spans="1:15" x14ac:dyDescent="0.25">
      <c r="A63" s="101" t="str">
        <f>'Data Vlaue (Cr)'!C58</f>
        <v>DIXON</v>
      </c>
      <c r="B63" s="50">
        <f>VLOOKUP($A63,'Data Vlaue (Cr)'!$C:$FB,8)</f>
        <v>11673</v>
      </c>
      <c r="C63" s="50">
        <f>VLOOKUP($A63,'Data Vlaue (Cr)'!$C:$FB,11)*100</f>
        <v>-1.28</v>
      </c>
      <c r="D63" s="50">
        <f>VLOOKUP($A63,'Data Vlaue (Cr)'!$C:$FB,143)</f>
        <v>8003.39</v>
      </c>
      <c r="E63" s="50">
        <f>VLOOKUP($A63,'Data Vlaue (Cr)'!$C:$FB,144)</f>
        <v>18977.599999999999</v>
      </c>
      <c r="F63" s="50">
        <f>VLOOKUP($A63,'Data Vlaue (Cr)'!$C:$FB,146)*100</f>
        <v>-57.830000000000005</v>
      </c>
      <c r="G63" s="49">
        <f>VLOOKUP($A63,'Data Vlaue (Cr)'!$C:$FB,43)</f>
        <v>1039</v>
      </c>
      <c r="H63" s="49">
        <f>VLOOKUP($A63,'Data Vlaue (Cr)'!$C:$FB,44)</f>
        <v>1821</v>
      </c>
      <c r="I63" s="49">
        <f>VLOOKUP($A63,'Data Vlaue (Cr)'!$C:$FB,46)*100</f>
        <v>-42.980000000000004</v>
      </c>
      <c r="J63" s="51">
        <f>VLOOKUP($A63,'Data Vlaue (Cr)'!$C:$FB,59)</f>
        <v>3985</v>
      </c>
      <c r="K63" s="51">
        <f>VLOOKUP($A63,'Data Vlaue (Cr)'!$C:$FB,60)</f>
        <v>11249</v>
      </c>
      <c r="L63" s="51">
        <f>VLOOKUP($A63,'Data Vlaue (Cr)'!$C:$FB,62)*100</f>
        <v>-64.570000000000007</v>
      </c>
      <c r="M63" s="51">
        <f>VLOOKUP($A63,'Data Vlaue (Cr)'!$C:$FB,63)</f>
        <v>2874</v>
      </c>
      <c r="N63" s="51">
        <f>VLOOKUP($A63,'Data Vlaue (Cr)'!$C:$FB,64)</f>
        <v>5452</v>
      </c>
      <c r="O63" s="51">
        <f>VLOOKUP($A63,'Data Vlaue (Cr)'!$C:$FB,66)*100</f>
        <v>-47.28</v>
      </c>
    </row>
    <row r="64" spans="1:15" x14ac:dyDescent="0.25">
      <c r="A64" s="101" t="str">
        <f>'Data Vlaue (Cr)'!C59</f>
        <v>DLF</v>
      </c>
      <c r="B64" s="50">
        <f>VLOOKUP($A64,'Data Vlaue (Cr)'!$C:$FB,8)</f>
        <v>589.79999999999995</v>
      </c>
      <c r="C64" s="50">
        <f>VLOOKUP($A64,'Data Vlaue (Cr)'!$C:$FB,11)*100</f>
        <v>-0.42</v>
      </c>
      <c r="D64" s="50">
        <f>VLOOKUP($A64,'Data Vlaue (Cr)'!$C:$FB,143)</f>
        <v>1848.04</v>
      </c>
      <c r="E64" s="50">
        <f>VLOOKUP($A64,'Data Vlaue (Cr)'!$C:$FB,144)</f>
        <v>2447.4</v>
      </c>
      <c r="F64" s="50">
        <f>VLOOKUP($A64,'Data Vlaue (Cr)'!$C:$FB,146)*100</f>
        <v>-24.490000000000002</v>
      </c>
      <c r="G64" s="49">
        <f>VLOOKUP($A64,'Data Vlaue (Cr)'!$C:$FB,43)</f>
        <v>833</v>
      </c>
      <c r="H64" s="49">
        <f>VLOOKUP($A64,'Data Vlaue (Cr)'!$C:$FB,44)</f>
        <v>1330</v>
      </c>
      <c r="I64" s="49">
        <f>VLOOKUP($A64,'Data Vlaue (Cr)'!$C:$FB,46)*100</f>
        <v>-37.369999999999997</v>
      </c>
      <c r="J64" s="51">
        <f>VLOOKUP($A64,'Data Vlaue (Cr)'!$C:$FB,59)</f>
        <v>625</v>
      </c>
      <c r="K64" s="51">
        <f>VLOOKUP($A64,'Data Vlaue (Cr)'!$C:$FB,60)</f>
        <v>685</v>
      </c>
      <c r="L64" s="51">
        <f>VLOOKUP($A64,'Data Vlaue (Cr)'!$C:$FB,62)*100</f>
        <v>-8.75</v>
      </c>
      <c r="M64" s="51">
        <f>VLOOKUP($A64,'Data Vlaue (Cr)'!$C:$FB,63)</f>
        <v>343</v>
      </c>
      <c r="N64" s="51">
        <f>VLOOKUP($A64,'Data Vlaue (Cr)'!$C:$FB,64)</f>
        <v>403</v>
      </c>
      <c r="O64" s="51">
        <f>VLOOKUP($A64,'Data Vlaue (Cr)'!$C:$FB,66)*100</f>
        <v>-14.799999999999999</v>
      </c>
    </row>
    <row r="65" spans="1:15" x14ac:dyDescent="0.25">
      <c r="A65" s="101" t="str">
        <f>'Data Vlaue (Cr)'!C60</f>
        <v>DMART</v>
      </c>
      <c r="B65" s="50">
        <f>VLOOKUP($A65,'Data Vlaue (Cr)'!$C:$FB,8)</f>
        <v>4103.6000000000004</v>
      </c>
      <c r="C65" s="50">
        <f>VLOOKUP($A65,'Data Vlaue (Cr)'!$C:$FB,11)*100</f>
        <v>0.16</v>
      </c>
      <c r="D65" s="50">
        <f>VLOOKUP($A65,'Data Vlaue (Cr)'!$C:$FB,143)</f>
        <v>1956.61</v>
      </c>
      <c r="E65" s="50">
        <f>VLOOKUP($A65,'Data Vlaue (Cr)'!$C:$FB,144)</f>
        <v>2328.31</v>
      </c>
      <c r="F65" s="50">
        <f>VLOOKUP($A65,'Data Vlaue (Cr)'!$C:$FB,146)*100</f>
        <v>-15.959999999999999</v>
      </c>
      <c r="G65" s="49">
        <f>VLOOKUP($A65,'Data Vlaue (Cr)'!$C:$FB,43)</f>
        <v>471</v>
      </c>
      <c r="H65" s="49">
        <f>VLOOKUP($A65,'Data Vlaue (Cr)'!$C:$FB,44)</f>
        <v>638</v>
      </c>
      <c r="I65" s="49">
        <f>VLOOKUP($A65,'Data Vlaue (Cr)'!$C:$FB,46)*100</f>
        <v>-26.26</v>
      </c>
      <c r="J65" s="51">
        <f>VLOOKUP($A65,'Data Vlaue (Cr)'!$C:$FB,59)</f>
        <v>983</v>
      </c>
      <c r="K65" s="51">
        <f>VLOOKUP($A65,'Data Vlaue (Cr)'!$C:$FB,60)</f>
        <v>1187</v>
      </c>
      <c r="L65" s="51">
        <f>VLOOKUP($A65,'Data Vlaue (Cr)'!$C:$FB,62)*100</f>
        <v>-17.169999999999998</v>
      </c>
      <c r="M65" s="51">
        <f>VLOOKUP($A65,'Data Vlaue (Cr)'!$C:$FB,63)</f>
        <v>459</v>
      </c>
      <c r="N65" s="51">
        <f>VLOOKUP($A65,'Data Vlaue (Cr)'!$C:$FB,64)</f>
        <v>452</v>
      </c>
      <c r="O65" s="51">
        <f>VLOOKUP($A65,'Data Vlaue (Cr)'!$C:$FB,66)*100</f>
        <v>1.6500000000000001</v>
      </c>
    </row>
    <row r="66" spans="1:15" x14ac:dyDescent="0.25">
      <c r="A66" s="101" t="str">
        <f>'Data Vlaue (Cr)'!C61</f>
        <v>DRREDDY</v>
      </c>
      <c r="B66" s="50">
        <f>VLOOKUP($A66,'Data Vlaue (Cr)'!$C:$FB,8)</f>
        <v>1327.9</v>
      </c>
      <c r="C66" s="50">
        <f>VLOOKUP($A66,'Data Vlaue (Cr)'!$C:$FB,11)*100</f>
        <v>-0.26</v>
      </c>
      <c r="D66" s="50">
        <f>VLOOKUP($A66,'Data Vlaue (Cr)'!$C:$FB,143)</f>
        <v>2921.66</v>
      </c>
      <c r="E66" s="50">
        <f>VLOOKUP($A66,'Data Vlaue (Cr)'!$C:$FB,144)</f>
        <v>4885.66</v>
      </c>
      <c r="F66" s="50">
        <f>VLOOKUP($A66,'Data Vlaue (Cr)'!$C:$FB,146)*100</f>
        <v>-40.200000000000003</v>
      </c>
      <c r="G66" s="49">
        <f>VLOOKUP($A66,'Data Vlaue (Cr)'!$C:$FB,43)</f>
        <v>1017</v>
      </c>
      <c r="H66" s="49">
        <f>VLOOKUP($A66,'Data Vlaue (Cr)'!$C:$FB,44)</f>
        <v>1360</v>
      </c>
      <c r="I66" s="49">
        <f>VLOOKUP($A66,'Data Vlaue (Cr)'!$C:$FB,46)*100</f>
        <v>-25.230000000000004</v>
      </c>
      <c r="J66" s="51">
        <f>VLOOKUP($A66,'Data Vlaue (Cr)'!$C:$FB,59)</f>
        <v>1156</v>
      </c>
      <c r="K66" s="51">
        <f>VLOOKUP($A66,'Data Vlaue (Cr)'!$C:$FB,60)</f>
        <v>2237</v>
      </c>
      <c r="L66" s="51">
        <f>VLOOKUP($A66,'Data Vlaue (Cr)'!$C:$FB,62)*100</f>
        <v>-48.309999999999995</v>
      </c>
      <c r="M66" s="51">
        <f>VLOOKUP($A66,'Data Vlaue (Cr)'!$C:$FB,63)</f>
        <v>703</v>
      </c>
      <c r="N66" s="51">
        <f>VLOOKUP($A66,'Data Vlaue (Cr)'!$C:$FB,64)</f>
        <v>1273</v>
      </c>
      <c r="O66" s="51">
        <f>VLOOKUP($A66,'Data Vlaue (Cr)'!$C:$FB,66)*100</f>
        <v>-44.769999999999996</v>
      </c>
    </row>
    <row r="67" spans="1:15" x14ac:dyDescent="0.25">
      <c r="A67" s="101" t="str">
        <f>'Data Vlaue (Cr)'!C62</f>
        <v>EICHERMOT</v>
      </c>
      <c r="B67" s="50">
        <f>VLOOKUP($A67,'Data Vlaue (Cr)'!$C:$FB,8)</f>
        <v>7376</v>
      </c>
      <c r="C67" s="50">
        <f>VLOOKUP($A67,'Data Vlaue (Cr)'!$C:$FB,11)*100</f>
        <v>-0.51</v>
      </c>
      <c r="D67" s="50">
        <f>VLOOKUP($A67,'Data Vlaue (Cr)'!$C:$FB,143)</f>
        <v>5700.44</v>
      </c>
      <c r="E67" s="50">
        <f>VLOOKUP($A67,'Data Vlaue (Cr)'!$C:$FB,144)</f>
        <v>22637.23</v>
      </c>
      <c r="F67" s="50">
        <f>VLOOKUP($A67,'Data Vlaue (Cr)'!$C:$FB,146)*100</f>
        <v>-74.819999999999993</v>
      </c>
      <c r="G67" s="49">
        <f>VLOOKUP($A67,'Data Vlaue (Cr)'!$C:$FB,43)</f>
        <v>468</v>
      </c>
      <c r="H67" s="49">
        <f>VLOOKUP($A67,'Data Vlaue (Cr)'!$C:$FB,44)</f>
        <v>2223</v>
      </c>
      <c r="I67" s="49">
        <f>VLOOKUP($A67,'Data Vlaue (Cr)'!$C:$FB,46)*100</f>
        <v>-78.959999999999994</v>
      </c>
      <c r="J67" s="51">
        <f>VLOOKUP($A67,'Data Vlaue (Cr)'!$C:$FB,59)</f>
        <v>3634</v>
      </c>
      <c r="K67" s="51">
        <f>VLOOKUP($A67,'Data Vlaue (Cr)'!$C:$FB,60)</f>
        <v>14354</v>
      </c>
      <c r="L67" s="51">
        <f>VLOOKUP($A67,'Data Vlaue (Cr)'!$C:$FB,62)*100</f>
        <v>-74.680000000000007</v>
      </c>
      <c r="M67" s="51">
        <f>VLOOKUP($A67,'Data Vlaue (Cr)'!$C:$FB,63)</f>
        <v>1517</v>
      </c>
      <c r="N67" s="51">
        <f>VLOOKUP($A67,'Data Vlaue (Cr)'!$C:$FB,64)</f>
        <v>5922</v>
      </c>
      <c r="O67" s="51">
        <f>VLOOKUP($A67,'Data Vlaue (Cr)'!$C:$FB,66)*100</f>
        <v>-74.38</v>
      </c>
    </row>
    <row r="68" spans="1:15" x14ac:dyDescent="0.25">
      <c r="A68" s="101" t="str">
        <f>'Data Vlaue (Cr)'!C63</f>
        <v>ETERNAL</v>
      </c>
      <c r="B68" s="50">
        <f>VLOOKUP($A68,'Data Vlaue (Cr)'!$C:$FB,8)</f>
        <v>250.17</v>
      </c>
      <c r="C68" s="50">
        <f>VLOOKUP($A68,'Data Vlaue (Cr)'!$C:$FB,11)*100</f>
        <v>1.01</v>
      </c>
      <c r="D68" s="50">
        <f>VLOOKUP($A68,'Data Vlaue (Cr)'!$C:$FB,143)</f>
        <v>5813.8</v>
      </c>
      <c r="E68" s="50">
        <f>VLOOKUP($A68,'Data Vlaue (Cr)'!$C:$FB,144)</f>
        <v>6899.01</v>
      </c>
      <c r="F68" s="50">
        <f>VLOOKUP($A68,'Data Vlaue (Cr)'!$C:$FB,146)*100</f>
        <v>-15.73</v>
      </c>
      <c r="G68" s="49">
        <f>VLOOKUP($A68,'Data Vlaue (Cr)'!$C:$FB,43)</f>
        <v>2427</v>
      </c>
      <c r="H68" s="49">
        <f>VLOOKUP($A68,'Data Vlaue (Cr)'!$C:$FB,44)</f>
        <v>2853</v>
      </c>
      <c r="I68" s="49">
        <f>VLOOKUP($A68,'Data Vlaue (Cr)'!$C:$FB,46)*100</f>
        <v>-14.899999999999999</v>
      </c>
      <c r="J68" s="51">
        <f>VLOOKUP($A68,'Data Vlaue (Cr)'!$C:$FB,59)</f>
        <v>2142</v>
      </c>
      <c r="K68" s="51">
        <f>VLOOKUP($A68,'Data Vlaue (Cr)'!$C:$FB,60)</f>
        <v>2482</v>
      </c>
      <c r="L68" s="51">
        <f>VLOOKUP($A68,'Data Vlaue (Cr)'!$C:$FB,62)*100</f>
        <v>-13.69</v>
      </c>
      <c r="M68" s="51">
        <f>VLOOKUP($A68,'Data Vlaue (Cr)'!$C:$FB,63)</f>
        <v>1175</v>
      </c>
      <c r="N68" s="51">
        <f>VLOOKUP($A68,'Data Vlaue (Cr)'!$C:$FB,64)</f>
        <v>1580</v>
      </c>
      <c r="O68" s="51">
        <f>VLOOKUP($A68,'Data Vlaue (Cr)'!$C:$FB,66)*100</f>
        <v>-25.650000000000002</v>
      </c>
    </row>
    <row r="69" spans="1:15" x14ac:dyDescent="0.25">
      <c r="A69" s="101" t="str">
        <f>'Data Vlaue (Cr)'!C64</f>
        <v>EXIDEIND</v>
      </c>
      <c r="B69" s="50">
        <f>VLOOKUP($A69,'Data Vlaue (Cr)'!$C:$FB,8)</f>
        <v>366.25</v>
      </c>
      <c r="C69" s="50">
        <f>VLOOKUP($A69,'Data Vlaue (Cr)'!$C:$FB,11)*100</f>
        <v>5.7799999999999994</v>
      </c>
      <c r="D69" s="50">
        <f>VLOOKUP($A69,'Data Vlaue (Cr)'!$C:$FB,143)</f>
        <v>2347.9499999999998</v>
      </c>
      <c r="E69" s="50">
        <f>VLOOKUP($A69,'Data Vlaue (Cr)'!$C:$FB,144)</f>
        <v>1049.32</v>
      </c>
      <c r="F69" s="50">
        <f>VLOOKUP($A69,'Data Vlaue (Cr)'!$C:$FB,146)*100</f>
        <v>123.76</v>
      </c>
      <c r="G69" s="49">
        <f>VLOOKUP($A69,'Data Vlaue (Cr)'!$C:$FB,43)</f>
        <v>756</v>
      </c>
      <c r="H69" s="49">
        <f>VLOOKUP($A69,'Data Vlaue (Cr)'!$C:$FB,44)</f>
        <v>456</v>
      </c>
      <c r="I69" s="49">
        <f>VLOOKUP($A69,'Data Vlaue (Cr)'!$C:$FB,46)*100</f>
        <v>65.61</v>
      </c>
      <c r="J69" s="51">
        <f>VLOOKUP($A69,'Data Vlaue (Cr)'!$C:$FB,59)</f>
        <v>1253</v>
      </c>
      <c r="K69" s="51">
        <f>VLOOKUP($A69,'Data Vlaue (Cr)'!$C:$FB,60)</f>
        <v>423</v>
      </c>
      <c r="L69" s="51">
        <f>VLOOKUP($A69,'Data Vlaue (Cr)'!$C:$FB,62)*100</f>
        <v>196.60999999999999</v>
      </c>
      <c r="M69" s="51">
        <f>VLOOKUP($A69,'Data Vlaue (Cr)'!$C:$FB,63)</f>
        <v>359</v>
      </c>
      <c r="N69" s="51">
        <f>VLOOKUP($A69,'Data Vlaue (Cr)'!$C:$FB,64)</f>
        <v>211</v>
      </c>
      <c r="O69" s="51">
        <f>VLOOKUP($A69,'Data Vlaue (Cr)'!$C:$FB,66)*100</f>
        <v>70.03</v>
      </c>
    </row>
    <row r="70" spans="1:15" x14ac:dyDescent="0.25">
      <c r="A70" s="101" t="str">
        <f>'Data Vlaue (Cr)'!C65</f>
        <v>FEDERALBNK</v>
      </c>
      <c r="B70" s="50">
        <f>VLOOKUP($A70,'Data Vlaue (Cr)'!$C:$FB,8)</f>
        <v>290.2</v>
      </c>
      <c r="C70" s="50">
        <f>VLOOKUP($A70,'Data Vlaue (Cr)'!$C:$FB,11)*100</f>
        <v>0.33</v>
      </c>
      <c r="D70" s="50">
        <f>VLOOKUP($A70,'Data Vlaue (Cr)'!$C:$FB,143)</f>
        <v>1822.88</v>
      </c>
      <c r="E70" s="50">
        <f>VLOOKUP($A70,'Data Vlaue (Cr)'!$C:$FB,144)</f>
        <v>2730.39</v>
      </c>
      <c r="F70" s="50">
        <f>VLOOKUP($A70,'Data Vlaue (Cr)'!$C:$FB,146)*100</f>
        <v>-33.239999999999995</v>
      </c>
      <c r="G70" s="49">
        <f>VLOOKUP($A70,'Data Vlaue (Cr)'!$C:$FB,43)</f>
        <v>827</v>
      </c>
      <c r="H70" s="49">
        <f>VLOOKUP($A70,'Data Vlaue (Cr)'!$C:$FB,44)</f>
        <v>1445</v>
      </c>
      <c r="I70" s="49">
        <f>VLOOKUP($A70,'Data Vlaue (Cr)'!$C:$FB,46)*100</f>
        <v>-42.75</v>
      </c>
      <c r="J70" s="51">
        <f>VLOOKUP($A70,'Data Vlaue (Cr)'!$C:$FB,59)</f>
        <v>655</v>
      </c>
      <c r="K70" s="51">
        <f>VLOOKUP($A70,'Data Vlaue (Cr)'!$C:$FB,60)</f>
        <v>872</v>
      </c>
      <c r="L70" s="51">
        <f>VLOOKUP($A70,'Data Vlaue (Cr)'!$C:$FB,62)*100</f>
        <v>-24.9</v>
      </c>
      <c r="M70" s="51">
        <f>VLOOKUP($A70,'Data Vlaue (Cr)'!$C:$FB,63)</f>
        <v>324</v>
      </c>
      <c r="N70" s="51">
        <f>VLOOKUP($A70,'Data Vlaue (Cr)'!$C:$FB,64)</f>
        <v>408</v>
      </c>
      <c r="O70" s="51">
        <f>VLOOKUP($A70,'Data Vlaue (Cr)'!$C:$FB,66)*100</f>
        <v>-20.57</v>
      </c>
    </row>
    <row r="71" spans="1:15" x14ac:dyDescent="0.25">
      <c r="A71" s="101" t="str">
        <f>'Data Vlaue (Cr)'!C66</f>
        <v>FINNIFTY</v>
      </c>
      <c r="B71" s="50">
        <f>VLOOKUP($A71,'Data Vlaue (Cr)'!$C:$FB,8)</f>
        <v>25932.25</v>
      </c>
      <c r="C71" s="50">
        <f>VLOOKUP($A71,'Data Vlaue (Cr)'!$C:$FB,11)*100</f>
        <v>-0.65</v>
      </c>
      <c r="D71" s="50">
        <f>VLOOKUP($A71,'Data Vlaue (Cr)'!$C:$FB,143)</f>
        <v>435308.6</v>
      </c>
      <c r="E71" s="50">
        <f>VLOOKUP($A71,'Data Vlaue (Cr)'!$C:$FB,144)</f>
        <v>49698.13</v>
      </c>
      <c r="F71" s="50">
        <f>VLOOKUP($A71,'Data Vlaue (Cr)'!$C:$FB,146)*100</f>
        <v>775.91</v>
      </c>
      <c r="G71" s="49">
        <f>VLOOKUP($A71,'Data Vlaue (Cr)'!$C:$FB,43)</f>
        <v>100</v>
      </c>
      <c r="H71" s="49">
        <f>VLOOKUP($A71,'Data Vlaue (Cr)'!$C:$FB,44)</f>
        <v>80</v>
      </c>
      <c r="I71" s="49">
        <f>VLOOKUP($A71,'Data Vlaue (Cr)'!$C:$FB,46)*100</f>
        <v>24.169999999999998</v>
      </c>
      <c r="J71" s="51">
        <f>VLOOKUP($A71,'Data Vlaue (Cr)'!$C:$FB,59)</f>
        <v>204499</v>
      </c>
      <c r="K71" s="51">
        <f>VLOOKUP($A71,'Data Vlaue (Cr)'!$C:$FB,60)</f>
        <v>25126</v>
      </c>
      <c r="L71" s="51">
        <f>VLOOKUP($A71,'Data Vlaue (Cr)'!$C:$FB,62)*100</f>
        <v>713.91</v>
      </c>
      <c r="M71" s="51">
        <f>VLOOKUP($A71,'Data Vlaue (Cr)'!$C:$FB,63)</f>
        <v>231123</v>
      </c>
      <c r="N71" s="51">
        <f>VLOOKUP($A71,'Data Vlaue (Cr)'!$C:$FB,64)</f>
        <v>24617</v>
      </c>
      <c r="O71" s="51">
        <f>VLOOKUP($A71,'Data Vlaue (Cr)'!$C:$FB,66)*100</f>
        <v>838.88</v>
      </c>
    </row>
    <row r="72" spans="1:15" x14ac:dyDescent="0.25">
      <c r="A72" s="101" t="str">
        <f>'Data Vlaue (Cr)'!C67</f>
        <v>FORCEMOT</v>
      </c>
      <c r="B72" s="50">
        <f>VLOOKUP($A72,'Data Vlaue (Cr)'!$C:$FB,8)</f>
        <v>19833</v>
      </c>
      <c r="C72" s="50">
        <f>VLOOKUP($A72,'Data Vlaue (Cr)'!$C:$FB,11)*100</f>
        <v>-1.8800000000000001</v>
      </c>
      <c r="D72" s="50">
        <f>VLOOKUP($A72,'Data Vlaue (Cr)'!$C:$FB,143)</f>
        <v>1333.93</v>
      </c>
      <c r="E72" s="50">
        <f>VLOOKUP($A72,'Data Vlaue (Cr)'!$C:$FB,144)</f>
        <v>6034.71</v>
      </c>
      <c r="F72" s="50">
        <f>VLOOKUP($A72,'Data Vlaue (Cr)'!$C:$FB,146)*100</f>
        <v>-77.900000000000006</v>
      </c>
      <c r="G72" s="49">
        <f>VLOOKUP($A72,'Data Vlaue (Cr)'!$C:$FB,43)</f>
        <v>207</v>
      </c>
      <c r="H72" s="49">
        <f>VLOOKUP($A72,'Data Vlaue (Cr)'!$C:$FB,44)</f>
        <v>405</v>
      </c>
      <c r="I72" s="49">
        <f>VLOOKUP($A72,'Data Vlaue (Cr)'!$C:$FB,46)*100</f>
        <v>-48.78</v>
      </c>
      <c r="J72" s="51">
        <f>VLOOKUP($A72,'Data Vlaue (Cr)'!$C:$FB,59)</f>
        <v>862</v>
      </c>
      <c r="K72" s="51">
        <f>VLOOKUP($A72,'Data Vlaue (Cr)'!$C:$FB,60)</f>
        <v>4074</v>
      </c>
      <c r="L72" s="51">
        <f>VLOOKUP($A72,'Data Vlaue (Cr)'!$C:$FB,62)*100</f>
        <v>-78.84</v>
      </c>
      <c r="M72" s="51">
        <f>VLOOKUP($A72,'Data Vlaue (Cr)'!$C:$FB,63)</f>
        <v>193</v>
      </c>
      <c r="N72" s="51">
        <f>VLOOKUP($A72,'Data Vlaue (Cr)'!$C:$FB,64)</f>
        <v>1187</v>
      </c>
      <c r="O72" s="51">
        <f>VLOOKUP($A72,'Data Vlaue (Cr)'!$C:$FB,66)*100</f>
        <v>-83.75</v>
      </c>
    </row>
    <row r="73" spans="1:15" x14ac:dyDescent="0.25">
      <c r="A73" s="101" t="str">
        <f>'Data Vlaue (Cr)'!C68</f>
        <v>FORTIS</v>
      </c>
      <c r="B73" s="50">
        <f>VLOOKUP($A73,'Data Vlaue (Cr)'!$C:$FB,8)</f>
        <v>966.6</v>
      </c>
      <c r="C73" s="50">
        <f>VLOOKUP($A73,'Data Vlaue (Cr)'!$C:$FB,11)*100</f>
        <v>-0.38999999999999996</v>
      </c>
      <c r="D73" s="50">
        <f>VLOOKUP($A73,'Data Vlaue (Cr)'!$C:$FB,143)</f>
        <v>653.33000000000004</v>
      </c>
      <c r="E73" s="50">
        <f>VLOOKUP($A73,'Data Vlaue (Cr)'!$C:$FB,144)</f>
        <v>2589.92</v>
      </c>
      <c r="F73" s="50">
        <f>VLOOKUP($A73,'Data Vlaue (Cr)'!$C:$FB,146)*100</f>
        <v>-74.77000000000001</v>
      </c>
      <c r="G73" s="49">
        <f>VLOOKUP($A73,'Data Vlaue (Cr)'!$C:$FB,43)</f>
        <v>240</v>
      </c>
      <c r="H73" s="49">
        <f>VLOOKUP($A73,'Data Vlaue (Cr)'!$C:$FB,44)</f>
        <v>547</v>
      </c>
      <c r="I73" s="49">
        <f>VLOOKUP($A73,'Data Vlaue (Cr)'!$C:$FB,46)*100</f>
        <v>-56.07</v>
      </c>
      <c r="J73" s="51">
        <f>VLOOKUP($A73,'Data Vlaue (Cr)'!$C:$FB,59)</f>
        <v>285</v>
      </c>
      <c r="K73" s="51">
        <f>VLOOKUP($A73,'Data Vlaue (Cr)'!$C:$FB,60)</f>
        <v>1390</v>
      </c>
      <c r="L73" s="51">
        <f>VLOOKUP($A73,'Data Vlaue (Cr)'!$C:$FB,62)*100</f>
        <v>-79.490000000000009</v>
      </c>
      <c r="M73" s="51">
        <f>VLOOKUP($A73,'Data Vlaue (Cr)'!$C:$FB,63)</f>
        <v>123</v>
      </c>
      <c r="N73" s="51">
        <f>VLOOKUP($A73,'Data Vlaue (Cr)'!$C:$FB,64)</f>
        <v>620</v>
      </c>
      <c r="O73" s="51">
        <f>VLOOKUP($A73,'Data Vlaue (Cr)'!$C:$FB,66)*100</f>
        <v>-80.14</v>
      </c>
    </row>
    <row r="74" spans="1:15" x14ac:dyDescent="0.25">
      <c r="A74" s="101" t="str">
        <f>'Data Vlaue (Cr)'!C69</f>
        <v>GAIL</v>
      </c>
      <c r="B74" s="50">
        <f>VLOOKUP($A74,'Data Vlaue (Cr)'!$C:$FB,8)</f>
        <v>167.63</v>
      </c>
      <c r="C74" s="50">
        <f>VLOOKUP($A74,'Data Vlaue (Cr)'!$C:$FB,11)*100</f>
        <v>-0.62</v>
      </c>
      <c r="D74" s="50">
        <f>VLOOKUP($A74,'Data Vlaue (Cr)'!$C:$FB,143)</f>
        <v>1571.14</v>
      </c>
      <c r="E74" s="50">
        <f>VLOOKUP($A74,'Data Vlaue (Cr)'!$C:$FB,144)</f>
        <v>6277.58</v>
      </c>
      <c r="F74" s="50">
        <f>VLOOKUP($A74,'Data Vlaue (Cr)'!$C:$FB,146)*100</f>
        <v>-74.97</v>
      </c>
      <c r="G74" s="49">
        <f>VLOOKUP($A74,'Data Vlaue (Cr)'!$C:$FB,43)</f>
        <v>512</v>
      </c>
      <c r="H74" s="49">
        <f>VLOOKUP($A74,'Data Vlaue (Cr)'!$C:$FB,44)</f>
        <v>1308</v>
      </c>
      <c r="I74" s="49">
        <f>VLOOKUP($A74,'Data Vlaue (Cr)'!$C:$FB,46)*100</f>
        <v>-60.83</v>
      </c>
      <c r="J74" s="51">
        <f>VLOOKUP($A74,'Data Vlaue (Cr)'!$C:$FB,59)</f>
        <v>606</v>
      </c>
      <c r="K74" s="51">
        <f>VLOOKUP($A74,'Data Vlaue (Cr)'!$C:$FB,60)</f>
        <v>3422</v>
      </c>
      <c r="L74" s="51">
        <f>VLOOKUP($A74,'Data Vlaue (Cr)'!$C:$FB,62)*100</f>
        <v>-82.289999999999992</v>
      </c>
      <c r="M74" s="51">
        <f>VLOOKUP($A74,'Data Vlaue (Cr)'!$C:$FB,63)</f>
        <v>438</v>
      </c>
      <c r="N74" s="51">
        <f>VLOOKUP($A74,'Data Vlaue (Cr)'!$C:$FB,64)</f>
        <v>1505</v>
      </c>
      <c r="O74" s="51">
        <f>VLOOKUP($A74,'Data Vlaue (Cr)'!$C:$FB,66)*100</f>
        <v>-70.91</v>
      </c>
    </row>
    <row r="75" spans="1:15" x14ac:dyDescent="0.25">
      <c r="A75" s="101" t="str">
        <f>'Data Vlaue (Cr)'!C70</f>
        <v>GLENMARK</v>
      </c>
      <c r="B75" s="50">
        <f>VLOOKUP($A75,'Data Vlaue (Cr)'!$C:$FB,8)</f>
        <v>2351.4</v>
      </c>
      <c r="C75" s="50">
        <f>VLOOKUP($A75,'Data Vlaue (Cr)'!$C:$FB,11)*100</f>
        <v>0.62</v>
      </c>
      <c r="D75" s="50">
        <f>VLOOKUP($A75,'Data Vlaue (Cr)'!$C:$FB,143)</f>
        <v>2421.4699999999998</v>
      </c>
      <c r="E75" s="50">
        <f>VLOOKUP($A75,'Data Vlaue (Cr)'!$C:$FB,144)</f>
        <v>6834.72</v>
      </c>
      <c r="F75" s="50">
        <f>VLOOKUP($A75,'Data Vlaue (Cr)'!$C:$FB,146)*100</f>
        <v>-64.570000000000007</v>
      </c>
      <c r="G75" s="49">
        <f>VLOOKUP($A75,'Data Vlaue (Cr)'!$C:$FB,43)</f>
        <v>670</v>
      </c>
      <c r="H75" s="49">
        <f>VLOOKUP($A75,'Data Vlaue (Cr)'!$C:$FB,44)</f>
        <v>1945</v>
      </c>
      <c r="I75" s="49">
        <f>VLOOKUP($A75,'Data Vlaue (Cr)'!$C:$FB,46)*100</f>
        <v>-65.58</v>
      </c>
      <c r="J75" s="51">
        <f>VLOOKUP($A75,'Data Vlaue (Cr)'!$C:$FB,59)</f>
        <v>1040</v>
      </c>
      <c r="K75" s="51">
        <f>VLOOKUP($A75,'Data Vlaue (Cr)'!$C:$FB,60)</f>
        <v>3295</v>
      </c>
      <c r="L75" s="51">
        <f>VLOOKUP($A75,'Data Vlaue (Cr)'!$C:$FB,62)*100</f>
        <v>-68.430000000000007</v>
      </c>
      <c r="M75" s="51">
        <f>VLOOKUP($A75,'Data Vlaue (Cr)'!$C:$FB,63)</f>
        <v>707</v>
      </c>
      <c r="N75" s="51">
        <f>VLOOKUP($A75,'Data Vlaue (Cr)'!$C:$FB,64)</f>
        <v>1595</v>
      </c>
      <c r="O75" s="51">
        <f>VLOOKUP($A75,'Data Vlaue (Cr)'!$C:$FB,66)*100</f>
        <v>-55.669999999999995</v>
      </c>
    </row>
    <row r="76" spans="1:15" x14ac:dyDescent="0.25">
      <c r="A76" s="101" t="str">
        <f>'Data Vlaue (Cr)'!C71</f>
        <v>GMRAIRPORT</v>
      </c>
      <c r="B76" s="50">
        <f>VLOOKUP($A76,'Data Vlaue (Cr)'!$C:$FB,8)</f>
        <v>96.23</v>
      </c>
      <c r="C76" s="50">
        <f>VLOOKUP($A76,'Data Vlaue (Cr)'!$C:$FB,11)*100</f>
        <v>-0.69</v>
      </c>
      <c r="D76" s="50">
        <f>VLOOKUP($A76,'Data Vlaue (Cr)'!$C:$FB,143)</f>
        <v>1077.42</v>
      </c>
      <c r="E76" s="50">
        <f>VLOOKUP($A76,'Data Vlaue (Cr)'!$C:$FB,144)</f>
        <v>1094.67</v>
      </c>
      <c r="F76" s="50">
        <f>VLOOKUP($A76,'Data Vlaue (Cr)'!$C:$FB,146)*100</f>
        <v>-1.58</v>
      </c>
      <c r="G76" s="49">
        <f>VLOOKUP($A76,'Data Vlaue (Cr)'!$C:$FB,43)</f>
        <v>534</v>
      </c>
      <c r="H76" s="49">
        <f>VLOOKUP($A76,'Data Vlaue (Cr)'!$C:$FB,44)</f>
        <v>604</v>
      </c>
      <c r="I76" s="49">
        <f>VLOOKUP($A76,'Data Vlaue (Cr)'!$C:$FB,46)*100</f>
        <v>-11.57</v>
      </c>
      <c r="J76" s="51">
        <f>VLOOKUP($A76,'Data Vlaue (Cr)'!$C:$FB,59)</f>
        <v>385</v>
      </c>
      <c r="K76" s="51">
        <f>VLOOKUP($A76,'Data Vlaue (Cr)'!$C:$FB,60)</f>
        <v>324</v>
      </c>
      <c r="L76" s="51">
        <f>VLOOKUP($A76,'Data Vlaue (Cr)'!$C:$FB,62)*100</f>
        <v>18.790000000000003</v>
      </c>
      <c r="M76" s="51">
        <f>VLOOKUP($A76,'Data Vlaue (Cr)'!$C:$FB,63)</f>
        <v>136</v>
      </c>
      <c r="N76" s="51">
        <f>VLOOKUP($A76,'Data Vlaue (Cr)'!$C:$FB,64)</f>
        <v>154</v>
      </c>
      <c r="O76" s="51">
        <f>VLOOKUP($A76,'Data Vlaue (Cr)'!$C:$FB,66)*100</f>
        <v>-11.459999999999999</v>
      </c>
    </row>
    <row r="77" spans="1:15" x14ac:dyDescent="0.25">
      <c r="A77" s="101" t="str">
        <f>'Data Vlaue (Cr)'!C72</f>
        <v>GODFRYPHLP</v>
      </c>
      <c r="B77" s="50">
        <f>VLOOKUP($A77,'Data Vlaue (Cr)'!$C:$FB,8)</f>
        <v>2298.4</v>
      </c>
      <c r="C77" s="50">
        <f>VLOOKUP($A77,'Data Vlaue (Cr)'!$C:$FB,11)*100</f>
        <v>-0.96</v>
      </c>
      <c r="D77" s="50">
        <f>VLOOKUP($A77,'Data Vlaue (Cr)'!$C:$FB,143)</f>
        <v>1405.42</v>
      </c>
      <c r="E77" s="50">
        <f>VLOOKUP($A77,'Data Vlaue (Cr)'!$C:$FB,144)</f>
        <v>2099.27</v>
      </c>
      <c r="F77" s="50">
        <f>VLOOKUP($A77,'Data Vlaue (Cr)'!$C:$FB,146)*100</f>
        <v>-33.050000000000004</v>
      </c>
      <c r="G77" s="49">
        <f>VLOOKUP($A77,'Data Vlaue (Cr)'!$C:$FB,43)</f>
        <v>368</v>
      </c>
      <c r="H77" s="49">
        <f>VLOOKUP($A77,'Data Vlaue (Cr)'!$C:$FB,44)</f>
        <v>552</v>
      </c>
      <c r="I77" s="49">
        <f>VLOOKUP($A77,'Data Vlaue (Cr)'!$C:$FB,46)*100</f>
        <v>-33.410000000000004</v>
      </c>
      <c r="J77" s="51">
        <f>VLOOKUP($A77,'Data Vlaue (Cr)'!$C:$FB,59)</f>
        <v>655</v>
      </c>
      <c r="K77" s="51">
        <f>VLOOKUP($A77,'Data Vlaue (Cr)'!$C:$FB,60)</f>
        <v>1154</v>
      </c>
      <c r="L77" s="51">
        <f>VLOOKUP($A77,'Data Vlaue (Cr)'!$C:$FB,62)*100</f>
        <v>-43.269999999999996</v>
      </c>
      <c r="M77" s="51">
        <f>VLOOKUP($A77,'Data Vlaue (Cr)'!$C:$FB,63)</f>
        <v>357</v>
      </c>
      <c r="N77" s="51">
        <f>VLOOKUP($A77,'Data Vlaue (Cr)'!$C:$FB,64)</f>
        <v>337</v>
      </c>
      <c r="O77" s="51">
        <f>VLOOKUP($A77,'Data Vlaue (Cr)'!$C:$FB,66)*100</f>
        <v>5.91</v>
      </c>
    </row>
    <row r="78" spans="1:15" x14ac:dyDescent="0.25">
      <c r="A78" s="101" t="str">
        <f>'Data Vlaue (Cr)'!C73</f>
        <v>GODREJCP</v>
      </c>
      <c r="B78" s="50">
        <f>VLOOKUP($A78,'Data Vlaue (Cr)'!$C:$FB,8)</f>
        <v>1031.8</v>
      </c>
      <c r="C78" s="50">
        <f>VLOOKUP($A78,'Data Vlaue (Cr)'!$C:$FB,11)*100</f>
        <v>1.1199999999999999</v>
      </c>
      <c r="D78" s="50">
        <f>VLOOKUP($A78,'Data Vlaue (Cr)'!$C:$FB,143)</f>
        <v>695.63</v>
      </c>
      <c r="E78" s="50">
        <f>VLOOKUP($A78,'Data Vlaue (Cr)'!$C:$FB,144)</f>
        <v>1480.88</v>
      </c>
      <c r="F78" s="50">
        <f>VLOOKUP($A78,'Data Vlaue (Cr)'!$C:$FB,146)*100</f>
        <v>-53.03</v>
      </c>
      <c r="G78" s="49">
        <f>VLOOKUP($A78,'Data Vlaue (Cr)'!$C:$FB,43)</f>
        <v>344</v>
      </c>
      <c r="H78" s="49">
        <f>VLOOKUP($A78,'Data Vlaue (Cr)'!$C:$FB,44)</f>
        <v>802</v>
      </c>
      <c r="I78" s="49">
        <f>VLOOKUP($A78,'Data Vlaue (Cr)'!$C:$FB,46)*100</f>
        <v>-57.17</v>
      </c>
      <c r="J78" s="51">
        <f>VLOOKUP($A78,'Data Vlaue (Cr)'!$C:$FB,59)</f>
        <v>212</v>
      </c>
      <c r="K78" s="51">
        <f>VLOOKUP($A78,'Data Vlaue (Cr)'!$C:$FB,60)</f>
        <v>456</v>
      </c>
      <c r="L78" s="51">
        <f>VLOOKUP($A78,'Data Vlaue (Cr)'!$C:$FB,62)*100</f>
        <v>-53.480000000000004</v>
      </c>
      <c r="M78" s="51">
        <f>VLOOKUP($A78,'Data Vlaue (Cr)'!$C:$FB,63)</f>
        <v>137</v>
      </c>
      <c r="N78" s="51">
        <f>VLOOKUP($A78,'Data Vlaue (Cr)'!$C:$FB,64)</f>
        <v>205</v>
      </c>
      <c r="O78" s="51">
        <f>VLOOKUP($A78,'Data Vlaue (Cr)'!$C:$FB,66)*100</f>
        <v>-33.119999999999997</v>
      </c>
    </row>
    <row r="79" spans="1:15" x14ac:dyDescent="0.25">
      <c r="A79" s="101" t="str">
        <f>'Data Vlaue (Cr)'!C74</f>
        <v>GODREJPROP</v>
      </c>
      <c r="B79" s="50">
        <f>VLOOKUP($A79,'Data Vlaue (Cr)'!$C:$FB,8)</f>
        <v>1760.2</v>
      </c>
      <c r="C79" s="50">
        <f>VLOOKUP($A79,'Data Vlaue (Cr)'!$C:$FB,11)*100</f>
        <v>-0.4</v>
      </c>
      <c r="D79" s="50">
        <f>VLOOKUP($A79,'Data Vlaue (Cr)'!$C:$FB,143)</f>
        <v>1358.4</v>
      </c>
      <c r="E79" s="50">
        <f>VLOOKUP($A79,'Data Vlaue (Cr)'!$C:$FB,144)</f>
        <v>2200.98</v>
      </c>
      <c r="F79" s="50">
        <f>VLOOKUP($A79,'Data Vlaue (Cr)'!$C:$FB,146)*100</f>
        <v>-38.279999999999994</v>
      </c>
      <c r="G79" s="49">
        <f>VLOOKUP($A79,'Data Vlaue (Cr)'!$C:$FB,43)</f>
        <v>491</v>
      </c>
      <c r="H79" s="49">
        <f>VLOOKUP($A79,'Data Vlaue (Cr)'!$C:$FB,44)</f>
        <v>879</v>
      </c>
      <c r="I79" s="49">
        <f>VLOOKUP($A79,'Data Vlaue (Cr)'!$C:$FB,46)*100</f>
        <v>-44.080000000000005</v>
      </c>
      <c r="J79" s="51">
        <f>VLOOKUP($A79,'Data Vlaue (Cr)'!$C:$FB,59)</f>
        <v>509</v>
      </c>
      <c r="K79" s="51">
        <f>VLOOKUP($A79,'Data Vlaue (Cr)'!$C:$FB,60)</f>
        <v>759</v>
      </c>
      <c r="L79" s="51">
        <f>VLOOKUP($A79,'Data Vlaue (Cr)'!$C:$FB,62)*100</f>
        <v>-32.97</v>
      </c>
      <c r="M79" s="51">
        <f>VLOOKUP($A79,'Data Vlaue (Cr)'!$C:$FB,63)</f>
        <v>331</v>
      </c>
      <c r="N79" s="51">
        <f>VLOOKUP($A79,'Data Vlaue (Cr)'!$C:$FB,64)</f>
        <v>553</v>
      </c>
      <c r="O79" s="51">
        <f>VLOOKUP($A79,'Data Vlaue (Cr)'!$C:$FB,66)*100</f>
        <v>-40.160000000000004</v>
      </c>
    </row>
    <row r="80" spans="1:15" x14ac:dyDescent="0.25">
      <c r="A80" s="101" t="str">
        <f>'Data Vlaue (Cr)'!C75</f>
        <v>GRASIM</v>
      </c>
      <c r="B80" s="50">
        <f>VLOOKUP($A80,'Data Vlaue (Cr)'!$C:$FB,8)</f>
        <v>3165</v>
      </c>
      <c r="C80" s="50">
        <f>VLOOKUP($A80,'Data Vlaue (Cr)'!$C:$FB,11)*100</f>
        <v>-0.21</v>
      </c>
      <c r="D80" s="50">
        <f>VLOOKUP($A80,'Data Vlaue (Cr)'!$C:$FB,143)</f>
        <v>2901.3</v>
      </c>
      <c r="E80" s="50">
        <f>VLOOKUP($A80,'Data Vlaue (Cr)'!$C:$FB,144)</f>
        <v>4638.49</v>
      </c>
      <c r="F80" s="50">
        <f>VLOOKUP($A80,'Data Vlaue (Cr)'!$C:$FB,146)*100</f>
        <v>-37.450000000000003</v>
      </c>
      <c r="G80" s="49">
        <f>VLOOKUP($A80,'Data Vlaue (Cr)'!$C:$FB,43)</f>
        <v>1019</v>
      </c>
      <c r="H80" s="49">
        <f>VLOOKUP($A80,'Data Vlaue (Cr)'!$C:$FB,44)</f>
        <v>1847</v>
      </c>
      <c r="I80" s="49">
        <f>VLOOKUP($A80,'Data Vlaue (Cr)'!$C:$FB,46)*100</f>
        <v>-44.800000000000004</v>
      </c>
      <c r="J80" s="51">
        <f>VLOOKUP($A80,'Data Vlaue (Cr)'!$C:$FB,59)</f>
        <v>1096</v>
      </c>
      <c r="K80" s="51">
        <f>VLOOKUP($A80,'Data Vlaue (Cr)'!$C:$FB,60)</f>
        <v>1534</v>
      </c>
      <c r="L80" s="51">
        <f>VLOOKUP($A80,'Data Vlaue (Cr)'!$C:$FB,62)*100</f>
        <v>-28.58</v>
      </c>
      <c r="M80" s="51">
        <f>VLOOKUP($A80,'Data Vlaue (Cr)'!$C:$FB,63)</f>
        <v>786</v>
      </c>
      <c r="N80" s="51">
        <f>VLOOKUP($A80,'Data Vlaue (Cr)'!$C:$FB,64)</f>
        <v>1284</v>
      </c>
      <c r="O80" s="51">
        <f>VLOOKUP($A80,'Data Vlaue (Cr)'!$C:$FB,66)*100</f>
        <v>-38.76</v>
      </c>
    </row>
    <row r="81" spans="1:15" x14ac:dyDescent="0.25">
      <c r="A81" s="101" t="str">
        <f>'Data Vlaue (Cr)'!C76</f>
        <v>HAL</v>
      </c>
      <c r="B81" s="50">
        <f>VLOOKUP($A81,'Data Vlaue (Cr)'!$C:$FB,8)</f>
        <v>4427.7</v>
      </c>
      <c r="C81" s="50">
        <f>VLOOKUP($A81,'Data Vlaue (Cr)'!$C:$FB,11)*100</f>
        <v>0.04</v>
      </c>
      <c r="D81" s="50">
        <f>VLOOKUP($A81,'Data Vlaue (Cr)'!$C:$FB,143)</f>
        <v>4317.55</v>
      </c>
      <c r="E81" s="50">
        <f>VLOOKUP($A81,'Data Vlaue (Cr)'!$C:$FB,144)</f>
        <v>7237.2</v>
      </c>
      <c r="F81" s="50">
        <f>VLOOKUP($A81,'Data Vlaue (Cr)'!$C:$FB,146)*100</f>
        <v>-40.339999999999996</v>
      </c>
      <c r="G81" s="49">
        <f>VLOOKUP($A81,'Data Vlaue (Cr)'!$C:$FB,43)</f>
        <v>1504</v>
      </c>
      <c r="H81" s="49">
        <f>VLOOKUP($A81,'Data Vlaue (Cr)'!$C:$FB,44)</f>
        <v>1565</v>
      </c>
      <c r="I81" s="49">
        <f>VLOOKUP($A81,'Data Vlaue (Cr)'!$C:$FB,46)*100</f>
        <v>-3.94</v>
      </c>
      <c r="J81" s="51">
        <f>VLOOKUP($A81,'Data Vlaue (Cr)'!$C:$FB,59)</f>
        <v>1761</v>
      </c>
      <c r="K81" s="51">
        <f>VLOOKUP($A81,'Data Vlaue (Cr)'!$C:$FB,60)</f>
        <v>3808</v>
      </c>
      <c r="L81" s="51">
        <f>VLOOKUP($A81,'Data Vlaue (Cr)'!$C:$FB,62)*100</f>
        <v>-53.75</v>
      </c>
      <c r="M81" s="51">
        <f>VLOOKUP($A81,'Data Vlaue (Cr)'!$C:$FB,63)</f>
        <v>989</v>
      </c>
      <c r="N81" s="51">
        <f>VLOOKUP($A81,'Data Vlaue (Cr)'!$C:$FB,64)</f>
        <v>1794</v>
      </c>
      <c r="O81" s="51">
        <f>VLOOKUP($A81,'Data Vlaue (Cr)'!$C:$FB,66)*100</f>
        <v>-44.86</v>
      </c>
    </row>
    <row r="82" spans="1:15" x14ac:dyDescent="0.25">
      <c r="A82" s="101" t="str">
        <f>'Data Vlaue (Cr)'!C77</f>
        <v>HAVELLS</v>
      </c>
      <c r="B82" s="50">
        <f>VLOOKUP($A82,'Data Vlaue (Cr)'!$C:$FB,8)</f>
        <v>1201</v>
      </c>
      <c r="C82" s="50">
        <f>VLOOKUP($A82,'Data Vlaue (Cr)'!$C:$FB,11)*100</f>
        <v>-0.22999999999999998</v>
      </c>
      <c r="D82" s="50">
        <f>VLOOKUP($A82,'Data Vlaue (Cr)'!$C:$FB,143)</f>
        <v>1319.42</v>
      </c>
      <c r="E82" s="50">
        <f>VLOOKUP($A82,'Data Vlaue (Cr)'!$C:$FB,144)</f>
        <v>1012.04</v>
      </c>
      <c r="F82" s="50">
        <f>VLOOKUP($A82,'Data Vlaue (Cr)'!$C:$FB,146)*100</f>
        <v>30.37</v>
      </c>
      <c r="G82" s="49">
        <f>VLOOKUP($A82,'Data Vlaue (Cr)'!$C:$FB,43)</f>
        <v>646</v>
      </c>
      <c r="H82" s="49">
        <f>VLOOKUP($A82,'Data Vlaue (Cr)'!$C:$FB,44)</f>
        <v>553</v>
      </c>
      <c r="I82" s="49">
        <f>VLOOKUP($A82,'Data Vlaue (Cr)'!$C:$FB,46)*100</f>
        <v>16.850000000000001</v>
      </c>
      <c r="J82" s="51">
        <f>VLOOKUP($A82,'Data Vlaue (Cr)'!$C:$FB,59)</f>
        <v>278</v>
      </c>
      <c r="K82" s="51">
        <f>VLOOKUP($A82,'Data Vlaue (Cr)'!$C:$FB,60)</f>
        <v>315</v>
      </c>
      <c r="L82" s="51">
        <f>VLOOKUP($A82,'Data Vlaue (Cr)'!$C:$FB,62)*100</f>
        <v>-11.88</v>
      </c>
      <c r="M82" s="51">
        <f>VLOOKUP($A82,'Data Vlaue (Cr)'!$C:$FB,63)</f>
        <v>380</v>
      </c>
      <c r="N82" s="51">
        <f>VLOOKUP($A82,'Data Vlaue (Cr)'!$C:$FB,64)</f>
        <v>121</v>
      </c>
      <c r="O82" s="51">
        <f>VLOOKUP($A82,'Data Vlaue (Cr)'!$C:$FB,66)*100</f>
        <v>213.64999999999998</v>
      </c>
    </row>
    <row r="83" spans="1:15" x14ac:dyDescent="0.25">
      <c r="A83" s="101" t="str">
        <f>'Data Vlaue (Cr)'!C78</f>
        <v>HCLTECH</v>
      </c>
      <c r="B83" s="50">
        <f>VLOOKUP($A83,'Data Vlaue (Cr)'!$C:$FB,8)</f>
        <v>1161.9000000000001</v>
      </c>
      <c r="C83" s="50">
        <f>VLOOKUP($A83,'Data Vlaue (Cr)'!$C:$FB,11)*100</f>
        <v>-0.33</v>
      </c>
      <c r="D83" s="50">
        <f>VLOOKUP($A83,'Data Vlaue (Cr)'!$C:$FB,143)</f>
        <v>3190.54</v>
      </c>
      <c r="E83" s="50">
        <f>VLOOKUP($A83,'Data Vlaue (Cr)'!$C:$FB,144)</f>
        <v>6796.19</v>
      </c>
      <c r="F83" s="50">
        <f>VLOOKUP($A83,'Data Vlaue (Cr)'!$C:$FB,146)*100</f>
        <v>-53.05</v>
      </c>
      <c r="G83" s="49">
        <f>VLOOKUP($A83,'Data Vlaue (Cr)'!$C:$FB,43)</f>
        <v>1125</v>
      </c>
      <c r="H83" s="49">
        <f>VLOOKUP($A83,'Data Vlaue (Cr)'!$C:$FB,44)</f>
        <v>3656</v>
      </c>
      <c r="I83" s="49">
        <f>VLOOKUP($A83,'Data Vlaue (Cr)'!$C:$FB,46)*100</f>
        <v>-69.23</v>
      </c>
      <c r="J83" s="51">
        <f>VLOOKUP($A83,'Data Vlaue (Cr)'!$C:$FB,59)</f>
        <v>1327</v>
      </c>
      <c r="K83" s="51">
        <f>VLOOKUP($A83,'Data Vlaue (Cr)'!$C:$FB,60)</f>
        <v>1965</v>
      </c>
      <c r="L83" s="51">
        <f>VLOOKUP($A83,'Data Vlaue (Cr)'!$C:$FB,62)*100</f>
        <v>-32.49</v>
      </c>
      <c r="M83" s="51">
        <f>VLOOKUP($A83,'Data Vlaue (Cr)'!$C:$FB,63)</f>
        <v>627</v>
      </c>
      <c r="N83" s="51">
        <f>VLOOKUP($A83,'Data Vlaue (Cr)'!$C:$FB,64)</f>
        <v>1028</v>
      </c>
      <c r="O83" s="51">
        <f>VLOOKUP($A83,'Data Vlaue (Cr)'!$C:$FB,66)*100</f>
        <v>-38.950000000000003</v>
      </c>
    </row>
    <row r="84" spans="1:15" x14ac:dyDescent="0.25">
      <c r="A84" s="101" t="str">
        <f>'Data Vlaue (Cr)'!C79</f>
        <v>HDFCAMC</v>
      </c>
      <c r="B84" s="50">
        <f>VLOOKUP($A84,'Data Vlaue (Cr)'!$C:$FB,8)</f>
        <v>2739.8</v>
      </c>
      <c r="C84" s="50">
        <f>VLOOKUP($A84,'Data Vlaue (Cr)'!$C:$FB,11)*100</f>
        <v>-0.66</v>
      </c>
      <c r="D84" s="50">
        <f>VLOOKUP($A84,'Data Vlaue (Cr)'!$C:$FB,143)</f>
        <v>1051.6600000000001</v>
      </c>
      <c r="E84" s="50">
        <f>VLOOKUP($A84,'Data Vlaue (Cr)'!$C:$FB,144)</f>
        <v>2960.11</v>
      </c>
      <c r="F84" s="50">
        <f>VLOOKUP($A84,'Data Vlaue (Cr)'!$C:$FB,146)*100</f>
        <v>-64.47</v>
      </c>
      <c r="G84" s="49">
        <f>VLOOKUP($A84,'Data Vlaue (Cr)'!$C:$FB,43)</f>
        <v>374</v>
      </c>
      <c r="H84" s="49">
        <f>VLOOKUP($A84,'Data Vlaue (Cr)'!$C:$FB,44)</f>
        <v>1030</v>
      </c>
      <c r="I84" s="49">
        <f>VLOOKUP($A84,'Data Vlaue (Cr)'!$C:$FB,46)*100</f>
        <v>-63.72</v>
      </c>
      <c r="J84" s="51">
        <f>VLOOKUP($A84,'Data Vlaue (Cr)'!$C:$FB,59)</f>
        <v>434</v>
      </c>
      <c r="K84" s="51">
        <f>VLOOKUP($A84,'Data Vlaue (Cr)'!$C:$FB,60)</f>
        <v>1597</v>
      </c>
      <c r="L84" s="51">
        <f>VLOOKUP($A84,'Data Vlaue (Cr)'!$C:$FB,62)*100</f>
        <v>-72.8</v>
      </c>
      <c r="M84" s="51">
        <f>VLOOKUP($A84,'Data Vlaue (Cr)'!$C:$FB,63)</f>
        <v>237</v>
      </c>
      <c r="N84" s="51">
        <f>VLOOKUP($A84,'Data Vlaue (Cr)'!$C:$FB,64)</f>
        <v>259</v>
      </c>
      <c r="O84" s="51">
        <f>VLOOKUP($A84,'Data Vlaue (Cr)'!$C:$FB,66)*100</f>
        <v>-8.18</v>
      </c>
    </row>
    <row r="85" spans="1:15" x14ac:dyDescent="0.25">
      <c r="A85" s="101" t="str">
        <f>'Data Vlaue (Cr)'!C80</f>
        <v>HDFCBANK</v>
      </c>
      <c r="B85" s="50">
        <f>VLOOKUP($A85,'Data Vlaue (Cr)'!$C:$FB,8)</f>
        <v>778.9</v>
      </c>
      <c r="C85" s="50">
        <f>VLOOKUP($A85,'Data Vlaue (Cr)'!$C:$FB,11)*100</f>
        <v>-1.01</v>
      </c>
      <c r="D85" s="50">
        <f>VLOOKUP($A85,'Data Vlaue (Cr)'!$C:$FB,143)</f>
        <v>14781.44</v>
      </c>
      <c r="E85" s="50">
        <f>VLOOKUP($A85,'Data Vlaue (Cr)'!$C:$FB,144)</f>
        <v>26326.49</v>
      </c>
      <c r="F85" s="50">
        <f>VLOOKUP($A85,'Data Vlaue (Cr)'!$C:$FB,146)*100</f>
        <v>-43.85</v>
      </c>
      <c r="G85" s="49">
        <f>VLOOKUP($A85,'Data Vlaue (Cr)'!$C:$FB,43)</f>
        <v>4184</v>
      </c>
      <c r="H85" s="49">
        <f>VLOOKUP($A85,'Data Vlaue (Cr)'!$C:$FB,44)</f>
        <v>8770</v>
      </c>
      <c r="I85" s="49">
        <f>VLOOKUP($A85,'Data Vlaue (Cr)'!$C:$FB,46)*100</f>
        <v>-52.290000000000006</v>
      </c>
      <c r="J85" s="51">
        <f>VLOOKUP($A85,'Data Vlaue (Cr)'!$C:$FB,59)</f>
        <v>6523</v>
      </c>
      <c r="K85" s="51">
        <f>VLOOKUP($A85,'Data Vlaue (Cr)'!$C:$FB,60)</f>
        <v>10872</v>
      </c>
      <c r="L85" s="51">
        <f>VLOOKUP($A85,'Data Vlaue (Cr)'!$C:$FB,62)*100</f>
        <v>-40</v>
      </c>
      <c r="M85" s="51">
        <f>VLOOKUP($A85,'Data Vlaue (Cr)'!$C:$FB,63)</f>
        <v>3599</v>
      </c>
      <c r="N85" s="51">
        <f>VLOOKUP($A85,'Data Vlaue (Cr)'!$C:$FB,64)</f>
        <v>6067</v>
      </c>
      <c r="O85" s="51">
        <f>VLOOKUP($A85,'Data Vlaue (Cr)'!$C:$FB,66)*100</f>
        <v>-40.69</v>
      </c>
    </row>
    <row r="86" spans="1:15" x14ac:dyDescent="0.25">
      <c r="A86" s="101" t="str">
        <f>'Data Vlaue (Cr)'!C81</f>
        <v>HDFCLIFE</v>
      </c>
      <c r="B86" s="50">
        <f>VLOOKUP($A86,'Data Vlaue (Cr)'!$C:$FB,8)</f>
        <v>618.85</v>
      </c>
      <c r="C86" s="50">
        <f>VLOOKUP($A86,'Data Vlaue (Cr)'!$C:$FB,11)*100</f>
        <v>-0.19</v>
      </c>
      <c r="D86" s="50">
        <f>VLOOKUP($A86,'Data Vlaue (Cr)'!$C:$FB,143)</f>
        <v>1869.35</v>
      </c>
      <c r="E86" s="50">
        <f>VLOOKUP($A86,'Data Vlaue (Cr)'!$C:$FB,144)</f>
        <v>2905.39</v>
      </c>
      <c r="F86" s="50">
        <f>VLOOKUP($A86,'Data Vlaue (Cr)'!$C:$FB,146)*100</f>
        <v>-35.659999999999997</v>
      </c>
      <c r="G86" s="49">
        <f>VLOOKUP($A86,'Data Vlaue (Cr)'!$C:$FB,43)</f>
        <v>724</v>
      </c>
      <c r="H86" s="49">
        <f>VLOOKUP($A86,'Data Vlaue (Cr)'!$C:$FB,44)</f>
        <v>1358</v>
      </c>
      <c r="I86" s="49">
        <f>VLOOKUP($A86,'Data Vlaue (Cr)'!$C:$FB,46)*100</f>
        <v>-46.660000000000004</v>
      </c>
      <c r="J86" s="51">
        <f>VLOOKUP($A86,'Data Vlaue (Cr)'!$C:$FB,59)</f>
        <v>743</v>
      </c>
      <c r="K86" s="51">
        <f>VLOOKUP($A86,'Data Vlaue (Cr)'!$C:$FB,60)</f>
        <v>961</v>
      </c>
      <c r="L86" s="51">
        <f>VLOOKUP($A86,'Data Vlaue (Cr)'!$C:$FB,62)*100</f>
        <v>-22.61</v>
      </c>
      <c r="M86" s="51">
        <f>VLOOKUP($A86,'Data Vlaue (Cr)'!$C:$FB,63)</f>
        <v>382</v>
      </c>
      <c r="N86" s="51">
        <f>VLOOKUP($A86,'Data Vlaue (Cr)'!$C:$FB,64)</f>
        <v>570</v>
      </c>
      <c r="O86" s="51">
        <f>VLOOKUP($A86,'Data Vlaue (Cr)'!$C:$FB,66)*100</f>
        <v>-32.9</v>
      </c>
    </row>
    <row r="87" spans="1:15" x14ac:dyDescent="0.25">
      <c r="A87" s="101" t="str">
        <f>'Data Vlaue (Cr)'!C82</f>
        <v>HEROMOTOCO</v>
      </c>
      <c r="B87" s="50">
        <f>VLOOKUP($A87,'Data Vlaue (Cr)'!$C:$FB,8)</f>
        <v>4983</v>
      </c>
      <c r="C87" s="50">
        <f>VLOOKUP($A87,'Data Vlaue (Cr)'!$C:$FB,11)*100</f>
        <v>0.08</v>
      </c>
      <c r="D87" s="50">
        <f>VLOOKUP($A87,'Data Vlaue (Cr)'!$C:$FB,143)</f>
        <v>3384.43</v>
      </c>
      <c r="E87" s="50">
        <f>VLOOKUP($A87,'Data Vlaue (Cr)'!$C:$FB,144)</f>
        <v>4810.2700000000004</v>
      </c>
      <c r="F87" s="50">
        <f>VLOOKUP($A87,'Data Vlaue (Cr)'!$C:$FB,146)*100</f>
        <v>-29.64</v>
      </c>
      <c r="G87" s="49">
        <f>VLOOKUP($A87,'Data Vlaue (Cr)'!$C:$FB,43)</f>
        <v>807</v>
      </c>
      <c r="H87" s="49">
        <f>VLOOKUP($A87,'Data Vlaue (Cr)'!$C:$FB,44)</f>
        <v>1277</v>
      </c>
      <c r="I87" s="49">
        <f>VLOOKUP($A87,'Data Vlaue (Cr)'!$C:$FB,46)*100</f>
        <v>-36.76</v>
      </c>
      <c r="J87" s="51">
        <f>VLOOKUP($A87,'Data Vlaue (Cr)'!$C:$FB,59)</f>
        <v>1874</v>
      </c>
      <c r="K87" s="51">
        <f>VLOOKUP($A87,'Data Vlaue (Cr)'!$C:$FB,60)</f>
        <v>2571</v>
      </c>
      <c r="L87" s="51">
        <f>VLOOKUP($A87,'Data Vlaue (Cr)'!$C:$FB,62)*100</f>
        <v>-27.139999999999997</v>
      </c>
      <c r="M87" s="51">
        <f>VLOOKUP($A87,'Data Vlaue (Cr)'!$C:$FB,63)</f>
        <v>605</v>
      </c>
      <c r="N87" s="51">
        <f>VLOOKUP($A87,'Data Vlaue (Cr)'!$C:$FB,64)</f>
        <v>856</v>
      </c>
      <c r="O87" s="51">
        <f>VLOOKUP($A87,'Data Vlaue (Cr)'!$C:$FB,66)*100</f>
        <v>-29.37</v>
      </c>
    </row>
    <row r="88" spans="1:15" x14ac:dyDescent="0.25">
      <c r="A88" s="101" t="str">
        <f>'Data Vlaue (Cr)'!C83</f>
        <v>HINDALCO</v>
      </c>
      <c r="B88" s="50">
        <f>VLOOKUP($A88,'Data Vlaue (Cr)'!$C:$FB,8)</f>
        <v>1103.8</v>
      </c>
      <c r="C88" s="50">
        <f>VLOOKUP($A88,'Data Vlaue (Cr)'!$C:$FB,11)*100</f>
        <v>0.38</v>
      </c>
      <c r="D88" s="50">
        <f>VLOOKUP($A88,'Data Vlaue (Cr)'!$C:$FB,143)</f>
        <v>4832.32</v>
      </c>
      <c r="E88" s="50">
        <f>VLOOKUP($A88,'Data Vlaue (Cr)'!$C:$FB,144)</f>
        <v>13654.28</v>
      </c>
      <c r="F88" s="50">
        <f>VLOOKUP($A88,'Data Vlaue (Cr)'!$C:$FB,146)*100</f>
        <v>-64.61</v>
      </c>
      <c r="G88" s="49">
        <f>VLOOKUP($A88,'Data Vlaue (Cr)'!$C:$FB,43)</f>
        <v>1049</v>
      </c>
      <c r="H88" s="49">
        <f>VLOOKUP($A88,'Data Vlaue (Cr)'!$C:$FB,44)</f>
        <v>2728</v>
      </c>
      <c r="I88" s="49">
        <f>VLOOKUP($A88,'Data Vlaue (Cr)'!$C:$FB,46)*100</f>
        <v>-61.56</v>
      </c>
      <c r="J88" s="51">
        <f>VLOOKUP($A88,'Data Vlaue (Cr)'!$C:$FB,59)</f>
        <v>2377</v>
      </c>
      <c r="K88" s="51">
        <f>VLOOKUP($A88,'Data Vlaue (Cr)'!$C:$FB,60)</f>
        <v>6981</v>
      </c>
      <c r="L88" s="51">
        <f>VLOOKUP($A88,'Data Vlaue (Cr)'!$C:$FB,62)*100</f>
        <v>-65.959999999999994</v>
      </c>
      <c r="M88" s="51">
        <f>VLOOKUP($A88,'Data Vlaue (Cr)'!$C:$FB,63)</f>
        <v>1362</v>
      </c>
      <c r="N88" s="51">
        <f>VLOOKUP($A88,'Data Vlaue (Cr)'!$C:$FB,64)</f>
        <v>4026</v>
      </c>
      <c r="O88" s="51">
        <f>VLOOKUP($A88,'Data Vlaue (Cr)'!$C:$FB,66)*100</f>
        <v>-66.17</v>
      </c>
    </row>
    <row r="89" spans="1:15" x14ac:dyDescent="0.25">
      <c r="A89" s="101" t="str">
        <f>'Data Vlaue (Cr)'!C84</f>
        <v>HINDPETRO</v>
      </c>
      <c r="B89" s="50">
        <f>VLOOKUP($A89,'Data Vlaue (Cr)'!$C:$FB,8)</f>
        <v>398</v>
      </c>
      <c r="C89" s="50">
        <f>VLOOKUP($A89,'Data Vlaue (Cr)'!$C:$FB,11)*100</f>
        <v>-1.3299999999999998</v>
      </c>
      <c r="D89" s="50">
        <f>VLOOKUP($A89,'Data Vlaue (Cr)'!$C:$FB,143)</f>
        <v>1407.44</v>
      </c>
      <c r="E89" s="50">
        <f>VLOOKUP($A89,'Data Vlaue (Cr)'!$C:$FB,144)</f>
        <v>4742.78</v>
      </c>
      <c r="F89" s="50">
        <f>VLOOKUP($A89,'Data Vlaue (Cr)'!$C:$FB,146)*100</f>
        <v>-70.320000000000007</v>
      </c>
      <c r="G89" s="49">
        <f>VLOOKUP($A89,'Data Vlaue (Cr)'!$C:$FB,43)</f>
        <v>456</v>
      </c>
      <c r="H89" s="49">
        <f>VLOOKUP($A89,'Data Vlaue (Cr)'!$C:$FB,44)</f>
        <v>1247</v>
      </c>
      <c r="I89" s="49">
        <f>VLOOKUP($A89,'Data Vlaue (Cr)'!$C:$FB,46)*100</f>
        <v>-63.41</v>
      </c>
      <c r="J89" s="51">
        <f>VLOOKUP($A89,'Data Vlaue (Cr)'!$C:$FB,59)</f>
        <v>534</v>
      </c>
      <c r="K89" s="51">
        <f>VLOOKUP($A89,'Data Vlaue (Cr)'!$C:$FB,60)</f>
        <v>2392</v>
      </c>
      <c r="L89" s="51">
        <f>VLOOKUP($A89,'Data Vlaue (Cr)'!$C:$FB,62)*100</f>
        <v>-77.680000000000007</v>
      </c>
      <c r="M89" s="51">
        <f>VLOOKUP($A89,'Data Vlaue (Cr)'!$C:$FB,63)</f>
        <v>394</v>
      </c>
      <c r="N89" s="51">
        <f>VLOOKUP($A89,'Data Vlaue (Cr)'!$C:$FB,64)</f>
        <v>988</v>
      </c>
      <c r="O89" s="51">
        <f>VLOOKUP($A89,'Data Vlaue (Cr)'!$C:$FB,66)*100</f>
        <v>-60.12</v>
      </c>
    </row>
    <row r="90" spans="1:15" x14ac:dyDescent="0.25">
      <c r="A90" s="101" t="str">
        <f>'Data Vlaue (Cr)'!C85</f>
        <v>HINDUNILVR</v>
      </c>
      <c r="B90" s="50">
        <f>VLOOKUP($A90,'Data Vlaue (Cr)'!$C:$FB,8)</f>
        <v>2209.4</v>
      </c>
      <c r="C90" s="50">
        <f>VLOOKUP($A90,'Data Vlaue (Cr)'!$C:$FB,11)*100</f>
        <v>0.59</v>
      </c>
      <c r="D90" s="50">
        <f>VLOOKUP($A90,'Data Vlaue (Cr)'!$C:$FB,143)</f>
        <v>3264.91</v>
      </c>
      <c r="E90" s="50">
        <f>VLOOKUP($A90,'Data Vlaue (Cr)'!$C:$FB,144)</f>
        <v>4553</v>
      </c>
      <c r="F90" s="50">
        <f>VLOOKUP($A90,'Data Vlaue (Cr)'!$C:$FB,146)*100</f>
        <v>-28.29</v>
      </c>
      <c r="G90" s="49">
        <f>VLOOKUP($A90,'Data Vlaue (Cr)'!$C:$FB,43)</f>
        <v>929</v>
      </c>
      <c r="H90" s="49">
        <f>VLOOKUP($A90,'Data Vlaue (Cr)'!$C:$FB,44)</f>
        <v>1533</v>
      </c>
      <c r="I90" s="49">
        <f>VLOOKUP($A90,'Data Vlaue (Cr)'!$C:$FB,46)*100</f>
        <v>-39.4</v>
      </c>
      <c r="J90" s="51">
        <f>VLOOKUP($A90,'Data Vlaue (Cr)'!$C:$FB,59)</f>
        <v>1415</v>
      </c>
      <c r="K90" s="51">
        <f>VLOOKUP($A90,'Data Vlaue (Cr)'!$C:$FB,60)</f>
        <v>1901</v>
      </c>
      <c r="L90" s="51">
        <f>VLOOKUP($A90,'Data Vlaue (Cr)'!$C:$FB,62)*100</f>
        <v>-25.56</v>
      </c>
      <c r="M90" s="51">
        <f>VLOOKUP($A90,'Data Vlaue (Cr)'!$C:$FB,63)</f>
        <v>849</v>
      </c>
      <c r="N90" s="51">
        <f>VLOOKUP($A90,'Data Vlaue (Cr)'!$C:$FB,64)</f>
        <v>1005</v>
      </c>
      <c r="O90" s="51">
        <f>VLOOKUP($A90,'Data Vlaue (Cr)'!$C:$FB,66)*100</f>
        <v>-15.590000000000002</v>
      </c>
    </row>
    <row r="91" spans="1:15" x14ac:dyDescent="0.25">
      <c r="A91" s="101" t="str">
        <f>'Data Vlaue (Cr)'!C86</f>
        <v>HINDZINC</v>
      </c>
      <c r="B91" s="50">
        <f>VLOOKUP($A91,'Data Vlaue (Cr)'!$C:$FB,8)</f>
        <v>647.4</v>
      </c>
      <c r="C91" s="50">
        <f>VLOOKUP($A91,'Data Vlaue (Cr)'!$C:$FB,11)*100</f>
        <v>2.0299999999999998</v>
      </c>
      <c r="D91" s="50">
        <f>VLOOKUP($A91,'Data Vlaue (Cr)'!$C:$FB,143)</f>
        <v>4057.97</v>
      </c>
      <c r="E91" s="50">
        <f>VLOOKUP($A91,'Data Vlaue (Cr)'!$C:$FB,144)</f>
        <v>4843.3</v>
      </c>
      <c r="F91" s="50">
        <f>VLOOKUP($A91,'Data Vlaue (Cr)'!$C:$FB,146)*100</f>
        <v>-16.21</v>
      </c>
      <c r="G91" s="49">
        <f>VLOOKUP($A91,'Data Vlaue (Cr)'!$C:$FB,43)</f>
        <v>1519</v>
      </c>
      <c r="H91" s="49">
        <f>VLOOKUP($A91,'Data Vlaue (Cr)'!$C:$FB,44)</f>
        <v>1302</v>
      </c>
      <c r="I91" s="49">
        <f>VLOOKUP($A91,'Data Vlaue (Cr)'!$C:$FB,46)*100</f>
        <v>16.689999999999998</v>
      </c>
      <c r="J91" s="51">
        <f>VLOOKUP($A91,'Data Vlaue (Cr)'!$C:$FB,59)</f>
        <v>1690</v>
      </c>
      <c r="K91" s="51">
        <f>VLOOKUP($A91,'Data Vlaue (Cr)'!$C:$FB,60)</f>
        <v>2651</v>
      </c>
      <c r="L91" s="51">
        <f>VLOOKUP($A91,'Data Vlaue (Cr)'!$C:$FB,62)*100</f>
        <v>-36.26</v>
      </c>
      <c r="M91" s="51">
        <f>VLOOKUP($A91,'Data Vlaue (Cr)'!$C:$FB,63)</f>
        <v>834</v>
      </c>
      <c r="N91" s="51">
        <f>VLOOKUP($A91,'Data Vlaue (Cr)'!$C:$FB,64)</f>
        <v>911</v>
      </c>
      <c r="O91" s="51">
        <f>VLOOKUP($A91,'Data Vlaue (Cr)'!$C:$FB,66)*100</f>
        <v>-8.4599999999999991</v>
      </c>
    </row>
    <row r="92" spans="1:15" x14ac:dyDescent="0.25">
      <c r="A92" s="101" t="str">
        <f>'Data Vlaue (Cr)'!C87</f>
        <v>HYUNDAI</v>
      </c>
      <c r="B92" s="50">
        <f>VLOOKUP($A92,'Data Vlaue (Cr)'!$C:$FB,8)</f>
        <v>1884</v>
      </c>
      <c r="C92" s="50">
        <f>VLOOKUP($A92,'Data Vlaue (Cr)'!$C:$FB,11)*100</f>
        <v>0.16</v>
      </c>
      <c r="D92" s="50">
        <f>VLOOKUP($A92,'Data Vlaue (Cr)'!$C:$FB,143)</f>
        <v>904.08</v>
      </c>
      <c r="E92" s="50">
        <f>VLOOKUP($A92,'Data Vlaue (Cr)'!$C:$FB,144)</f>
        <v>2547.27</v>
      </c>
      <c r="F92" s="50">
        <f>VLOOKUP($A92,'Data Vlaue (Cr)'!$C:$FB,146)*100</f>
        <v>-64.510000000000005</v>
      </c>
      <c r="G92" s="49">
        <f>VLOOKUP($A92,'Data Vlaue (Cr)'!$C:$FB,43)</f>
        <v>658</v>
      </c>
      <c r="H92" s="49">
        <f>VLOOKUP($A92,'Data Vlaue (Cr)'!$C:$FB,44)</f>
        <v>1585</v>
      </c>
      <c r="I92" s="49">
        <f>VLOOKUP($A92,'Data Vlaue (Cr)'!$C:$FB,46)*100</f>
        <v>-58.51</v>
      </c>
      <c r="J92" s="51">
        <f>VLOOKUP($A92,'Data Vlaue (Cr)'!$C:$FB,59)</f>
        <v>183</v>
      </c>
      <c r="K92" s="51">
        <f>VLOOKUP($A92,'Data Vlaue (Cr)'!$C:$FB,60)</f>
        <v>735</v>
      </c>
      <c r="L92" s="51">
        <f>VLOOKUP($A92,'Data Vlaue (Cr)'!$C:$FB,62)*100</f>
        <v>-75.070000000000007</v>
      </c>
      <c r="M92" s="51">
        <f>VLOOKUP($A92,'Data Vlaue (Cr)'!$C:$FB,63)</f>
        <v>66</v>
      </c>
      <c r="N92" s="51">
        <f>VLOOKUP($A92,'Data Vlaue (Cr)'!$C:$FB,64)</f>
        <v>225</v>
      </c>
      <c r="O92" s="51">
        <f>VLOOKUP($A92,'Data Vlaue (Cr)'!$C:$FB,66)*100</f>
        <v>-70.75</v>
      </c>
    </row>
    <row r="93" spans="1:15" x14ac:dyDescent="0.25">
      <c r="A93" s="101" t="str">
        <f>'Data Vlaue (Cr)'!C88</f>
        <v>ICICIBANK</v>
      </c>
      <c r="B93" s="50">
        <f>VLOOKUP($A93,'Data Vlaue (Cr)'!$C:$FB,8)</f>
        <v>1279.0999999999999</v>
      </c>
      <c r="C93" s="50">
        <f>VLOOKUP($A93,'Data Vlaue (Cr)'!$C:$FB,11)*100</f>
        <v>-0.98</v>
      </c>
      <c r="D93" s="50">
        <f>VLOOKUP($A93,'Data Vlaue (Cr)'!$C:$FB,143)</f>
        <v>15414.8</v>
      </c>
      <c r="E93" s="50">
        <f>VLOOKUP($A93,'Data Vlaue (Cr)'!$C:$FB,144)</f>
        <v>24551.54</v>
      </c>
      <c r="F93" s="50">
        <f>VLOOKUP($A93,'Data Vlaue (Cr)'!$C:$FB,146)*100</f>
        <v>-37.21</v>
      </c>
      <c r="G93" s="49">
        <f>VLOOKUP($A93,'Data Vlaue (Cr)'!$C:$FB,43)</f>
        <v>5986</v>
      </c>
      <c r="H93" s="49">
        <f>VLOOKUP($A93,'Data Vlaue (Cr)'!$C:$FB,44)</f>
        <v>8076</v>
      </c>
      <c r="I93" s="49">
        <f>VLOOKUP($A93,'Data Vlaue (Cr)'!$C:$FB,46)*100</f>
        <v>-25.88</v>
      </c>
      <c r="J93" s="51">
        <f>VLOOKUP($A93,'Data Vlaue (Cr)'!$C:$FB,59)</f>
        <v>5448</v>
      </c>
      <c r="K93" s="51">
        <f>VLOOKUP($A93,'Data Vlaue (Cr)'!$C:$FB,60)</f>
        <v>10357</v>
      </c>
      <c r="L93" s="51">
        <f>VLOOKUP($A93,'Data Vlaue (Cr)'!$C:$FB,62)*100</f>
        <v>-47.4</v>
      </c>
      <c r="M93" s="51">
        <f>VLOOKUP($A93,'Data Vlaue (Cr)'!$C:$FB,63)</f>
        <v>3728</v>
      </c>
      <c r="N93" s="51">
        <f>VLOOKUP($A93,'Data Vlaue (Cr)'!$C:$FB,64)</f>
        <v>6084</v>
      </c>
      <c r="O93" s="51">
        <f>VLOOKUP($A93,'Data Vlaue (Cr)'!$C:$FB,66)*100</f>
        <v>-38.72</v>
      </c>
    </row>
    <row r="94" spans="1:15" x14ac:dyDescent="0.25">
      <c r="A94" s="101" t="str">
        <f>'Data Vlaue (Cr)'!C89</f>
        <v>ICICIGI</v>
      </c>
      <c r="B94" s="50">
        <f>VLOOKUP($A94,'Data Vlaue (Cr)'!$C:$FB,8)</f>
        <v>1860.3</v>
      </c>
      <c r="C94" s="50">
        <f>VLOOKUP($A94,'Data Vlaue (Cr)'!$C:$FB,11)*100</f>
        <v>0.32</v>
      </c>
      <c r="D94" s="50">
        <f>VLOOKUP($A94,'Data Vlaue (Cr)'!$C:$FB,143)</f>
        <v>824.46</v>
      </c>
      <c r="E94" s="50">
        <f>VLOOKUP($A94,'Data Vlaue (Cr)'!$C:$FB,144)</f>
        <v>721.33</v>
      </c>
      <c r="F94" s="50">
        <f>VLOOKUP($A94,'Data Vlaue (Cr)'!$C:$FB,146)*100</f>
        <v>14.299999999999999</v>
      </c>
      <c r="G94" s="49">
        <f>VLOOKUP($A94,'Data Vlaue (Cr)'!$C:$FB,43)</f>
        <v>217</v>
      </c>
      <c r="H94" s="49">
        <f>VLOOKUP($A94,'Data Vlaue (Cr)'!$C:$FB,44)</f>
        <v>441</v>
      </c>
      <c r="I94" s="49">
        <f>VLOOKUP($A94,'Data Vlaue (Cr)'!$C:$FB,46)*100</f>
        <v>-50.7</v>
      </c>
      <c r="J94" s="51">
        <f>VLOOKUP($A94,'Data Vlaue (Cr)'!$C:$FB,59)</f>
        <v>430</v>
      </c>
      <c r="K94" s="51">
        <f>VLOOKUP($A94,'Data Vlaue (Cr)'!$C:$FB,60)</f>
        <v>232</v>
      </c>
      <c r="L94" s="51">
        <f>VLOOKUP($A94,'Data Vlaue (Cr)'!$C:$FB,62)*100</f>
        <v>85.66</v>
      </c>
      <c r="M94" s="51">
        <f>VLOOKUP($A94,'Data Vlaue (Cr)'!$C:$FB,63)</f>
        <v>172</v>
      </c>
      <c r="N94" s="51">
        <f>VLOOKUP($A94,'Data Vlaue (Cr)'!$C:$FB,64)</f>
        <v>47</v>
      </c>
      <c r="O94" s="51">
        <f>VLOOKUP($A94,'Data Vlaue (Cr)'!$C:$FB,66)*100</f>
        <v>263.88</v>
      </c>
    </row>
    <row r="95" spans="1:15" x14ac:dyDescent="0.25">
      <c r="A95" s="101" t="str">
        <f>'Data Vlaue (Cr)'!C90</f>
        <v>ICICIPRULI</v>
      </c>
      <c r="B95" s="50">
        <f>VLOOKUP($A95,'Data Vlaue (Cr)'!$C:$FB,8)</f>
        <v>522.70000000000005</v>
      </c>
      <c r="C95" s="50">
        <f>VLOOKUP($A95,'Data Vlaue (Cr)'!$C:$FB,11)*100</f>
        <v>-0.76</v>
      </c>
      <c r="D95" s="50">
        <f>VLOOKUP($A95,'Data Vlaue (Cr)'!$C:$FB,143)</f>
        <v>414.35</v>
      </c>
      <c r="E95" s="50">
        <f>VLOOKUP($A95,'Data Vlaue (Cr)'!$C:$FB,144)</f>
        <v>851.48</v>
      </c>
      <c r="F95" s="50">
        <f>VLOOKUP($A95,'Data Vlaue (Cr)'!$C:$FB,146)*100</f>
        <v>-51.339999999999996</v>
      </c>
      <c r="G95" s="49">
        <f>VLOOKUP($A95,'Data Vlaue (Cr)'!$C:$FB,43)</f>
        <v>296</v>
      </c>
      <c r="H95" s="49">
        <f>VLOOKUP($A95,'Data Vlaue (Cr)'!$C:$FB,44)</f>
        <v>519</v>
      </c>
      <c r="I95" s="49">
        <f>VLOOKUP($A95,'Data Vlaue (Cr)'!$C:$FB,46)*100</f>
        <v>-42.870000000000005</v>
      </c>
      <c r="J95" s="51">
        <f>VLOOKUP($A95,'Data Vlaue (Cr)'!$C:$FB,59)</f>
        <v>63</v>
      </c>
      <c r="K95" s="51">
        <f>VLOOKUP($A95,'Data Vlaue (Cr)'!$C:$FB,60)</f>
        <v>215</v>
      </c>
      <c r="L95" s="51">
        <f>VLOOKUP($A95,'Data Vlaue (Cr)'!$C:$FB,62)*100</f>
        <v>-70.98</v>
      </c>
      <c r="M95" s="51">
        <f>VLOOKUP($A95,'Data Vlaue (Cr)'!$C:$FB,63)</f>
        <v>53</v>
      </c>
      <c r="N95" s="51">
        <f>VLOOKUP($A95,'Data Vlaue (Cr)'!$C:$FB,64)</f>
        <v>107</v>
      </c>
      <c r="O95" s="51">
        <f>VLOOKUP($A95,'Data Vlaue (Cr)'!$C:$FB,66)*100</f>
        <v>-50.11</v>
      </c>
    </row>
    <row r="96" spans="1:15" x14ac:dyDescent="0.25">
      <c r="A96" s="101" t="str">
        <f>'Data Vlaue (Cr)'!C91</f>
        <v>IDEA</v>
      </c>
      <c r="B96" s="50">
        <f>VLOOKUP($A96,'Data Vlaue (Cr)'!$C:$FB,8)</f>
        <v>14.14</v>
      </c>
      <c r="C96" s="50">
        <f>VLOOKUP($A96,'Data Vlaue (Cr)'!$C:$FB,11)*100</f>
        <v>0.71000000000000008</v>
      </c>
      <c r="D96" s="50">
        <f>VLOOKUP($A96,'Data Vlaue (Cr)'!$C:$FB,143)</f>
        <v>6819.75</v>
      </c>
      <c r="E96" s="50">
        <f>VLOOKUP($A96,'Data Vlaue (Cr)'!$C:$FB,144)</f>
        <v>7772.91</v>
      </c>
      <c r="F96" s="50">
        <f>VLOOKUP($A96,'Data Vlaue (Cr)'!$C:$FB,146)*100</f>
        <v>-12.26</v>
      </c>
      <c r="G96" s="49">
        <f>VLOOKUP($A96,'Data Vlaue (Cr)'!$C:$FB,43)</f>
        <v>3873</v>
      </c>
      <c r="H96" s="49">
        <f>VLOOKUP($A96,'Data Vlaue (Cr)'!$C:$FB,44)</f>
        <v>4233</v>
      </c>
      <c r="I96" s="49">
        <f>VLOOKUP($A96,'Data Vlaue (Cr)'!$C:$FB,46)*100</f>
        <v>-8.51</v>
      </c>
      <c r="J96" s="51">
        <f>VLOOKUP($A96,'Data Vlaue (Cr)'!$C:$FB,59)</f>
        <v>2087</v>
      </c>
      <c r="K96" s="51">
        <f>VLOOKUP($A96,'Data Vlaue (Cr)'!$C:$FB,60)</f>
        <v>2584</v>
      </c>
      <c r="L96" s="51">
        <f>VLOOKUP($A96,'Data Vlaue (Cr)'!$C:$FB,62)*100</f>
        <v>-19.23</v>
      </c>
      <c r="M96" s="51">
        <f>VLOOKUP($A96,'Data Vlaue (Cr)'!$C:$FB,63)</f>
        <v>754</v>
      </c>
      <c r="N96" s="51">
        <f>VLOOKUP($A96,'Data Vlaue (Cr)'!$C:$FB,64)</f>
        <v>940</v>
      </c>
      <c r="O96" s="51">
        <f>VLOOKUP($A96,'Data Vlaue (Cr)'!$C:$FB,66)*100</f>
        <v>-19.79</v>
      </c>
    </row>
    <row r="97" spans="1:15" x14ac:dyDescent="0.25">
      <c r="A97" s="101" t="str">
        <f>'Data Vlaue (Cr)'!C92</f>
        <v>IDFCFIRSTB</v>
      </c>
      <c r="B97" s="50">
        <f>VLOOKUP($A97,'Data Vlaue (Cr)'!$C:$FB,8)</f>
        <v>70.22</v>
      </c>
      <c r="C97" s="50">
        <f>VLOOKUP($A97,'Data Vlaue (Cr)'!$C:$FB,11)*100</f>
        <v>1.0900000000000001</v>
      </c>
      <c r="D97" s="50">
        <f>VLOOKUP($A97,'Data Vlaue (Cr)'!$C:$FB,143)</f>
        <v>2106.17</v>
      </c>
      <c r="E97" s="50">
        <f>VLOOKUP($A97,'Data Vlaue (Cr)'!$C:$FB,144)</f>
        <v>2593.4899999999998</v>
      </c>
      <c r="F97" s="50">
        <f>VLOOKUP($A97,'Data Vlaue (Cr)'!$C:$FB,146)*100</f>
        <v>-18.790000000000003</v>
      </c>
      <c r="G97" s="49">
        <f>VLOOKUP($A97,'Data Vlaue (Cr)'!$C:$FB,43)</f>
        <v>1183</v>
      </c>
      <c r="H97" s="49">
        <f>VLOOKUP($A97,'Data Vlaue (Cr)'!$C:$FB,44)</f>
        <v>1393</v>
      </c>
      <c r="I97" s="49">
        <f>VLOOKUP($A97,'Data Vlaue (Cr)'!$C:$FB,46)*100</f>
        <v>-15.129999999999999</v>
      </c>
      <c r="J97" s="51">
        <f>VLOOKUP($A97,'Data Vlaue (Cr)'!$C:$FB,59)</f>
        <v>554</v>
      </c>
      <c r="K97" s="51">
        <f>VLOOKUP($A97,'Data Vlaue (Cr)'!$C:$FB,60)</f>
        <v>653</v>
      </c>
      <c r="L97" s="51">
        <f>VLOOKUP($A97,'Data Vlaue (Cr)'!$C:$FB,62)*100</f>
        <v>-15.18</v>
      </c>
      <c r="M97" s="51">
        <f>VLOOKUP($A97,'Data Vlaue (Cr)'!$C:$FB,63)</f>
        <v>354</v>
      </c>
      <c r="N97" s="51">
        <f>VLOOKUP($A97,'Data Vlaue (Cr)'!$C:$FB,64)</f>
        <v>559</v>
      </c>
      <c r="O97" s="51">
        <f>VLOOKUP($A97,'Data Vlaue (Cr)'!$C:$FB,66)*100</f>
        <v>-36.68</v>
      </c>
    </row>
    <row r="98" spans="1:15" x14ac:dyDescent="0.25">
      <c r="A98" s="101" t="str">
        <f>'Data Vlaue (Cr)'!C93</f>
        <v>IEX</v>
      </c>
      <c r="B98" s="50">
        <f>VLOOKUP($A98,'Data Vlaue (Cr)'!$C:$FB,8)</f>
        <v>127.47</v>
      </c>
      <c r="C98" s="50">
        <f>VLOOKUP($A98,'Data Vlaue (Cr)'!$C:$FB,11)*100</f>
        <v>-0.09</v>
      </c>
      <c r="D98" s="50">
        <f>VLOOKUP($A98,'Data Vlaue (Cr)'!$C:$FB,143)</f>
        <v>1013.18</v>
      </c>
      <c r="E98" s="50">
        <f>VLOOKUP($A98,'Data Vlaue (Cr)'!$C:$FB,144)</f>
        <v>1440.72</v>
      </c>
      <c r="F98" s="50">
        <f>VLOOKUP($A98,'Data Vlaue (Cr)'!$C:$FB,146)*100</f>
        <v>-29.68</v>
      </c>
      <c r="G98" s="49">
        <f>VLOOKUP($A98,'Data Vlaue (Cr)'!$C:$FB,43)</f>
        <v>471</v>
      </c>
      <c r="H98" s="49">
        <f>VLOOKUP($A98,'Data Vlaue (Cr)'!$C:$FB,44)</f>
        <v>777</v>
      </c>
      <c r="I98" s="49">
        <f>VLOOKUP($A98,'Data Vlaue (Cr)'!$C:$FB,46)*100</f>
        <v>-39.340000000000003</v>
      </c>
      <c r="J98" s="51">
        <f>VLOOKUP($A98,'Data Vlaue (Cr)'!$C:$FB,59)</f>
        <v>398</v>
      </c>
      <c r="K98" s="51">
        <f>VLOOKUP($A98,'Data Vlaue (Cr)'!$C:$FB,60)</f>
        <v>454</v>
      </c>
      <c r="L98" s="51">
        <f>VLOOKUP($A98,'Data Vlaue (Cr)'!$C:$FB,62)*100</f>
        <v>-12.379999999999999</v>
      </c>
      <c r="M98" s="51">
        <f>VLOOKUP($A98,'Data Vlaue (Cr)'!$C:$FB,63)</f>
        <v>120</v>
      </c>
      <c r="N98" s="51">
        <f>VLOOKUP($A98,'Data Vlaue (Cr)'!$C:$FB,64)</f>
        <v>175</v>
      </c>
      <c r="O98" s="51">
        <f>VLOOKUP($A98,'Data Vlaue (Cr)'!$C:$FB,66)*100</f>
        <v>-31.3</v>
      </c>
    </row>
    <row r="99" spans="1:15" x14ac:dyDescent="0.25">
      <c r="A99" s="101" t="str">
        <f>'Data Vlaue (Cr)'!C94</f>
        <v>INDHOTEL</v>
      </c>
      <c r="B99" s="50">
        <f>VLOOKUP($A99,'Data Vlaue (Cr)'!$C:$FB,8)</f>
        <v>657.15</v>
      </c>
      <c r="C99" s="50">
        <f>VLOOKUP($A99,'Data Vlaue (Cr)'!$C:$FB,11)*100</f>
        <v>-0.96</v>
      </c>
      <c r="D99" s="50">
        <f>VLOOKUP($A99,'Data Vlaue (Cr)'!$C:$FB,143)</f>
        <v>948.24</v>
      </c>
      <c r="E99" s="50">
        <f>VLOOKUP($A99,'Data Vlaue (Cr)'!$C:$FB,144)</f>
        <v>1537.75</v>
      </c>
      <c r="F99" s="50">
        <f>VLOOKUP($A99,'Data Vlaue (Cr)'!$C:$FB,146)*100</f>
        <v>-38.340000000000003</v>
      </c>
      <c r="G99" s="49">
        <f>VLOOKUP($A99,'Data Vlaue (Cr)'!$C:$FB,43)</f>
        <v>463</v>
      </c>
      <c r="H99" s="49">
        <f>VLOOKUP($A99,'Data Vlaue (Cr)'!$C:$FB,44)</f>
        <v>866</v>
      </c>
      <c r="I99" s="49">
        <f>VLOOKUP($A99,'Data Vlaue (Cr)'!$C:$FB,46)*100</f>
        <v>-46.57</v>
      </c>
      <c r="J99" s="51">
        <f>VLOOKUP($A99,'Data Vlaue (Cr)'!$C:$FB,59)</f>
        <v>297</v>
      </c>
      <c r="K99" s="51">
        <f>VLOOKUP($A99,'Data Vlaue (Cr)'!$C:$FB,60)</f>
        <v>385</v>
      </c>
      <c r="L99" s="51">
        <f>VLOOKUP($A99,'Data Vlaue (Cr)'!$C:$FB,62)*100</f>
        <v>-22.720000000000002</v>
      </c>
      <c r="M99" s="51">
        <f>VLOOKUP($A99,'Data Vlaue (Cr)'!$C:$FB,63)</f>
        <v>172</v>
      </c>
      <c r="N99" s="51">
        <f>VLOOKUP($A99,'Data Vlaue (Cr)'!$C:$FB,64)</f>
        <v>263</v>
      </c>
      <c r="O99" s="51">
        <f>VLOOKUP($A99,'Data Vlaue (Cr)'!$C:$FB,66)*100</f>
        <v>-34.479999999999997</v>
      </c>
    </row>
    <row r="100" spans="1:15" x14ac:dyDescent="0.25">
      <c r="A100" s="101" t="str">
        <f>'Data Vlaue (Cr)'!C95</f>
        <v>INDIANB</v>
      </c>
      <c r="B100" s="50">
        <f>VLOOKUP($A100,'Data Vlaue (Cr)'!$C:$FB,8)</f>
        <v>833.55</v>
      </c>
      <c r="C100" s="50">
        <f>VLOOKUP($A100,'Data Vlaue (Cr)'!$C:$FB,11)*100</f>
        <v>-0.79</v>
      </c>
      <c r="D100" s="50">
        <f>VLOOKUP($A100,'Data Vlaue (Cr)'!$C:$FB,143)</f>
        <v>1082.4100000000001</v>
      </c>
      <c r="E100" s="50">
        <f>VLOOKUP($A100,'Data Vlaue (Cr)'!$C:$FB,144)</f>
        <v>1962.2</v>
      </c>
      <c r="F100" s="50">
        <f>VLOOKUP($A100,'Data Vlaue (Cr)'!$C:$FB,146)*100</f>
        <v>-44.84</v>
      </c>
      <c r="G100" s="49">
        <f>VLOOKUP($A100,'Data Vlaue (Cr)'!$C:$FB,43)</f>
        <v>572</v>
      </c>
      <c r="H100" s="49">
        <f>VLOOKUP($A100,'Data Vlaue (Cr)'!$C:$FB,44)</f>
        <v>807</v>
      </c>
      <c r="I100" s="49">
        <f>VLOOKUP($A100,'Data Vlaue (Cr)'!$C:$FB,46)*100</f>
        <v>-29.07</v>
      </c>
      <c r="J100" s="51">
        <f>VLOOKUP($A100,'Data Vlaue (Cr)'!$C:$FB,59)</f>
        <v>320</v>
      </c>
      <c r="K100" s="51">
        <f>VLOOKUP($A100,'Data Vlaue (Cr)'!$C:$FB,60)</f>
        <v>798</v>
      </c>
      <c r="L100" s="51">
        <f>VLOOKUP($A100,'Data Vlaue (Cr)'!$C:$FB,62)*100</f>
        <v>-59.9</v>
      </c>
      <c r="M100" s="51">
        <f>VLOOKUP($A100,'Data Vlaue (Cr)'!$C:$FB,63)</f>
        <v>169</v>
      </c>
      <c r="N100" s="51">
        <f>VLOOKUP($A100,'Data Vlaue (Cr)'!$C:$FB,64)</f>
        <v>320</v>
      </c>
      <c r="O100" s="51">
        <f>VLOOKUP($A100,'Data Vlaue (Cr)'!$C:$FB,66)*100</f>
        <v>-47.3</v>
      </c>
    </row>
    <row r="101" spans="1:15" x14ac:dyDescent="0.25">
      <c r="A101" s="101" t="str">
        <f>'Data Vlaue (Cr)'!C96</f>
        <v>INDIAVIX</v>
      </c>
      <c r="B101" s="50">
        <f>VLOOKUP($A101,'Data Vlaue (Cr)'!$C:$FB,8)</f>
        <v>16.13</v>
      </c>
      <c r="C101" s="50">
        <f>VLOOKUP($A101,'Data Vlaue (Cr)'!$C:$FB,11)*100</f>
        <v>-3.4000000000000004</v>
      </c>
      <c r="D101" s="50">
        <f>VLOOKUP($A101,'Data Vlaue (Cr)'!$C:$FB,143)</f>
        <v>0</v>
      </c>
      <c r="E101" s="50">
        <f>VLOOKUP($A101,'Data Vlaue (Cr)'!$C:$FB,144)</f>
        <v>0</v>
      </c>
      <c r="F101" s="50">
        <f>VLOOKUP($A101,'Data Vlaue (Cr)'!$C:$FB,146)*100</f>
        <v>0</v>
      </c>
      <c r="G101" s="49">
        <f>VLOOKUP($A101,'Data Vlaue (Cr)'!$C:$FB,43)</f>
        <v>0</v>
      </c>
      <c r="H101" s="49">
        <f>VLOOKUP($A101,'Data Vlaue (Cr)'!$C:$FB,44)</f>
        <v>0</v>
      </c>
      <c r="I101" s="49">
        <f>VLOOKUP($A101,'Data Vlaue (Cr)'!$C:$FB,46)*100</f>
        <v>0</v>
      </c>
      <c r="J101" s="51">
        <f>VLOOKUP($A101,'Data Vlaue (Cr)'!$C:$FB,59)</f>
        <v>0</v>
      </c>
      <c r="K101" s="51">
        <f>VLOOKUP($A101,'Data Vlaue (Cr)'!$C:$FB,60)</f>
        <v>0</v>
      </c>
      <c r="L101" s="51">
        <f>VLOOKUP($A101,'Data Vlaue (Cr)'!$C:$FB,62)*100</f>
        <v>0</v>
      </c>
      <c r="M101" s="51">
        <f>VLOOKUP($A101,'Data Vlaue (Cr)'!$C:$FB,63)</f>
        <v>0</v>
      </c>
      <c r="N101" s="51">
        <f>VLOOKUP($A101,'Data Vlaue (Cr)'!$C:$FB,64)</f>
        <v>0</v>
      </c>
      <c r="O101" s="51">
        <f>VLOOKUP($A101,'Data Vlaue (Cr)'!$C:$FB,66)*100</f>
        <v>0</v>
      </c>
    </row>
    <row r="102" spans="1:15" x14ac:dyDescent="0.25">
      <c r="A102" s="101" t="str">
        <f>'Data Vlaue (Cr)'!C97</f>
        <v>INDIGO</v>
      </c>
      <c r="B102" s="50">
        <f>VLOOKUP($A102,'Data Vlaue (Cr)'!$C:$FB,8)</f>
        <v>4480.8</v>
      </c>
      <c r="C102" s="50">
        <f>VLOOKUP($A102,'Data Vlaue (Cr)'!$C:$FB,11)*100</f>
        <v>-0.47000000000000003</v>
      </c>
      <c r="D102" s="50">
        <f>VLOOKUP($A102,'Data Vlaue (Cr)'!$C:$FB,143)</f>
        <v>7299.06</v>
      </c>
      <c r="E102" s="50">
        <f>VLOOKUP($A102,'Data Vlaue (Cr)'!$C:$FB,144)</f>
        <v>24993.279999999999</v>
      </c>
      <c r="F102" s="50">
        <f>VLOOKUP($A102,'Data Vlaue (Cr)'!$C:$FB,146)*100</f>
        <v>-70.8</v>
      </c>
      <c r="G102" s="49">
        <f>VLOOKUP($A102,'Data Vlaue (Cr)'!$C:$FB,43)</f>
        <v>1893</v>
      </c>
      <c r="H102" s="49">
        <f>VLOOKUP($A102,'Data Vlaue (Cr)'!$C:$FB,44)</f>
        <v>2948</v>
      </c>
      <c r="I102" s="49">
        <f>VLOOKUP($A102,'Data Vlaue (Cr)'!$C:$FB,46)*100</f>
        <v>-35.770000000000003</v>
      </c>
      <c r="J102" s="51">
        <f>VLOOKUP($A102,'Data Vlaue (Cr)'!$C:$FB,59)</f>
        <v>3253</v>
      </c>
      <c r="K102" s="51">
        <f>VLOOKUP($A102,'Data Vlaue (Cr)'!$C:$FB,60)</f>
        <v>9279</v>
      </c>
      <c r="L102" s="51">
        <f>VLOOKUP($A102,'Data Vlaue (Cr)'!$C:$FB,62)*100</f>
        <v>-64.95</v>
      </c>
      <c r="M102" s="51">
        <f>VLOOKUP($A102,'Data Vlaue (Cr)'!$C:$FB,63)</f>
        <v>2089</v>
      </c>
      <c r="N102" s="51">
        <f>VLOOKUP($A102,'Data Vlaue (Cr)'!$C:$FB,64)</f>
        <v>12904</v>
      </c>
      <c r="O102" s="51">
        <f>VLOOKUP($A102,'Data Vlaue (Cr)'!$C:$FB,66)*100</f>
        <v>-83.81</v>
      </c>
    </row>
    <row r="103" spans="1:15" x14ac:dyDescent="0.25">
      <c r="A103" s="101" t="str">
        <f>'Data Vlaue (Cr)'!C98</f>
        <v>INDUSINDBK</v>
      </c>
      <c r="B103" s="50">
        <f>VLOOKUP($A103,'Data Vlaue (Cr)'!$C:$FB,8)</f>
        <v>932.3</v>
      </c>
      <c r="C103" s="50">
        <f>VLOOKUP($A103,'Data Vlaue (Cr)'!$C:$FB,11)*100</f>
        <v>0.67</v>
      </c>
      <c r="D103" s="50">
        <f>VLOOKUP($A103,'Data Vlaue (Cr)'!$C:$FB,143)</f>
        <v>1537.52</v>
      </c>
      <c r="E103" s="50">
        <f>VLOOKUP($A103,'Data Vlaue (Cr)'!$C:$FB,144)</f>
        <v>3377.3</v>
      </c>
      <c r="F103" s="50">
        <f>VLOOKUP($A103,'Data Vlaue (Cr)'!$C:$FB,146)*100</f>
        <v>-54.47</v>
      </c>
      <c r="G103" s="49">
        <f>VLOOKUP($A103,'Data Vlaue (Cr)'!$C:$FB,43)</f>
        <v>866</v>
      </c>
      <c r="H103" s="49">
        <f>VLOOKUP($A103,'Data Vlaue (Cr)'!$C:$FB,44)</f>
        <v>1786</v>
      </c>
      <c r="I103" s="49">
        <f>VLOOKUP($A103,'Data Vlaue (Cr)'!$C:$FB,46)*100</f>
        <v>-51.51</v>
      </c>
      <c r="J103" s="51">
        <f>VLOOKUP($A103,'Data Vlaue (Cr)'!$C:$FB,59)</f>
        <v>419</v>
      </c>
      <c r="K103" s="51">
        <f>VLOOKUP($A103,'Data Vlaue (Cr)'!$C:$FB,60)</f>
        <v>1029</v>
      </c>
      <c r="L103" s="51">
        <f>VLOOKUP($A103,'Data Vlaue (Cr)'!$C:$FB,62)*100</f>
        <v>-59.28</v>
      </c>
      <c r="M103" s="51">
        <f>VLOOKUP($A103,'Data Vlaue (Cr)'!$C:$FB,63)</f>
        <v>252</v>
      </c>
      <c r="N103" s="51">
        <f>VLOOKUP($A103,'Data Vlaue (Cr)'!$C:$FB,64)</f>
        <v>584</v>
      </c>
      <c r="O103" s="51">
        <f>VLOOKUP($A103,'Data Vlaue (Cr)'!$C:$FB,66)*100</f>
        <v>-56.820000000000007</v>
      </c>
    </row>
    <row r="104" spans="1:15" x14ac:dyDescent="0.25">
      <c r="A104" s="101" t="str">
        <f>'Data Vlaue (Cr)'!C99</f>
        <v>INDUSTOWER</v>
      </c>
      <c r="B104" s="50">
        <f>VLOOKUP($A104,'Data Vlaue (Cr)'!$C:$FB,8)</f>
        <v>433.25</v>
      </c>
      <c r="C104" s="50">
        <f>VLOOKUP($A104,'Data Vlaue (Cr)'!$C:$FB,11)*100</f>
        <v>-1.28</v>
      </c>
      <c r="D104" s="50">
        <f>VLOOKUP($A104,'Data Vlaue (Cr)'!$C:$FB,143)</f>
        <v>4747.5200000000004</v>
      </c>
      <c r="E104" s="50">
        <f>VLOOKUP($A104,'Data Vlaue (Cr)'!$C:$FB,144)</f>
        <v>3945.21</v>
      </c>
      <c r="F104" s="50">
        <f>VLOOKUP($A104,'Data Vlaue (Cr)'!$C:$FB,146)*100</f>
        <v>20.34</v>
      </c>
      <c r="G104" s="49">
        <f>VLOOKUP($A104,'Data Vlaue (Cr)'!$C:$FB,43)</f>
        <v>1412</v>
      </c>
      <c r="H104" s="49">
        <f>VLOOKUP($A104,'Data Vlaue (Cr)'!$C:$FB,44)</f>
        <v>1812</v>
      </c>
      <c r="I104" s="49">
        <f>VLOOKUP($A104,'Data Vlaue (Cr)'!$C:$FB,46)*100</f>
        <v>-22.08</v>
      </c>
      <c r="J104" s="51">
        <f>VLOOKUP($A104,'Data Vlaue (Cr)'!$C:$FB,59)</f>
        <v>2189</v>
      </c>
      <c r="K104" s="51">
        <f>VLOOKUP($A104,'Data Vlaue (Cr)'!$C:$FB,60)</f>
        <v>1419</v>
      </c>
      <c r="L104" s="51">
        <f>VLOOKUP($A104,'Data Vlaue (Cr)'!$C:$FB,62)*100</f>
        <v>54.22</v>
      </c>
      <c r="M104" s="51">
        <f>VLOOKUP($A104,'Data Vlaue (Cr)'!$C:$FB,63)</f>
        <v>1085</v>
      </c>
      <c r="N104" s="51">
        <f>VLOOKUP($A104,'Data Vlaue (Cr)'!$C:$FB,64)</f>
        <v>695</v>
      </c>
      <c r="O104" s="51">
        <f>VLOOKUP($A104,'Data Vlaue (Cr)'!$C:$FB,66)*100</f>
        <v>56.13</v>
      </c>
    </row>
    <row r="105" spans="1:15" x14ac:dyDescent="0.25">
      <c r="A105" s="101" t="str">
        <f>'Data Vlaue (Cr)'!C100</f>
        <v>INFY</v>
      </c>
      <c r="B105" s="50">
        <f>VLOOKUP($A105,'Data Vlaue (Cr)'!$C:$FB,8)</f>
        <v>1167.7</v>
      </c>
      <c r="C105" s="50">
        <f>VLOOKUP($A105,'Data Vlaue (Cr)'!$C:$FB,11)*100</f>
        <v>-6.9999999999999993E-2</v>
      </c>
      <c r="D105" s="50">
        <f>VLOOKUP($A105,'Data Vlaue (Cr)'!$C:$FB,143)</f>
        <v>8926.85</v>
      </c>
      <c r="E105" s="50">
        <f>VLOOKUP($A105,'Data Vlaue (Cr)'!$C:$FB,144)</f>
        <v>15951.21</v>
      </c>
      <c r="F105" s="50">
        <f>VLOOKUP($A105,'Data Vlaue (Cr)'!$C:$FB,146)*100</f>
        <v>-44.04</v>
      </c>
      <c r="G105" s="49">
        <f>VLOOKUP($A105,'Data Vlaue (Cr)'!$C:$FB,43)</f>
        <v>2698</v>
      </c>
      <c r="H105" s="49">
        <f>VLOOKUP($A105,'Data Vlaue (Cr)'!$C:$FB,44)</f>
        <v>6628</v>
      </c>
      <c r="I105" s="49">
        <f>VLOOKUP($A105,'Data Vlaue (Cr)'!$C:$FB,46)*100</f>
        <v>-59.29</v>
      </c>
      <c r="J105" s="51">
        <f>VLOOKUP($A105,'Data Vlaue (Cr)'!$C:$FB,59)</f>
        <v>3721</v>
      </c>
      <c r="K105" s="51">
        <f>VLOOKUP($A105,'Data Vlaue (Cr)'!$C:$FB,60)</f>
        <v>5606</v>
      </c>
      <c r="L105" s="51">
        <f>VLOOKUP($A105,'Data Vlaue (Cr)'!$C:$FB,62)*100</f>
        <v>-33.629999999999995</v>
      </c>
      <c r="M105" s="51">
        <f>VLOOKUP($A105,'Data Vlaue (Cr)'!$C:$FB,63)</f>
        <v>2242</v>
      </c>
      <c r="N105" s="51">
        <f>VLOOKUP($A105,'Data Vlaue (Cr)'!$C:$FB,64)</f>
        <v>3435</v>
      </c>
      <c r="O105" s="51">
        <f>VLOOKUP($A105,'Data Vlaue (Cr)'!$C:$FB,66)*100</f>
        <v>-34.74</v>
      </c>
    </row>
    <row r="106" spans="1:15" x14ac:dyDescent="0.25">
      <c r="A106" s="101" t="str">
        <f>'Data Vlaue (Cr)'!C101</f>
        <v>INOXWIND</v>
      </c>
      <c r="B106" s="50">
        <f>VLOOKUP($A106,'Data Vlaue (Cr)'!$C:$FB,8)</f>
        <v>96.22</v>
      </c>
      <c r="C106" s="50">
        <f>VLOOKUP($A106,'Data Vlaue (Cr)'!$C:$FB,11)*100</f>
        <v>-0.85000000000000009</v>
      </c>
      <c r="D106" s="50">
        <f>VLOOKUP($A106,'Data Vlaue (Cr)'!$C:$FB,143)</f>
        <v>1208.05</v>
      </c>
      <c r="E106" s="50">
        <f>VLOOKUP($A106,'Data Vlaue (Cr)'!$C:$FB,144)</f>
        <v>1152.4000000000001</v>
      </c>
      <c r="F106" s="50">
        <f>VLOOKUP($A106,'Data Vlaue (Cr)'!$C:$FB,146)*100</f>
        <v>4.83</v>
      </c>
      <c r="G106" s="49">
        <f>VLOOKUP($A106,'Data Vlaue (Cr)'!$C:$FB,43)</f>
        <v>695</v>
      </c>
      <c r="H106" s="49">
        <f>VLOOKUP($A106,'Data Vlaue (Cr)'!$C:$FB,44)</f>
        <v>637</v>
      </c>
      <c r="I106" s="49">
        <f>VLOOKUP($A106,'Data Vlaue (Cr)'!$C:$FB,46)*100</f>
        <v>9.1</v>
      </c>
      <c r="J106" s="51">
        <f>VLOOKUP($A106,'Data Vlaue (Cr)'!$C:$FB,59)</f>
        <v>390</v>
      </c>
      <c r="K106" s="51">
        <f>VLOOKUP($A106,'Data Vlaue (Cr)'!$C:$FB,60)</f>
        <v>355</v>
      </c>
      <c r="L106" s="51">
        <f>VLOOKUP($A106,'Data Vlaue (Cr)'!$C:$FB,62)*100</f>
        <v>9.69</v>
      </c>
      <c r="M106" s="51">
        <f>VLOOKUP($A106,'Data Vlaue (Cr)'!$C:$FB,63)</f>
        <v>90</v>
      </c>
      <c r="N106" s="51">
        <f>VLOOKUP($A106,'Data Vlaue (Cr)'!$C:$FB,64)</f>
        <v>127</v>
      </c>
      <c r="O106" s="51">
        <f>VLOOKUP($A106,'Data Vlaue (Cr)'!$C:$FB,66)*100</f>
        <v>-29.330000000000002</v>
      </c>
    </row>
    <row r="107" spans="1:15" x14ac:dyDescent="0.25">
      <c r="A107" s="101" t="str">
        <f>'Data Vlaue (Cr)'!C102</f>
        <v>IOC</v>
      </c>
      <c r="B107" s="50">
        <f>VLOOKUP($A107,'Data Vlaue (Cr)'!$C:$FB,8)</f>
        <v>142.38</v>
      </c>
      <c r="C107" s="50">
        <f>VLOOKUP($A107,'Data Vlaue (Cr)'!$C:$FB,11)*100</f>
        <v>-1.0900000000000001</v>
      </c>
      <c r="D107" s="50">
        <f>VLOOKUP($A107,'Data Vlaue (Cr)'!$C:$FB,143)</f>
        <v>1888.01</v>
      </c>
      <c r="E107" s="50">
        <f>VLOOKUP($A107,'Data Vlaue (Cr)'!$C:$FB,144)</f>
        <v>4388.79</v>
      </c>
      <c r="F107" s="50">
        <f>VLOOKUP($A107,'Data Vlaue (Cr)'!$C:$FB,146)*100</f>
        <v>-56.98</v>
      </c>
      <c r="G107" s="49">
        <f>VLOOKUP($A107,'Data Vlaue (Cr)'!$C:$FB,43)</f>
        <v>606</v>
      </c>
      <c r="H107" s="49">
        <f>VLOOKUP($A107,'Data Vlaue (Cr)'!$C:$FB,44)</f>
        <v>1139</v>
      </c>
      <c r="I107" s="49">
        <f>VLOOKUP($A107,'Data Vlaue (Cr)'!$C:$FB,46)*100</f>
        <v>-46.800000000000004</v>
      </c>
      <c r="J107" s="51">
        <f>VLOOKUP($A107,'Data Vlaue (Cr)'!$C:$FB,59)</f>
        <v>702</v>
      </c>
      <c r="K107" s="51">
        <f>VLOOKUP($A107,'Data Vlaue (Cr)'!$C:$FB,60)</f>
        <v>2040</v>
      </c>
      <c r="L107" s="51">
        <f>VLOOKUP($A107,'Data Vlaue (Cr)'!$C:$FB,62)*100</f>
        <v>-65.569999999999993</v>
      </c>
      <c r="M107" s="51">
        <f>VLOOKUP($A107,'Data Vlaue (Cr)'!$C:$FB,63)</f>
        <v>513</v>
      </c>
      <c r="N107" s="51">
        <f>VLOOKUP($A107,'Data Vlaue (Cr)'!$C:$FB,64)</f>
        <v>1120</v>
      </c>
      <c r="O107" s="51">
        <f>VLOOKUP($A107,'Data Vlaue (Cr)'!$C:$FB,66)*100</f>
        <v>-54.169999999999995</v>
      </c>
    </row>
    <row r="108" spans="1:15" x14ac:dyDescent="0.25">
      <c r="A108" s="101" t="str">
        <f>'Data Vlaue (Cr)'!C103</f>
        <v>IREDA</v>
      </c>
      <c r="B108" s="50">
        <f>VLOOKUP($A108,'Data Vlaue (Cr)'!$C:$FB,8)</f>
        <v>129.54</v>
      </c>
      <c r="C108" s="50">
        <f>VLOOKUP($A108,'Data Vlaue (Cr)'!$C:$FB,11)*100</f>
        <v>-0.18</v>
      </c>
      <c r="D108" s="50">
        <f>VLOOKUP($A108,'Data Vlaue (Cr)'!$C:$FB,143)</f>
        <v>491.83</v>
      </c>
      <c r="E108" s="50">
        <f>VLOOKUP($A108,'Data Vlaue (Cr)'!$C:$FB,144)</f>
        <v>1136.3399999999999</v>
      </c>
      <c r="F108" s="50">
        <f>VLOOKUP($A108,'Data Vlaue (Cr)'!$C:$FB,146)*100</f>
        <v>-56.720000000000006</v>
      </c>
      <c r="G108" s="49">
        <f>VLOOKUP($A108,'Data Vlaue (Cr)'!$C:$FB,43)</f>
        <v>243</v>
      </c>
      <c r="H108" s="49">
        <f>VLOOKUP($A108,'Data Vlaue (Cr)'!$C:$FB,44)</f>
        <v>552</v>
      </c>
      <c r="I108" s="49">
        <f>VLOOKUP($A108,'Data Vlaue (Cr)'!$C:$FB,46)*100</f>
        <v>-55.92</v>
      </c>
      <c r="J108" s="51">
        <f>VLOOKUP($A108,'Data Vlaue (Cr)'!$C:$FB,59)</f>
        <v>152</v>
      </c>
      <c r="K108" s="51">
        <f>VLOOKUP($A108,'Data Vlaue (Cr)'!$C:$FB,60)</f>
        <v>370</v>
      </c>
      <c r="L108" s="51">
        <f>VLOOKUP($A108,'Data Vlaue (Cr)'!$C:$FB,62)*100</f>
        <v>-58.940000000000005</v>
      </c>
      <c r="M108" s="51">
        <f>VLOOKUP($A108,'Data Vlaue (Cr)'!$C:$FB,63)</f>
        <v>77</v>
      </c>
      <c r="N108" s="51">
        <f>VLOOKUP($A108,'Data Vlaue (Cr)'!$C:$FB,64)</f>
        <v>168</v>
      </c>
      <c r="O108" s="51">
        <f>VLOOKUP($A108,'Data Vlaue (Cr)'!$C:$FB,66)*100</f>
        <v>-54.26</v>
      </c>
    </row>
    <row r="109" spans="1:15" x14ac:dyDescent="0.25">
      <c r="A109" s="101" t="str">
        <f>'Data Vlaue (Cr)'!C104</f>
        <v>IRFC</v>
      </c>
      <c r="B109" s="50">
        <f>VLOOKUP($A109,'Data Vlaue (Cr)'!$C:$FB,8)</f>
        <v>99.28</v>
      </c>
      <c r="C109" s="50">
        <f>VLOOKUP($A109,'Data Vlaue (Cr)'!$C:$FB,11)*100</f>
        <v>-1.1599999999999999</v>
      </c>
      <c r="D109" s="50">
        <f>VLOOKUP($A109,'Data Vlaue (Cr)'!$C:$FB,143)</f>
        <v>835.37</v>
      </c>
      <c r="E109" s="50">
        <f>VLOOKUP($A109,'Data Vlaue (Cr)'!$C:$FB,144)</f>
        <v>1357.07</v>
      </c>
      <c r="F109" s="50">
        <f>VLOOKUP($A109,'Data Vlaue (Cr)'!$C:$FB,146)*100</f>
        <v>-38.440000000000005</v>
      </c>
      <c r="G109" s="49">
        <f>VLOOKUP($A109,'Data Vlaue (Cr)'!$C:$FB,43)</f>
        <v>283</v>
      </c>
      <c r="H109" s="49">
        <f>VLOOKUP($A109,'Data Vlaue (Cr)'!$C:$FB,44)</f>
        <v>408</v>
      </c>
      <c r="I109" s="49">
        <f>VLOOKUP($A109,'Data Vlaue (Cr)'!$C:$FB,46)*100</f>
        <v>-30.620000000000005</v>
      </c>
      <c r="J109" s="51">
        <f>VLOOKUP($A109,'Data Vlaue (Cr)'!$C:$FB,59)</f>
        <v>382</v>
      </c>
      <c r="K109" s="51">
        <f>VLOOKUP($A109,'Data Vlaue (Cr)'!$C:$FB,60)</f>
        <v>689</v>
      </c>
      <c r="L109" s="51">
        <f>VLOOKUP($A109,'Data Vlaue (Cr)'!$C:$FB,62)*100</f>
        <v>-44.5</v>
      </c>
      <c r="M109" s="51">
        <f>VLOOKUP($A109,'Data Vlaue (Cr)'!$C:$FB,63)</f>
        <v>132</v>
      </c>
      <c r="N109" s="51">
        <f>VLOOKUP($A109,'Data Vlaue (Cr)'!$C:$FB,64)</f>
        <v>196</v>
      </c>
      <c r="O109" s="51">
        <f>VLOOKUP($A109,'Data Vlaue (Cr)'!$C:$FB,66)*100</f>
        <v>-32.519999999999996</v>
      </c>
    </row>
    <row r="110" spans="1:15" x14ac:dyDescent="0.25">
      <c r="A110" s="101" t="str">
        <f>'Data Vlaue (Cr)'!C105</f>
        <v>ITC</v>
      </c>
      <c r="B110" s="50">
        <f>VLOOKUP($A110,'Data Vlaue (Cr)'!$C:$FB,8)</f>
        <v>301.64999999999998</v>
      </c>
      <c r="C110" s="50">
        <f>VLOOKUP($A110,'Data Vlaue (Cr)'!$C:$FB,11)*100</f>
        <v>-0.76</v>
      </c>
      <c r="D110" s="50">
        <f>VLOOKUP($A110,'Data Vlaue (Cr)'!$C:$FB,143)</f>
        <v>5467.43</v>
      </c>
      <c r="E110" s="50">
        <f>VLOOKUP($A110,'Data Vlaue (Cr)'!$C:$FB,144)</f>
        <v>6497.43</v>
      </c>
      <c r="F110" s="50">
        <f>VLOOKUP($A110,'Data Vlaue (Cr)'!$C:$FB,146)*100</f>
        <v>-15.85</v>
      </c>
      <c r="G110" s="49">
        <f>VLOOKUP($A110,'Data Vlaue (Cr)'!$C:$FB,43)</f>
        <v>2260</v>
      </c>
      <c r="H110" s="49">
        <f>VLOOKUP($A110,'Data Vlaue (Cr)'!$C:$FB,44)</f>
        <v>2692</v>
      </c>
      <c r="I110" s="49">
        <f>VLOOKUP($A110,'Data Vlaue (Cr)'!$C:$FB,46)*100</f>
        <v>-16.04</v>
      </c>
      <c r="J110" s="51">
        <f>VLOOKUP($A110,'Data Vlaue (Cr)'!$C:$FB,59)</f>
        <v>1888</v>
      </c>
      <c r="K110" s="51">
        <f>VLOOKUP($A110,'Data Vlaue (Cr)'!$C:$FB,60)</f>
        <v>2302</v>
      </c>
      <c r="L110" s="51">
        <f>VLOOKUP($A110,'Data Vlaue (Cr)'!$C:$FB,62)*100</f>
        <v>-18</v>
      </c>
      <c r="M110" s="51">
        <f>VLOOKUP($A110,'Data Vlaue (Cr)'!$C:$FB,63)</f>
        <v>1206</v>
      </c>
      <c r="N110" s="51">
        <f>VLOOKUP($A110,'Data Vlaue (Cr)'!$C:$FB,64)</f>
        <v>1373</v>
      </c>
      <c r="O110" s="51">
        <f>VLOOKUP($A110,'Data Vlaue (Cr)'!$C:$FB,66)*100</f>
        <v>-12.16</v>
      </c>
    </row>
    <row r="111" spans="1:15" x14ac:dyDescent="0.25">
      <c r="A111" s="101" t="str">
        <f>'Data Vlaue (Cr)'!C106</f>
        <v>JINDALSTEL</v>
      </c>
      <c r="B111" s="50">
        <f>VLOOKUP($A111,'Data Vlaue (Cr)'!$C:$FB,8)</f>
        <v>1222.9000000000001</v>
      </c>
      <c r="C111" s="50">
        <f>VLOOKUP($A111,'Data Vlaue (Cr)'!$C:$FB,11)*100</f>
        <v>0.86999999999999988</v>
      </c>
      <c r="D111" s="50">
        <f>VLOOKUP($A111,'Data Vlaue (Cr)'!$C:$FB,143)</f>
        <v>1586.97</v>
      </c>
      <c r="E111" s="50">
        <f>VLOOKUP($A111,'Data Vlaue (Cr)'!$C:$FB,144)</f>
        <v>1301.0999999999999</v>
      </c>
      <c r="F111" s="50">
        <f>VLOOKUP($A111,'Data Vlaue (Cr)'!$C:$FB,146)*100</f>
        <v>21.97</v>
      </c>
      <c r="G111" s="49">
        <f>VLOOKUP($A111,'Data Vlaue (Cr)'!$C:$FB,43)</f>
        <v>1092</v>
      </c>
      <c r="H111" s="49">
        <f>VLOOKUP($A111,'Data Vlaue (Cr)'!$C:$FB,44)</f>
        <v>750</v>
      </c>
      <c r="I111" s="49">
        <f>VLOOKUP($A111,'Data Vlaue (Cr)'!$C:$FB,46)*100</f>
        <v>45.58</v>
      </c>
      <c r="J111" s="51">
        <f>VLOOKUP($A111,'Data Vlaue (Cr)'!$C:$FB,59)</f>
        <v>331</v>
      </c>
      <c r="K111" s="51">
        <f>VLOOKUP($A111,'Data Vlaue (Cr)'!$C:$FB,60)</f>
        <v>333</v>
      </c>
      <c r="L111" s="51">
        <f>VLOOKUP($A111,'Data Vlaue (Cr)'!$C:$FB,62)*100</f>
        <v>-0.54999999999999993</v>
      </c>
      <c r="M111" s="51">
        <f>VLOOKUP($A111,'Data Vlaue (Cr)'!$C:$FB,63)</f>
        <v>168</v>
      </c>
      <c r="N111" s="51">
        <f>VLOOKUP($A111,'Data Vlaue (Cr)'!$C:$FB,64)</f>
        <v>218</v>
      </c>
      <c r="O111" s="51">
        <f>VLOOKUP($A111,'Data Vlaue (Cr)'!$C:$FB,66)*100</f>
        <v>-23.03</v>
      </c>
    </row>
    <row r="112" spans="1:15" x14ac:dyDescent="0.25">
      <c r="A112" s="101" t="str">
        <f>'Data Vlaue (Cr)'!C107</f>
        <v>JIOFIN</v>
      </c>
      <c r="B112" s="50">
        <f>VLOOKUP($A112,'Data Vlaue (Cr)'!$C:$FB,8)</f>
        <v>240.67</v>
      </c>
      <c r="C112" s="50">
        <f>VLOOKUP($A112,'Data Vlaue (Cr)'!$C:$FB,11)*100</f>
        <v>-0.44</v>
      </c>
      <c r="D112" s="50">
        <f>VLOOKUP($A112,'Data Vlaue (Cr)'!$C:$FB,143)</f>
        <v>3770.53</v>
      </c>
      <c r="E112" s="50">
        <f>VLOOKUP($A112,'Data Vlaue (Cr)'!$C:$FB,144)</f>
        <v>5535.55</v>
      </c>
      <c r="F112" s="50">
        <f>VLOOKUP($A112,'Data Vlaue (Cr)'!$C:$FB,146)*100</f>
        <v>-31.89</v>
      </c>
      <c r="G112" s="49">
        <f>VLOOKUP($A112,'Data Vlaue (Cr)'!$C:$FB,43)</f>
        <v>1945</v>
      </c>
      <c r="H112" s="49">
        <f>VLOOKUP($A112,'Data Vlaue (Cr)'!$C:$FB,44)</f>
        <v>2663</v>
      </c>
      <c r="I112" s="49">
        <f>VLOOKUP($A112,'Data Vlaue (Cr)'!$C:$FB,46)*100</f>
        <v>-26.939999999999998</v>
      </c>
      <c r="J112" s="51">
        <f>VLOOKUP($A112,'Data Vlaue (Cr)'!$C:$FB,59)</f>
        <v>1073</v>
      </c>
      <c r="K112" s="51">
        <f>VLOOKUP($A112,'Data Vlaue (Cr)'!$C:$FB,60)</f>
        <v>1944</v>
      </c>
      <c r="L112" s="51">
        <f>VLOOKUP($A112,'Data Vlaue (Cr)'!$C:$FB,62)*100</f>
        <v>-44.82</v>
      </c>
      <c r="M112" s="51">
        <f>VLOOKUP($A112,'Data Vlaue (Cr)'!$C:$FB,63)</f>
        <v>623</v>
      </c>
      <c r="N112" s="51">
        <f>VLOOKUP($A112,'Data Vlaue (Cr)'!$C:$FB,64)</f>
        <v>798</v>
      </c>
      <c r="O112" s="51">
        <f>VLOOKUP($A112,'Data Vlaue (Cr)'!$C:$FB,66)*100</f>
        <v>-21.97</v>
      </c>
    </row>
    <row r="113" spans="1:15" x14ac:dyDescent="0.25">
      <c r="A113" s="101" t="str">
        <f>'Data Vlaue (Cr)'!C108</f>
        <v>JSWENERGY</v>
      </c>
      <c r="B113" s="50">
        <f>VLOOKUP($A113,'Data Vlaue (Cr)'!$C:$FB,8)</f>
        <v>576</v>
      </c>
      <c r="C113" s="50">
        <f>VLOOKUP($A113,'Data Vlaue (Cr)'!$C:$FB,11)*100</f>
        <v>3.4000000000000004</v>
      </c>
      <c r="D113" s="50">
        <f>VLOOKUP($A113,'Data Vlaue (Cr)'!$C:$FB,143)</f>
        <v>3158.92</v>
      </c>
      <c r="E113" s="50">
        <f>VLOOKUP($A113,'Data Vlaue (Cr)'!$C:$FB,144)</f>
        <v>2440.8000000000002</v>
      </c>
      <c r="F113" s="50">
        <f>VLOOKUP($A113,'Data Vlaue (Cr)'!$C:$FB,146)*100</f>
        <v>29.42</v>
      </c>
      <c r="G113" s="49">
        <f>VLOOKUP($A113,'Data Vlaue (Cr)'!$C:$FB,43)</f>
        <v>715</v>
      </c>
      <c r="H113" s="49">
        <f>VLOOKUP($A113,'Data Vlaue (Cr)'!$C:$FB,44)</f>
        <v>1058</v>
      </c>
      <c r="I113" s="49">
        <f>VLOOKUP($A113,'Data Vlaue (Cr)'!$C:$FB,46)*100</f>
        <v>-32.479999999999997</v>
      </c>
      <c r="J113" s="51">
        <f>VLOOKUP($A113,'Data Vlaue (Cr)'!$C:$FB,59)</f>
        <v>1890</v>
      </c>
      <c r="K113" s="51">
        <f>VLOOKUP($A113,'Data Vlaue (Cr)'!$C:$FB,60)</f>
        <v>930</v>
      </c>
      <c r="L113" s="51">
        <f>VLOOKUP($A113,'Data Vlaue (Cr)'!$C:$FB,62)*100</f>
        <v>103.24</v>
      </c>
      <c r="M113" s="51">
        <f>VLOOKUP($A113,'Data Vlaue (Cr)'!$C:$FB,63)</f>
        <v>537</v>
      </c>
      <c r="N113" s="51">
        <f>VLOOKUP($A113,'Data Vlaue (Cr)'!$C:$FB,64)</f>
        <v>531</v>
      </c>
      <c r="O113" s="51">
        <f>VLOOKUP($A113,'Data Vlaue (Cr)'!$C:$FB,66)*100</f>
        <v>1.08</v>
      </c>
    </row>
    <row r="114" spans="1:15" x14ac:dyDescent="0.25">
      <c r="A114" s="101" t="str">
        <f>'Data Vlaue (Cr)'!C109</f>
        <v>JSWSTEEL</v>
      </c>
      <c r="B114" s="50">
        <f>VLOOKUP($A114,'Data Vlaue (Cr)'!$C:$FB,8)</f>
        <v>1293.5999999999999</v>
      </c>
      <c r="C114" s="50">
        <f>VLOOKUP($A114,'Data Vlaue (Cr)'!$C:$FB,11)*100</f>
        <v>0.33</v>
      </c>
      <c r="D114" s="50">
        <f>VLOOKUP($A114,'Data Vlaue (Cr)'!$C:$FB,143)</f>
        <v>2060.88</v>
      </c>
      <c r="E114" s="50">
        <f>VLOOKUP($A114,'Data Vlaue (Cr)'!$C:$FB,144)</f>
        <v>2915.94</v>
      </c>
      <c r="F114" s="50">
        <f>VLOOKUP($A114,'Data Vlaue (Cr)'!$C:$FB,146)*100</f>
        <v>-29.32</v>
      </c>
      <c r="G114" s="49">
        <f>VLOOKUP($A114,'Data Vlaue (Cr)'!$C:$FB,43)</f>
        <v>952</v>
      </c>
      <c r="H114" s="49">
        <f>VLOOKUP($A114,'Data Vlaue (Cr)'!$C:$FB,44)</f>
        <v>1713</v>
      </c>
      <c r="I114" s="49">
        <f>VLOOKUP($A114,'Data Vlaue (Cr)'!$C:$FB,46)*100</f>
        <v>-44.43</v>
      </c>
      <c r="J114" s="51">
        <f>VLOOKUP($A114,'Data Vlaue (Cr)'!$C:$FB,59)</f>
        <v>748</v>
      </c>
      <c r="K114" s="51">
        <f>VLOOKUP($A114,'Data Vlaue (Cr)'!$C:$FB,60)</f>
        <v>873</v>
      </c>
      <c r="L114" s="51">
        <f>VLOOKUP($A114,'Data Vlaue (Cr)'!$C:$FB,62)*100</f>
        <v>-14.360000000000001</v>
      </c>
      <c r="M114" s="51">
        <f>VLOOKUP($A114,'Data Vlaue (Cr)'!$C:$FB,63)</f>
        <v>353</v>
      </c>
      <c r="N114" s="51">
        <f>VLOOKUP($A114,'Data Vlaue (Cr)'!$C:$FB,64)</f>
        <v>333</v>
      </c>
      <c r="O114" s="51">
        <f>VLOOKUP($A114,'Data Vlaue (Cr)'!$C:$FB,66)*100</f>
        <v>6.21</v>
      </c>
    </row>
    <row r="115" spans="1:15" x14ac:dyDescent="0.25">
      <c r="A115" s="101" t="str">
        <f>'Data Vlaue (Cr)'!C110</f>
        <v>JUBLFOOD</v>
      </c>
      <c r="B115" s="50">
        <f>VLOOKUP($A115,'Data Vlaue (Cr)'!$C:$FB,8)</f>
        <v>430.05</v>
      </c>
      <c r="C115" s="50">
        <f>VLOOKUP($A115,'Data Vlaue (Cr)'!$C:$FB,11)*100</f>
        <v>-1.9800000000000002</v>
      </c>
      <c r="D115" s="50">
        <f>VLOOKUP($A115,'Data Vlaue (Cr)'!$C:$FB,143)</f>
        <v>1376.81</v>
      </c>
      <c r="E115" s="50">
        <f>VLOOKUP($A115,'Data Vlaue (Cr)'!$C:$FB,144)</f>
        <v>2592.71</v>
      </c>
      <c r="F115" s="50">
        <f>VLOOKUP($A115,'Data Vlaue (Cr)'!$C:$FB,146)*100</f>
        <v>-46.9</v>
      </c>
      <c r="G115" s="49">
        <f>VLOOKUP($A115,'Data Vlaue (Cr)'!$C:$FB,43)</f>
        <v>664</v>
      </c>
      <c r="H115" s="49">
        <f>VLOOKUP($A115,'Data Vlaue (Cr)'!$C:$FB,44)</f>
        <v>939</v>
      </c>
      <c r="I115" s="49">
        <f>VLOOKUP($A115,'Data Vlaue (Cr)'!$C:$FB,46)*100</f>
        <v>-29.26</v>
      </c>
      <c r="J115" s="51">
        <f>VLOOKUP($A115,'Data Vlaue (Cr)'!$C:$FB,59)</f>
        <v>429</v>
      </c>
      <c r="K115" s="51">
        <f>VLOOKUP($A115,'Data Vlaue (Cr)'!$C:$FB,60)</f>
        <v>1185</v>
      </c>
      <c r="L115" s="51">
        <f>VLOOKUP($A115,'Data Vlaue (Cr)'!$C:$FB,62)*100</f>
        <v>-63.759999999999991</v>
      </c>
      <c r="M115" s="51">
        <f>VLOOKUP($A115,'Data Vlaue (Cr)'!$C:$FB,63)</f>
        <v>242</v>
      </c>
      <c r="N115" s="51">
        <f>VLOOKUP($A115,'Data Vlaue (Cr)'!$C:$FB,64)</f>
        <v>364</v>
      </c>
      <c r="O115" s="51">
        <f>VLOOKUP($A115,'Data Vlaue (Cr)'!$C:$FB,66)*100</f>
        <v>-33.550000000000004</v>
      </c>
    </row>
    <row r="116" spans="1:15" x14ac:dyDescent="0.25">
      <c r="A116" s="101" t="str">
        <f>'Data Vlaue (Cr)'!C111</f>
        <v>KALYANKJIL</v>
      </c>
      <c r="B116" s="50">
        <f>VLOOKUP($A116,'Data Vlaue (Cr)'!$C:$FB,8)</f>
        <v>355.45</v>
      </c>
      <c r="C116" s="50">
        <f>VLOOKUP($A116,'Data Vlaue (Cr)'!$C:$FB,11)*100</f>
        <v>-0.67</v>
      </c>
      <c r="D116" s="50">
        <f>VLOOKUP($A116,'Data Vlaue (Cr)'!$C:$FB,143)</f>
        <v>1234.21</v>
      </c>
      <c r="E116" s="50">
        <f>VLOOKUP($A116,'Data Vlaue (Cr)'!$C:$FB,144)</f>
        <v>2150.38</v>
      </c>
      <c r="F116" s="50">
        <f>VLOOKUP($A116,'Data Vlaue (Cr)'!$C:$FB,146)*100</f>
        <v>-42.61</v>
      </c>
      <c r="G116" s="49">
        <f>VLOOKUP($A116,'Data Vlaue (Cr)'!$C:$FB,43)</f>
        <v>577</v>
      </c>
      <c r="H116" s="49">
        <f>VLOOKUP($A116,'Data Vlaue (Cr)'!$C:$FB,44)</f>
        <v>774</v>
      </c>
      <c r="I116" s="49">
        <f>VLOOKUP($A116,'Data Vlaue (Cr)'!$C:$FB,46)*100</f>
        <v>-25.47</v>
      </c>
      <c r="J116" s="51">
        <f>VLOOKUP($A116,'Data Vlaue (Cr)'!$C:$FB,59)</f>
        <v>431</v>
      </c>
      <c r="K116" s="51">
        <f>VLOOKUP($A116,'Data Vlaue (Cr)'!$C:$FB,60)</f>
        <v>886</v>
      </c>
      <c r="L116" s="51">
        <f>VLOOKUP($A116,'Data Vlaue (Cr)'!$C:$FB,62)*100</f>
        <v>-51.38</v>
      </c>
      <c r="M116" s="51">
        <f>VLOOKUP($A116,'Data Vlaue (Cr)'!$C:$FB,63)</f>
        <v>196</v>
      </c>
      <c r="N116" s="51">
        <f>VLOOKUP($A116,'Data Vlaue (Cr)'!$C:$FB,64)</f>
        <v>442</v>
      </c>
      <c r="O116" s="51">
        <f>VLOOKUP($A116,'Data Vlaue (Cr)'!$C:$FB,66)*100</f>
        <v>-55.71</v>
      </c>
    </row>
    <row r="117" spans="1:15" x14ac:dyDescent="0.25">
      <c r="A117" s="101" t="str">
        <f>'Data Vlaue (Cr)'!C112</f>
        <v>KAYNES</v>
      </c>
      <c r="B117" s="50">
        <f>VLOOKUP($A117,'Data Vlaue (Cr)'!$C:$FB,8)</f>
        <v>3299</v>
      </c>
      <c r="C117" s="50">
        <f>VLOOKUP($A117,'Data Vlaue (Cr)'!$C:$FB,11)*100</f>
        <v>-2.98</v>
      </c>
      <c r="D117" s="50">
        <f>VLOOKUP($A117,'Data Vlaue (Cr)'!$C:$FB,143)</f>
        <v>5493.94</v>
      </c>
      <c r="E117" s="50">
        <f>VLOOKUP($A117,'Data Vlaue (Cr)'!$C:$FB,144)</f>
        <v>1125.52</v>
      </c>
      <c r="F117" s="50">
        <f>VLOOKUP($A117,'Data Vlaue (Cr)'!$C:$FB,146)*100</f>
        <v>388.13</v>
      </c>
      <c r="G117" s="49">
        <f>VLOOKUP($A117,'Data Vlaue (Cr)'!$C:$FB,43)</f>
        <v>1745</v>
      </c>
      <c r="H117" s="49">
        <f>VLOOKUP($A117,'Data Vlaue (Cr)'!$C:$FB,44)</f>
        <v>740</v>
      </c>
      <c r="I117" s="49">
        <f>VLOOKUP($A117,'Data Vlaue (Cr)'!$C:$FB,46)*100</f>
        <v>135.80000000000001</v>
      </c>
      <c r="J117" s="51">
        <f>VLOOKUP($A117,'Data Vlaue (Cr)'!$C:$FB,59)</f>
        <v>2105</v>
      </c>
      <c r="K117" s="51">
        <f>VLOOKUP($A117,'Data Vlaue (Cr)'!$C:$FB,60)</f>
        <v>224</v>
      </c>
      <c r="L117" s="51">
        <f>VLOOKUP($A117,'Data Vlaue (Cr)'!$C:$FB,62)*100</f>
        <v>839</v>
      </c>
      <c r="M117" s="51">
        <f>VLOOKUP($A117,'Data Vlaue (Cr)'!$C:$FB,63)</f>
        <v>1224</v>
      </c>
      <c r="N117" s="51">
        <f>VLOOKUP($A117,'Data Vlaue (Cr)'!$C:$FB,64)</f>
        <v>109</v>
      </c>
      <c r="O117" s="51">
        <f>VLOOKUP($A117,'Data Vlaue (Cr)'!$C:$FB,66)*100</f>
        <v>1019.05</v>
      </c>
    </row>
    <row r="118" spans="1:15" x14ac:dyDescent="0.25">
      <c r="A118" s="101" t="str">
        <f>'Data Vlaue (Cr)'!C113</f>
        <v>KEI</v>
      </c>
      <c r="B118" s="50">
        <f>VLOOKUP($A118,'Data Vlaue (Cr)'!$C:$FB,8)</f>
        <v>5305.5</v>
      </c>
      <c r="C118" s="50">
        <f>VLOOKUP($A118,'Data Vlaue (Cr)'!$C:$FB,11)*100</f>
        <v>0.44999999999999996</v>
      </c>
      <c r="D118" s="50">
        <f>VLOOKUP($A118,'Data Vlaue (Cr)'!$C:$FB,143)</f>
        <v>1285.3900000000001</v>
      </c>
      <c r="E118" s="50">
        <f>VLOOKUP($A118,'Data Vlaue (Cr)'!$C:$FB,144)</f>
        <v>2763.35</v>
      </c>
      <c r="F118" s="50">
        <f>VLOOKUP($A118,'Data Vlaue (Cr)'!$C:$FB,146)*100</f>
        <v>-53.480000000000004</v>
      </c>
      <c r="G118" s="49">
        <f>VLOOKUP($A118,'Data Vlaue (Cr)'!$C:$FB,43)</f>
        <v>272</v>
      </c>
      <c r="H118" s="49">
        <f>VLOOKUP($A118,'Data Vlaue (Cr)'!$C:$FB,44)</f>
        <v>595</v>
      </c>
      <c r="I118" s="49">
        <f>VLOOKUP($A118,'Data Vlaue (Cr)'!$C:$FB,46)*100</f>
        <v>-54.230000000000004</v>
      </c>
      <c r="J118" s="51">
        <f>VLOOKUP($A118,'Data Vlaue (Cr)'!$C:$FB,59)</f>
        <v>408</v>
      </c>
      <c r="K118" s="51">
        <f>VLOOKUP($A118,'Data Vlaue (Cr)'!$C:$FB,60)</f>
        <v>873</v>
      </c>
      <c r="L118" s="51">
        <f>VLOOKUP($A118,'Data Vlaue (Cr)'!$C:$FB,62)*100</f>
        <v>-53.239999999999995</v>
      </c>
      <c r="M118" s="51">
        <f>VLOOKUP($A118,'Data Vlaue (Cr)'!$C:$FB,63)</f>
        <v>626</v>
      </c>
      <c r="N118" s="51">
        <f>VLOOKUP($A118,'Data Vlaue (Cr)'!$C:$FB,64)</f>
        <v>1345</v>
      </c>
      <c r="O118" s="51">
        <f>VLOOKUP($A118,'Data Vlaue (Cr)'!$C:$FB,66)*100</f>
        <v>-53.43</v>
      </c>
    </row>
    <row r="119" spans="1:15" x14ac:dyDescent="0.25">
      <c r="A119" s="101" t="str">
        <f>'Data Vlaue (Cr)'!C114</f>
        <v>KFINTECH</v>
      </c>
      <c r="B119" s="50">
        <f>VLOOKUP($A119,'Data Vlaue (Cr)'!$C:$FB,8)</f>
        <v>837.05</v>
      </c>
      <c r="C119" s="50">
        <f>VLOOKUP($A119,'Data Vlaue (Cr)'!$C:$FB,11)*100</f>
        <v>0.91999999999999993</v>
      </c>
      <c r="D119" s="50">
        <f>VLOOKUP($A119,'Data Vlaue (Cr)'!$C:$FB,143)</f>
        <v>437.17</v>
      </c>
      <c r="E119" s="50">
        <f>VLOOKUP($A119,'Data Vlaue (Cr)'!$C:$FB,144)</f>
        <v>710.11</v>
      </c>
      <c r="F119" s="50">
        <f>VLOOKUP($A119,'Data Vlaue (Cr)'!$C:$FB,146)*100</f>
        <v>-38.440000000000005</v>
      </c>
      <c r="G119" s="49">
        <f>VLOOKUP($A119,'Data Vlaue (Cr)'!$C:$FB,43)</f>
        <v>260</v>
      </c>
      <c r="H119" s="49">
        <f>VLOOKUP($A119,'Data Vlaue (Cr)'!$C:$FB,44)</f>
        <v>444</v>
      </c>
      <c r="I119" s="49">
        <f>VLOOKUP($A119,'Data Vlaue (Cr)'!$C:$FB,46)*100</f>
        <v>-41.370000000000005</v>
      </c>
      <c r="J119" s="51">
        <f>VLOOKUP($A119,'Data Vlaue (Cr)'!$C:$FB,59)</f>
        <v>102</v>
      </c>
      <c r="K119" s="51">
        <f>VLOOKUP($A119,'Data Vlaue (Cr)'!$C:$FB,60)</f>
        <v>189</v>
      </c>
      <c r="L119" s="51">
        <f>VLOOKUP($A119,'Data Vlaue (Cr)'!$C:$FB,62)*100</f>
        <v>-45.87</v>
      </c>
      <c r="M119" s="51">
        <f>VLOOKUP($A119,'Data Vlaue (Cr)'!$C:$FB,63)</f>
        <v>69</v>
      </c>
      <c r="N119" s="51">
        <f>VLOOKUP($A119,'Data Vlaue (Cr)'!$C:$FB,64)</f>
        <v>76</v>
      </c>
      <c r="O119" s="51">
        <f>VLOOKUP($A119,'Data Vlaue (Cr)'!$C:$FB,66)*100</f>
        <v>-8.34</v>
      </c>
    </row>
    <row r="120" spans="1:15" x14ac:dyDescent="0.25">
      <c r="A120" s="101" t="str">
        <f>'Data Vlaue (Cr)'!C115</f>
        <v>KOTAKBANK</v>
      </c>
      <c r="B120" s="50">
        <f>VLOOKUP($A120,'Data Vlaue (Cr)'!$C:$FB,8)</f>
        <v>388.65</v>
      </c>
      <c r="C120" s="50">
        <f>VLOOKUP($A120,'Data Vlaue (Cr)'!$C:$FB,11)*100</f>
        <v>-1.0699999999999998</v>
      </c>
      <c r="D120" s="50">
        <f>VLOOKUP($A120,'Data Vlaue (Cr)'!$C:$FB,143)</f>
        <v>3736.97</v>
      </c>
      <c r="E120" s="50">
        <f>VLOOKUP($A120,'Data Vlaue (Cr)'!$C:$FB,144)</f>
        <v>8427.93</v>
      </c>
      <c r="F120" s="50">
        <f>VLOOKUP($A120,'Data Vlaue (Cr)'!$C:$FB,146)*100</f>
        <v>-55.66</v>
      </c>
      <c r="G120" s="49">
        <f>VLOOKUP($A120,'Data Vlaue (Cr)'!$C:$FB,43)</f>
        <v>1551</v>
      </c>
      <c r="H120" s="49">
        <f>VLOOKUP($A120,'Data Vlaue (Cr)'!$C:$FB,44)</f>
        <v>3329</v>
      </c>
      <c r="I120" s="49">
        <f>VLOOKUP($A120,'Data Vlaue (Cr)'!$C:$FB,46)*100</f>
        <v>-53.400000000000006</v>
      </c>
      <c r="J120" s="51">
        <f>VLOOKUP($A120,'Data Vlaue (Cr)'!$C:$FB,59)</f>
        <v>1291</v>
      </c>
      <c r="K120" s="51">
        <f>VLOOKUP($A120,'Data Vlaue (Cr)'!$C:$FB,60)</f>
        <v>3449</v>
      </c>
      <c r="L120" s="51">
        <f>VLOOKUP($A120,'Data Vlaue (Cr)'!$C:$FB,62)*100</f>
        <v>-62.59</v>
      </c>
      <c r="M120" s="51">
        <f>VLOOKUP($A120,'Data Vlaue (Cr)'!$C:$FB,63)</f>
        <v>863</v>
      </c>
      <c r="N120" s="51">
        <f>VLOOKUP($A120,'Data Vlaue (Cr)'!$C:$FB,64)</f>
        <v>1552</v>
      </c>
      <c r="O120" s="51">
        <f>VLOOKUP($A120,'Data Vlaue (Cr)'!$C:$FB,66)*100</f>
        <v>-44.43</v>
      </c>
    </row>
    <row r="121" spans="1:15" x14ac:dyDescent="0.25">
      <c r="A121" s="101" t="str">
        <f>'Data Vlaue (Cr)'!C116</f>
        <v>KPITTECH</v>
      </c>
      <c r="B121" s="50">
        <f>VLOOKUP($A121,'Data Vlaue (Cr)'!$C:$FB,8)</f>
        <v>784.7</v>
      </c>
      <c r="C121" s="50">
        <f>VLOOKUP($A121,'Data Vlaue (Cr)'!$C:$FB,11)*100</f>
        <v>3.71</v>
      </c>
      <c r="D121" s="50">
        <f>VLOOKUP($A121,'Data Vlaue (Cr)'!$C:$FB,143)</f>
        <v>1362.05</v>
      </c>
      <c r="E121" s="50">
        <f>VLOOKUP($A121,'Data Vlaue (Cr)'!$C:$FB,144)</f>
        <v>1821.76</v>
      </c>
      <c r="F121" s="50">
        <f>VLOOKUP($A121,'Data Vlaue (Cr)'!$C:$FB,146)*100</f>
        <v>-25.230000000000004</v>
      </c>
      <c r="G121" s="49">
        <f>VLOOKUP($A121,'Data Vlaue (Cr)'!$C:$FB,43)</f>
        <v>414</v>
      </c>
      <c r="H121" s="49">
        <f>VLOOKUP($A121,'Data Vlaue (Cr)'!$C:$FB,44)</f>
        <v>546</v>
      </c>
      <c r="I121" s="49">
        <f>VLOOKUP($A121,'Data Vlaue (Cr)'!$C:$FB,46)*100</f>
        <v>-24.12</v>
      </c>
      <c r="J121" s="51">
        <f>VLOOKUP($A121,'Data Vlaue (Cr)'!$C:$FB,59)</f>
        <v>739</v>
      </c>
      <c r="K121" s="51">
        <f>VLOOKUP($A121,'Data Vlaue (Cr)'!$C:$FB,60)</f>
        <v>976</v>
      </c>
      <c r="L121" s="51">
        <f>VLOOKUP($A121,'Data Vlaue (Cr)'!$C:$FB,62)*100</f>
        <v>-24.279999999999998</v>
      </c>
      <c r="M121" s="51">
        <f>VLOOKUP($A121,'Data Vlaue (Cr)'!$C:$FB,63)</f>
        <v>176</v>
      </c>
      <c r="N121" s="51">
        <f>VLOOKUP($A121,'Data Vlaue (Cr)'!$C:$FB,64)</f>
        <v>278</v>
      </c>
      <c r="O121" s="51">
        <f>VLOOKUP($A121,'Data Vlaue (Cr)'!$C:$FB,66)*100</f>
        <v>-36.5</v>
      </c>
    </row>
    <row r="122" spans="1:15" x14ac:dyDescent="0.25">
      <c r="A122" s="101" t="str">
        <f>'Data Vlaue (Cr)'!C117</f>
        <v>LAURUSLABS</v>
      </c>
      <c r="B122" s="50">
        <f>VLOOKUP($A122,'Data Vlaue (Cr)'!$C:$FB,8)</f>
        <v>1373.9</v>
      </c>
      <c r="C122" s="50">
        <f>VLOOKUP($A122,'Data Vlaue (Cr)'!$C:$FB,11)*100</f>
        <v>1.3</v>
      </c>
      <c r="D122" s="50">
        <f>VLOOKUP($A122,'Data Vlaue (Cr)'!$C:$FB,143)</f>
        <v>2830.71</v>
      </c>
      <c r="E122" s="50">
        <f>VLOOKUP($A122,'Data Vlaue (Cr)'!$C:$FB,144)</f>
        <v>3237.48</v>
      </c>
      <c r="F122" s="50">
        <f>VLOOKUP($A122,'Data Vlaue (Cr)'!$C:$FB,146)*100</f>
        <v>-12.559999999999999</v>
      </c>
      <c r="G122" s="49">
        <f>VLOOKUP($A122,'Data Vlaue (Cr)'!$C:$FB,43)</f>
        <v>1041</v>
      </c>
      <c r="H122" s="49">
        <f>VLOOKUP($A122,'Data Vlaue (Cr)'!$C:$FB,44)</f>
        <v>1525</v>
      </c>
      <c r="I122" s="49">
        <f>VLOOKUP($A122,'Data Vlaue (Cr)'!$C:$FB,46)*100</f>
        <v>-31.71</v>
      </c>
      <c r="J122" s="51">
        <f>VLOOKUP($A122,'Data Vlaue (Cr)'!$C:$FB,59)</f>
        <v>1003</v>
      </c>
      <c r="K122" s="51">
        <f>VLOOKUP($A122,'Data Vlaue (Cr)'!$C:$FB,60)</f>
        <v>930</v>
      </c>
      <c r="L122" s="51">
        <f>VLOOKUP($A122,'Data Vlaue (Cr)'!$C:$FB,62)*100</f>
        <v>7.89</v>
      </c>
      <c r="M122" s="51">
        <f>VLOOKUP($A122,'Data Vlaue (Cr)'!$C:$FB,63)</f>
        <v>819</v>
      </c>
      <c r="N122" s="51">
        <f>VLOOKUP($A122,'Data Vlaue (Cr)'!$C:$FB,64)</f>
        <v>848</v>
      </c>
      <c r="O122" s="51">
        <f>VLOOKUP($A122,'Data Vlaue (Cr)'!$C:$FB,66)*100</f>
        <v>-3.4299999999999997</v>
      </c>
    </row>
    <row r="123" spans="1:15" x14ac:dyDescent="0.25">
      <c r="A123" s="101" t="str">
        <f>'Data Vlaue (Cr)'!C118</f>
        <v>LICHSGFIN</v>
      </c>
      <c r="B123" s="50">
        <f>VLOOKUP($A123,'Data Vlaue (Cr)'!$C:$FB,8)</f>
        <v>544.15</v>
      </c>
      <c r="C123" s="50">
        <f>VLOOKUP($A123,'Data Vlaue (Cr)'!$C:$FB,11)*100</f>
        <v>0.13</v>
      </c>
      <c r="D123" s="50">
        <f>VLOOKUP($A123,'Data Vlaue (Cr)'!$C:$FB,143)</f>
        <v>960.47</v>
      </c>
      <c r="E123" s="50">
        <f>VLOOKUP($A123,'Data Vlaue (Cr)'!$C:$FB,144)</f>
        <v>1989.51</v>
      </c>
      <c r="F123" s="50">
        <f>VLOOKUP($A123,'Data Vlaue (Cr)'!$C:$FB,146)*100</f>
        <v>-51.72</v>
      </c>
      <c r="G123" s="49">
        <f>VLOOKUP($A123,'Data Vlaue (Cr)'!$C:$FB,43)</f>
        <v>608</v>
      </c>
      <c r="H123" s="49">
        <f>VLOOKUP($A123,'Data Vlaue (Cr)'!$C:$FB,44)</f>
        <v>1449</v>
      </c>
      <c r="I123" s="49">
        <f>VLOOKUP($A123,'Data Vlaue (Cr)'!$C:$FB,46)*100</f>
        <v>-58.01</v>
      </c>
      <c r="J123" s="51">
        <f>VLOOKUP($A123,'Data Vlaue (Cr)'!$C:$FB,59)</f>
        <v>207</v>
      </c>
      <c r="K123" s="51">
        <f>VLOOKUP($A123,'Data Vlaue (Cr)'!$C:$FB,60)</f>
        <v>355</v>
      </c>
      <c r="L123" s="51">
        <f>VLOOKUP($A123,'Data Vlaue (Cr)'!$C:$FB,62)*100</f>
        <v>-41.67</v>
      </c>
      <c r="M123" s="51">
        <f>VLOOKUP($A123,'Data Vlaue (Cr)'!$C:$FB,63)</f>
        <v>140</v>
      </c>
      <c r="N123" s="51">
        <f>VLOOKUP($A123,'Data Vlaue (Cr)'!$C:$FB,64)</f>
        <v>184</v>
      </c>
      <c r="O123" s="51">
        <f>VLOOKUP($A123,'Data Vlaue (Cr)'!$C:$FB,66)*100</f>
        <v>-24</v>
      </c>
    </row>
    <row r="124" spans="1:15" x14ac:dyDescent="0.25">
      <c r="A124" s="101" t="str">
        <f>'Data Vlaue (Cr)'!C119</f>
        <v>LICI</v>
      </c>
      <c r="B124" s="50">
        <f>VLOOKUP($A124,'Data Vlaue (Cr)'!$C:$FB,8)</f>
        <v>854.9</v>
      </c>
      <c r="C124" s="50">
        <f>VLOOKUP($A124,'Data Vlaue (Cr)'!$C:$FB,11)*100</f>
        <v>2.1</v>
      </c>
      <c r="D124" s="50">
        <f>VLOOKUP($A124,'Data Vlaue (Cr)'!$C:$FB,143)</f>
        <v>2452.48</v>
      </c>
      <c r="E124" s="50">
        <f>VLOOKUP($A124,'Data Vlaue (Cr)'!$C:$FB,144)</f>
        <v>5263.27</v>
      </c>
      <c r="F124" s="50">
        <f>VLOOKUP($A124,'Data Vlaue (Cr)'!$C:$FB,146)*100</f>
        <v>-53.400000000000006</v>
      </c>
      <c r="G124" s="49">
        <f>VLOOKUP($A124,'Data Vlaue (Cr)'!$C:$FB,43)</f>
        <v>581</v>
      </c>
      <c r="H124" s="49">
        <f>VLOOKUP($A124,'Data Vlaue (Cr)'!$C:$FB,44)</f>
        <v>1059</v>
      </c>
      <c r="I124" s="49">
        <f>VLOOKUP($A124,'Data Vlaue (Cr)'!$C:$FB,46)*100</f>
        <v>-45.15</v>
      </c>
      <c r="J124" s="51">
        <f>VLOOKUP($A124,'Data Vlaue (Cr)'!$C:$FB,59)</f>
        <v>1389</v>
      </c>
      <c r="K124" s="51">
        <f>VLOOKUP($A124,'Data Vlaue (Cr)'!$C:$FB,60)</f>
        <v>3209</v>
      </c>
      <c r="L124" s="51">
        <f>VLOOKUP($A124,'Data Vlaue (Cr)'!$C:$FB,62)*100</f>
        <v>-56.710000000000008</v>
      </c>
      <c r="M124" s="51">
        <f>VLOOKUP($A124,'Data Vlaue (Cr)'!$C:$FB,63)</f>
        <v>477</v>
      </c>
      <c r="N124" s="51">
        <f>VLOOKUP($A124,'Data Vlaue (Cr)'!$C:$FB,64)</f>
        <v>1081</v>
      </c>
      <c r="O124" s="51">
        <f>VLOOKUP($A124,'Data Vlaue (Cr)'!$C:$FB,66)*100</f>
        <v>-55.87</v>
      </c>
    </row>
    <row r="125" spans="1:15" x14ac:dyDescent="0.25">
      <c r="A125" s="101" t="str">
        <f>'Data Vlaue (Cr)'!C120</f>
        <v>LODHA</v>
      </c>
      <c r="B125" s="50">
        <f>VLOOKUP($A125,'Data Vlaue (Cr)'!$C:$FB,8)</f>
        <v>903.7</v>
      </c>
      <c r="C125" s="50">
        <f>VLOOKUP($A125,'Data Vlaue (Cr)'!$C:$FB,11)*100</f>
        <v>-0.35000000000000003</v>
      </c>
      <c r="D125" s="50">
        <f>VLOOKUP($A125,'Data Vlaue (Cr)'!$C:$FB,143)</f>
        <v>644.44000000000005</v>
      </c>
      <c r="E125" s="50">
        <f>VLOOKUP($A125,'Data Vlaue (Cr)'!$C:$FB,144)</f>
        <v>1575.64</v>
      </c>
      <c r="F125" s="50">
        <f>VLOOKUP($A125,'Data Vlaue (Cr)'!$C:$FB,146)*100</f>
        <v>-59.099999999999994</v>
      </c>
      <c r="G125" s="49">
        <f>VLOOKUP($A125,'Data Vlaue (Cr)'!$C:$FB,43)</f>
        <v>381</v>
      </c>
      <c r="H125" s="49">
        <f>VLOOKUP($A125,'Data Vlaue (Cr)'!$C:$FB,44)</f>
        <v>886</v>
      </c>
      <c r="I125" s="49">
        <f>VLOOKUP($A125,'Data Vlaue (Cr)'!$C:$FB,46)*100</f>
        <v>-56.989999999999995</v>
      </c>
      <c r="J125" s="51">
        <f>VLOOKUP($A125,'Data Vlaue (Cr)'!$C:$FB,59)</f>
        <v>187</v>
      </c>
      <c r="K125" s="51">
        <f>VLOOKUP($A125,'Data Vlaue (Cr)'!$C:$FB,60)</f>
        <v>458</v>
      </c>
      <c r="L125" s="51">
        <f>VLOOKUP($A125,'Data Vlaue (Cr)'!$C:$FB,62)*100</f>
        <v>-59.17</v>
      </c>
      <c r="M125" s="51">
        <f>VLOOKUP($A125,'Data Vlaue (Cr)'!$C:$FB,63)</f>
        <v>70</v>
      </c>
      <c r="N125" s="51">
        <f>VLOOKUP($A125,'Data Vlaue (Cr)'!$C:$FB,64)</f>
        <v>237</v>
      </c>
      <c r="O125" s="51">
        <f>VLOOKUP($A125,'Data Vlaue (Cr)'!$C:$FB,66)*100</f>
        <v>-70.42</v>
      </c>
    </row>
    <row r="126" spans="1:15" x14ac:dyDescent="0.25">
      <c r="A126" s="101" t="str">
        <f>'Data Vlaue (Cr)'!C121</f>
        <v>LT</v>
      </c>
      <c r="B126" s="50">
        <f>VLOOKUP($A126,'Data Vlaue (Cr)'!$C:$FB,8)</f>
        <v>4037.8</v>
      </c>
      <c r="C126" s="50">
        <f>VLOOKUP($A126,'Data Vlaue (Cr)'!$C:$FB,11)*100</f>
        <v>0.11</v>
      </c>
      <c r="D126" s="50">
        <f>VLOOKUP($A126,'Data Vlaue (Cr)'!$C:$FB,143)</f>
        <v>7774.22</v>
      </c>
      <c r="E126" s="50">
        <f>VLOOKUP($A126,'Data Vlaue (Cr)'!$C:$FB,144)</f>
        <v>15987.55</v>
      </c>
      <c r="F126" s="50">
        <f>VLOOKUP($A126,'Data Vlaue (Cr)'!$C:$FB,146)*100</f>
        <v>-51.370000000000005</v>
      </c>
      <c r="G126" s="49">
        <f>VLOOKUP($A126,'Data Vlaue (Cr)'!$C:$FB,43)</f>
        <v>2259</v>
      </c>
      <c r="H126" s="49">
        <f>VLOOKUP($A126,'Data Vlaue (Cr)'!$C:$FB,44)</f>
        <v>4186</v>
      </c>
      <c r="I126" s="49">
        <f>VLOOKUP($A126,'Data Vlaue (Cr)'!$C:$FB,46)*100</f>
        <v>-46.04</v>
      </c>
      <c r="J126" s="51">
        <f>VLOOKUP($A126,'Data Vlaue (Cr)'!$C:$FB,59)</f>
        <v>3585</v>
      </c>
      <c r="K126" s="51">
        <f>VLOOKUP($A126,'Data Vlaue (Cr)'!$C:$FB,60)</f>
        <v>7790</v>
      </c>
      <c r="L126" s="51">
        <f>VLOOKUP($A126,'Data Vlaue (Cr)'!$C:$FB,62)*100</f>
        <v>-53.98</v>
      </c>
      <c r="M126" s="51">
        <f>VLOOKUP($A126,'Data Vlaue (Cr)'!$C:$FB,63)</f>
        <v>1900</v>
      </c>
      <c r="N126" s="51">
        <f>VLOOKUP($A126,'Data Vlaue (Cr)'!$C:$FB,64)</f>
        <v>4034</v>
      </c>
      <c r="O126" s="51">
        <f>VLOOKUP($A126,'Data Vlaue (Cr)'!$C:$FB,66)*100</f>
        <v>-52.900000000000006</v>
      </c>
    </row>
    <row r="127" spans="1:15" x14ac:dyDescent="0.25">
      <c r="A127" s="101" t="str">
        <f>'Data Vlaue (Cr)'!C122</f>
        <v>LTF</v>
      </c>
      <c r="B127" s="50">
        <f>VLOOKUP($A127,'Data Vlaue (Cr)'!$C:$FB,8)</f>
        <v>282.7</v>
      </c>
      <c r="C127" s="50">
        <f>VLOOKUP($A127,'Data Vlaue (Cr)'!$C:$FB,11)*100</f>
        <v>1.2</v>
      </c>
      <c r="D127" s="50">
        <f>VLOOKUP($A127,'Data Vlaue (Cr)'!$C:$FB,143)</f>
        <v>1329.53</v>
      </c>
      <c r="E127" s="50">
        <f>VLOOKUP($A127,'Data Vlaue (Cr)'!$C:$FB,144)</f>
        <v>2409.7800000000002</v>
      </c>
      <c r="F127" s="50">
        <f>VLOOKUP($A127,'Data Vlaue (Cr)'!$C:$FB,146)*100</f>
        <v>-44.83</v>
      </c>
      <c r="G127" s="49">
        <f>VLOOKUP($A127,'Data Vlaue (Cr)'!$C:$FB,43)</f>
        <v>477</v>
      </c>
      <c r="H127" s="49">
        <f>VLOOKUP($A127,'Data Vlaue (Cr)'!$C:$FB,44)</f>
        <v>968</v>
      </c>
      <c r="I127" s="49">
        <f>VLOOKUP($A127,'Data Vlaue (Cr)'!$C:$FB,46)*100</f>
        <v>-50.7</v>
      </c>
      <c r="J127" s="51">
        <f>VLOOKUP($A127,'Data Vlaue (Cr)'!$C:$FB,59)</f>
        <v>623</v>
      </c>
      <c r="K127" s="51">
        <f>VLOOKUP($A127,'Data Vlaue (Cr)'!$C:$FB,60)</f>
        <v>888</v>
      </c>
      <c r="L127" s="51">
        <f>VLOOKUP($A127,'Data Vlaue (Cr)'!$C:$FB,62)*100</f>
        <v>-29.89</v>
      </c>
      <c r="M127" s="51">
        <f>VLOOKUP($A127,'Data Vlaue (Cr)'!$C:$FB,63)</f>
        <v>207</v>
      </c>
      <c r="N127" s="51">
        <f>VLOOKUP($A127,'Data Vlaue (Cr)'!$C:$FB,64)</f>
        <v>547</v>
      </c>
      <c r="O127" s="51">
        <f>VLOOKUP($A127,'Data Vlaue (Cr)'!$C:$FB,66)*100</f>
        <v>-62.19</v>
      </c>
    </row>
    <row r="128" spans="1:15" x14ac:dyDescent="0.25">
      <c r="A128" s="101" t="str">
        <f>'Data Vlaue (Cr)'!C123</f>
        <v>LTM</v>
      </c>
      <c r="B128" s="50">
        <f>VLOOKUP($A128,'Data Vlaue (Cr)'!$C:$FB,8)</f>
        <v>3970.4</v>
      </c>
      <c r="C128" s="50">
        <f>VLOOKUP($A128,'Data Vlaue (Cr)'!$C:$FB,11)*100</f>
        <v>-0.53</v>
      </c>
      <c r="D128" s="50">
        <f>VLOOKUP($A128,'Data Vlaue (Cr)'!$C:$FB,143)</f>
        <v>1775.33</v>
      </c>
      <c r="E128" s="50">
        <f>VLOOKUP($A128,'Data Vlaue (Cr)'!$C:$FB,144)</f>
        <v>3593.98</v>
      </c>
      <c r="F128" s="50">
        <f>VLOOKUP($A128,'Data Vlaue (Cr)'!$C:$FB,146)*100</f>
        <v>-50.6</v>
      </c>
      <c r="G128" s="49">
        <f>VLOOKUP($A128,'Data Vlaue (Cr)'!$C:$FB,43)</f>
        <v>558</v>
      </c>
      <c r="H128" s="49">
        <f>VLOOKUP($A128,'Data Vlaue (Cr)'!$C:$FB,44)</f>
        <v>932</v>
      </c>
      <c r="I128" s="49">
        <f>VLOOKUP($A128,'Data Vlaue (Cr)'!$C:$FB,46)*100</f>
        <v>-40.150000000000006</v>
      </c>
      <c r="J128" s="51">
        <f>VLOOKUP($A128,'Data Vlaue (Cr)'!$C:$FB,59)</f>
        <v>882</v>
      </c>
      <c r="K128" s="51">
        <f>VLOOKUP($A128,'Data Vlaue (Cr)'!$C:$FB,60)</f>
        <v>1806</v>
      </c>
      <c r="L128" s="51">
        <f>VLOOKUP($A128,'Data Vlaue (Cr)'!$C:$FB,62)*100</f>
        <v>-51.129999999999995</v>
      </c>
      <c r="M128" s="51">
        <f>VLOOKUP($A128,'Data Vlaue (Cr)'!$C:$FB,63)</f>
        <v>272</v>
      </c>
      <c r="N128" s="51">
        <f>VLOOKUP($A128,'Data Vlaue (Cr)'!$C:$FB,64)</f>
        <v>771</v>
      </c>
      <c r="O128" s="51">
        <f>VLOOKUP($A128,'Data Vlaue (Cr)'!$C:$FB,66)*100</f>
        <v>-64.78</v>
      </c>
    </row>
    <row r="129" spans="1:15" x14ac:dyDescent="0.25">
      <c r="A129" s="101" t="str">
        <f>'Data Vlaue (Cr)'!C124</f>
        <v>LUPIN</v>
      </c>
      <c r="B129" s="50">
        <f>VLOOKUP($A129,'Data Vlaue (Cr)'!$C:$FB,8)</f>
        <v>2266</v>
      </c>
      <c r="C129" s="50">
        <f>VLOOKUP($A129,'Data Vlaue (Cr)'!$C:$FB,11)*100</f>
        <v>-0.92999999999999994</v>
      </c>
      <c r="D129" s="50">
        <f>VLOOKUP($A129,'Data Vlaue (Cr)'!$C:$FB,143)</f>
        <v>2290.13</v>
      </c>
      <c r="E129" s="50">
        <f>VLOOKUP($A129,'Data Vlaue (Cr)'!$C:$FB,144)</f>
        <v>3311.43</v>
      </c>
      <c r="F129" s="50">
        <f>VLOOKUP($A129,'Data Vlaue (Cr)'!$C:$FB,146)*100</f>
        <v>-30.84</v>
      </c>
      <c r="G129" s="49">
        <f>VLOOKUP($A129,'Data Vlaue (Cr)'!$C:$FB,43)</f>
        <v>1007</v>
      </c>
      <c r="H129" s="49">
        <f>VLOOKUP($A129,'Data Vlaue (Cr)'!$C:$FB,44)</f>
        <v>948</v>
      </c>
      <c r="I129" s="49">
        <f>VLOOKUP($A129,'Data Vlaue (Cr)'!$C:$FB,46)*100</f>
        <v>6.2600000000000007</v>
      </c>
      <c r="J129" s="51">
        <f>VLOOKUP($A129,'Data Vlaue (Cr)'!$C:$FB,59)</f>
        <v>882</v>
      </c>
      <c r="K129" s="51">
        <f>VLOOKUP($A129,'Data Vlaue (Cr)'!$C:$FB,60)</f>
        <v>1695</v>
      </c>
      <c r="L129" s="51">
        <f>VLOOKUP($A129,'Data Vlaue (Cr)'!$C:$FB,62)*100</f>
        <v>-47.99</v>
      </c>
      <c r="M129" s="51">
        <f>VLOOKUP($A129,'Data Vlaue (Cr)'!$C:$FB,63)</f>
        <v>355</v>
      </c>
      <c r="N129" s="51">
        <f>VLOOKUP($A129,'Data Vlaue (Cr)'!$C:$FB,64)</f>
        <v>606</v>
      </c>
      <c r="O129" s="51">
        <f>VLOOKUP($A129,'Data Vlaue (Cr)'!$C:$FB,66)*100</f>
        <v>-41.339999999999996</v>
      </c>
    </row>
    <row r="130" spans="1:15" x14ac:dyDescent="0.25">
      <c r="A130" s="101" t="str">
        <f>'Data Vlaue (Cr)'!C125</f>
        <v>M&amp;M</v>
      </c>
      <c r="B130" s="50">
        <f>VLOOKUP($A130,'Data Vlaue (Cr)'!$C:$FB,8)</f>
        <v>3107.3</v>
      </c>
      <c r="C130" s="50">
        <f>VLOOKUP($A130,'Data Vlaue (Cr)'!$C:$FB,11)*100</f>
        <v>-1.01</v>
      </c>
      <c r="D130" s="50">
        <f>VLOOKUP($A130,'Data Vlaue (Cr)'!$C:$FB,143)</f>
        <v>4490.1099999999997</v>
      </c>
      <c r="E130" s="50">
        <f>VLOOKUP($A130,'Data Vlaue (Cr)'!$C:$FB,144)</f>
        <v>8937.84</v>
      </c>
      <c r="F130" s="50">
        <f>VLOOKUP($A130,'Data Vlaue (Cr)'!$C:$FB,146)*100</f>
        <v>-49.76</v>
      </c>
      <c r="G130" s="49">
        <f>VLOOKUP($A130,'Data Vlaue (Cr)'!$C:$FB,43)</f>
        <v>1213</v>
      </c>
      <c r="H130" s="49">
        <f>VLOOKUP($A130,'Data Vlaue (Cr)'!$C:$FB,44)</f>
        <v>2862</v>
      </c>
      <c r="I130" s="49">
        <f>VLOOKUP($A130,'Data Vlaue (Cr)'!$C:$FB,46)*100</f>
        <v>-57.609999999999992</v>
      </c>
      <c r="J130" s="51">
        <f>VLOOKUP($A130,'Data Vlaue (Cr)'!$C:$FB,59)</f>
        <v>2059</v>
      </c>
      <c r="K130" s="51">
        <f>VLOOKUP($A130,'Data Vlaue (Cr)'!$C:$FB,60)</f>
        <v>3926</v>
      </c>
      <c r="L130" s="51">
        <f>VLOOKUP($A130,'Data Vlaue (Cr)'!$C:$FB,62)*100</f>
        <v>-47.56</v>
      </c>
      <c r="M130" s="51">
        <f>VLOOKUP($A130,'Data Vlaue (Cr)'!$C:$FB,63)</f>
        <v>1118</v>
      </c>
      <c r="N130" s="51">
        <f>VLOOKUP($A130,'Data Vlaue (Cr)'!$C:$FB,64)</f>
        <v>1925</v>
      </c>
      <c r="O130" s="51">
        <f>VLOOKUP($A130,'Data Vlaue (Cr)'!$C:$FB,66)*100</f>
        <v>-41.92</v>
      </c>
    </row>
    <row r="131" spans="1:15" x14ac:dyDescent="0.25">
      <c r="A131" s="101" t="str">
        <f>'Data Vlaue (Cr)'!C126</f>
        <v>MANAPPURAM</v>
      </c>
      <c r="B131" s="50">
        <f>VLOOKUP($A131,'Data Vlaue (Cr)'!$C:$FB,8)</f>
        <v>330.25</v>
      </c>
      <c r="C131" s="50">
        <f>VLOOKUP($A131,'Data Vlaue (Cr)'!$C:$FB,11)*100</f>
        <v>1.41</v>
      </c>
      <c r="D131" s="50">
        <f>VLOOKUP($A131,'Data Vlaue (Cr)'!$C:$FB,143)</f>
        <v>1355.9</v>
      </c>
      <c r="E131" s="50">
        <f>VLOOKUP($A131,'Data Vlaue (Cr)'!$C:$FB,144)</f>
        <v>1889.52</v>
      </c>
      <c r="F131" s="50">
        <f>VLOOKUP($A131,'Data Vlaue (Cr)'!$C:$FB,146)*100</f>
        <v>-28.24</v>
      </c>
      <c r="G131" s="49">
        <f>VLOOKUP($A131,'Data Vlaue (Cr)'!$C:$FB,43)</f>
        <v>649</v>
      </c>
      <c r="H131" s="49">
        <f>VLOOKUP($A131,'Data Vlaue (Cr)'!$C:$FB,44)</f>
        <v>825</v>
      </c>
      <c r="I131" s="49">
        <f>VLOOKUP($A131,'Data Vlaue (Cr)'!$C:$FB,46)*100</f>
        <v>-21.29</v>
      </c>
      <c r="J131" s="51">
        <f>VLOOKUP($A131,'Data Vlaue (Cr)'!$C:$FB,59)</f>
        <v>488</v>
      </c>
      <c r="K131" s="51">
        <f>VLOOKUP($A131,'Data Vlaue (Cr)'!$C:$FB,60)</f>
        <v>740</v>
      </c>
      <c r="L131" s="51">
        <f>VLOOKUP($A131,'Data Vlaue (Cr)'!$C:$FB,62)*100</f>
        <v>-34.08</v>
      </c>
      <c r="M131" s="51">
        <f>VLOOKUP($A131,'Data Vlaue (Cr)'!$C:$FB,63)</f>
        <v>217</v>
      </c>
      <c r="N131" s="51">
        <f>VLOOKUP($A131,'Data Vlaue (Cr)'!$C:$FB,64)</f>
        <v>334</v>
      </c>
      <c r="O131" s="51">
        <f>VLOOKUP($A131,'Data Vlaue (Cr)'!$C:$FB,66)*100</f>
        <v>-34.97</v>
      </c>
    </row>
    <row r="132" spans="1:15" x14ac:dyDescent="0.25">
      <c r="A132" s="101" t="str">
        <f>'Data Vlaue (Cr)'!C127</f>
        <v>MANKIND</v>
      </c>
      <c r="B132" s="50">
        <f>VLOOKUP($A132,'Data Vlaue (Cr)'!$C:$FB,8)</f>
        <v>2423.6</v>
      </c>
      <c r="C132" s="50">
        <f>VLOOKUP($A132,'Data Vlaue (Cr)'!$C:$FB,11)*100</f>
        <v>-1.38</v>
      </c>
      <c r="D132" s="50">
        <f>VLOOKUP($A132,'Data Vlaue (Cr)'!$C:$FB,143)</f>
        <v>729.64</v>
      </c>
      <c r="E132" s="50">
        <f>VLOOKUP($A132,'Data Vlaue (Cr)'!$C:$FB,144)</f>
        <v>1342.9</v>
      </c>
      <c r="F132" s="50">
        <f>VLOOKUP($A132,'Data Vlaue (Cr)'!$C:$FB,146)*100</f>
        <v>-45.67</v>
      </c>
      <c r="G132" s="49">
        <f>VLOOKUP($A132,'Data Vlaue (Cr)'!$C:$FB,43)</f>
        <v>270</v>
      </c>
      <c r="H132" s="49">
        <f>VLOOKUP($A132,'Data Vlaue (Cr)'!$C:$FB,44)</f>
        <v>568</v>
      </c>
      <c r="I132" s="49">
        <f>VLOOKUP($A132,'Data Vlaue (Cr)'!$C:$FB,46)*100</f>
        <v>-52.52</v>
      </c>
      <c r="J132" s="51">
        <f>VLOOKUP($A132,'Data Vlaue (Cr)'!$C:$FB,59)</f>
        <v>229</v>
      </c>
      <c r="K132" s="51">
        <f>VLOOKUP($A132,'Data Vlaue (Cr)'!$C:$FB,60)</f>
        <v>428</v>
      </c>
      <c r="L132" s="51">
        <f>VLOOKUP($A132,'Data Vlaue (Cr)'!$C:$FB,62)*100</f>
        <v>-46.54</v>
      </c>
      <c r="M132" s="51">
        <f>VLOOKUP($A132,'Data Vlaue (Cr)'!$C:$FB,63)</f>
        <v>223</v>
      </c>
      <c r="N132" s="51">
        <f>VLOOKUP($A132,'Data Vlaue (Cr)'!$C:$FB,64)</f>
        <v>316</v>
      </c>
      <c r="O132" s="51">
        <f>VLOOKUP($A132,'Data Vlaue (Cr)'!$C:$FB,66)*100</f>
        <v>-29.28</v>
      </c>
    </row>
    <row r="133" spans="1:15" x14ac:dyDescent="0.25">
      <c r="A133" s="101" t="str">
        <f>'Data Vlaue (Cr)'!C128</f>
        <v>MARICO</v>
      </c>
      <c r="B133" s="50">
        <f>VLOOKUP($A133,'Data Vlaue (Cr)'!$C:$FB,8)</f>
        <v>830</v>
      </c>
      <c r="C133" s="50">
        <f>VLOOKUP($A133,'Data Vlaue (Cr)'!$C:$FB,11)*100</f>
        <v>0.80999999999999994</v>
      </c>
      <c r="D133" s="50">
        <f>VLOOKUP($A133,'Data Vlaue (Cr)'!$C:$FB,143)</f>
        <v>853.51</v>
      </c>
      <c r="E133" s="50">
        <f>VLOOKUP($A133,'Data Vlaue (Cr)'!$C:$FB,144)</f>
        <v>1413.49</v>
      </c>
      <c r="F133" s="50">
        <f>VLOOKUP($A133,'Data Vlaue (Cr)'!$C:$FB,146)*100</f>
        <v>-39.619999999999997</v>
      </c>
      <c r="G133" s="49">
        <f>VLOOKUP($A133,'Data Vlaue (Cr)'!$C:$FB,43)</f>
        <v>548</v>
      </c>
      <c r="H133" s="49">
        <f>VLOOKUP($A133,'Data Vlaue (Cr)'!$C:$FB,44)</f>
        <v>878</v>
      </c>
      <c r="I133" s="49">
        <f>VLOOKUP($A133,'Data Vlaue (Cr)'!$C:$FB,46)*100</f>
        <v>-37.65</v>
      </c>
      <c r="J133" s="51">
        <f>VLOOKUP($A133,'Data Vlaue (Cr)'!$C:$FB,59)</f>
        <v>176</v>
      </c>
      <c r="K133" s="51">
        <f>VLOOKUP($A133,'Data Vlaue (Cr)'!$C:$FB,60)</f>
        <v>295</v>
      </c>
      <c r="L133" s="51">
        <f>VLOOKUP($A133,'Data Vlaue (Cr)'!$C:$FB,62)*100</f>
        <v>-40.489999999999995</v>
      </c>
      <c r="M133" s="51">
        <f>VLOOKUP($A133,'Data Vlaue (Cr)'!$C:$FB,63)</f>
        <v>130</v>
      </c>
      <c r="N133" s="51">
        <f>VLOOKUP($A133,'Data Vlaue (Cr)'!$C:$FB,64)</f>
        <v>257</v>
      </c>
      <c r="O133" s="51">
        <f>VLOOKUP($A133,'Data Vlaue (Cr)'!$C:$FB,66)*100</f>
        <v>-49.14</v>
      </c>
    </row>
    <row r="134" spans="1:15" x14ac:dyDescent="0.25">
      <c r="A134" s="101" t="str">
        <f>'Data Vlaue (Cr)'!C129</f>
        <v>MARUTI</v>
      </c>
      <c r="B134" s="50">
        <f>VLOOKUP($A134,'Data Vlaue (Cr)'!$C:$FB,8)</f>
        <v>13208</v>
      </c>
      <c r="C134" s="50">
        <f>VLOOKUP($A134,'Data Vlaue (Cr)'!$C:$FB,11)*100</f>
        <v>0.28999999999999998</v>
      </c>
      <c r="D134" s="50">
        <f>VLOOKUP($A134,'Data Vlaue (Cr)'!$C:$FB,143)</f>
        <v>6630.25</v>
      </c>
      <c r="E134" s="50">
        <f>VLOOKUP($A134,'Data Vlaue (Cr)'!$C:$FB,144)</f>
        <v>11177.8</v>
      </c>
      <c r="F134" s="50">
        <f>VLOOKUP($A134,'Data Vlaue (Cr)'!$C:$FB,146)*100</f>
        <v>-40.68</v>
      </c>
      <c r="G134" s="49">
        <f>VLOOKUP($A134,'Data Vlaue (Cr)'!$C:$FB,43)</f>
        <v>888</v>
      </c>
      <c r="H134" s="49">
        <f>VLOOKUP($A134,'Data Vlaue (Cr)'!$C:$FB,44)</f>
        <v>2287</v>
      </c>
      <c r="I134" s="49">
        <f>VLOOKUP($A134,'Data Vlaue (Cr)'!$C:$FB,46)*100</f>
        <v>-61.19</v>
      </c>
      <c r="J134" s="51">
        <f>VLOOKUP($A134,'Data Vlaue (Cr)'!$C:$FB,59)</f>
        <v>3904</v>
      </c>
      <c r="K134" s="51">
        <f>VLOOKUP($A134,'Data Vlaue (Cr)'!$C:$FB,60)</f>
        <v>5978</v>
      </c>
      <c r="L134" s="51">
        <f>VLOOKUP($A134,'Data Vlaue (Cr)'!$C:$FB,62)*100</f>
        <v>-34.69</v>
      </c>
      <c r="M134" s="51">
        <f>VLOOKUP($A134,'Data Vlaue (Cr)'!$C:$FB,63)</f>
        <v>1756</v>
      </c>
      <c r="N134" s="51">
        <f>VLOOKUP($A134,'Data Vlaue (Cr)'!$C:$FB,64)</f>
        <v>2843</v>
      </c>
      <c r="O134" s="51">
        <f>VLOOKUP($A134,'Data Vlaue (Cr)'!$C:$FB,66)*100</f>
        <v>-38.24</v>
      </c>
    </row>
    <row r="135" spans="1:15" x14ac:dyDescent="0.25">
      <c r="A135" s="101" t="str">
        <f>'Data Vlaue (Cr)'!C130</f>
        <v>MAXHEALTH</v>
      </c>
      <c r="B135" s="50">
        <f>VLOOKUP($A135,'Data Vlaue (Cr)'!$C:$FB,8)</f>
        <v>993.95</v>
      </c>
      <c r="C135" s="50">
        <f>VLOOKUP($A135,'Data Vlaue (Cr)'!$C:$FB,11)*100</f>
        <v>-0.69</v>
      </c>
      <c r="D135" s="50">
        <f>VLOOKUP($A135,'Data Vlaue (Cr)'!$C:$FB,143)</f>
        <v>1521.54</v>
      </c>
      <c r="E135" s="50">
        <f>VLOOKUP($A135,'Data Vlaue (Cr)'!$C:$FB,144)</f>
        <v>4078.33</v>
      </c>
      <c r="F135" s="50">
        <f>VLOOKUP($A135,'Data Vlaue (Cr)'!$C:$FB,146)*100</f>
        <v>-62.69</v>
      </c>
      <c r="G135" s="49">
        <f>VLOOKUP($A135,'Data Vlaue (Cr)'!$C:$FB,43)</f>
        <v>399</v>
      </c>
      <c r="H135" s="49">
        <f>VLOOKUP($A135,'Data Vlaue (Cr)'!$C:$FB,44)</f>
        <v>795</v>
      </c>
      <c r="I135" s="49">
        <f>VLOOKUP($A135,'Data Vlaue (Cr)'!$C:$FB,46)*100</f>
        <v>-49.769999999999996</v>
      </c>
      <c r="J135" s="51">
        <f>VLOOKUP($A135,'Data Vlaue (Cr)'!$C:$FB,59)</f>
        <v>697</v>
      </c>
      <c r="K135" s="51">
        <f>VLOOKUP($A135,'Data Vlaue (Cr)'!$C:$FB,60)</f>
        <v>1958</v>
      </c>
      <c r="L135" s="51">
        <f>VLOOKUP($A135,'Data Vlaue (Cr)'!$C:$FB,62)*100</f>
        <v>-64.429999999999993</v>
      </c>
      <c r="M135" s="51">
        <f>VLOOKUP($A135,'Data Vlaue (Cr)'!$C:$FB,63)</f>
        <v>384</v>
      </c>
      <c r="N135" s="51">
        <f>VLOOKUP($A135,'Data Vlaue (Cr)'!$C:$FB,64)</f>
        <v>1213</v>
      </c>
      <c r="O135" s="51">
        <f>VLOOKUP($A135,'Data Vlaue (Cr)'!$C:$FB,66)*100</f>
        <v>-68.36</v>
      </c>
    </row>
    <row r="136" spans="1:15" x14ac:dyDescent="0.25">
      <c r="A136" s="101" t="str">
        <f>'Data Vlaue (Cr)'!C131</f>
        <v>MAZDOCK</v>
      </c>
      <c r="B136" s="50">
        <f>VLOOKUP($A136,'Data Vlaue (Cr)'!$C:$FB,8)</f>
        <v>2460.1</v>
      </c>
      <c r="C136" s="50">
        <f>VLOOKUP($A136,'Data Vlaue (Cr)'!$C:$FB,11)*100</f>
        <v>-0.41000000000000003</v>
      </c>
      <c r="D136" s="50">
        <f>VLOOKUP($A136,'Data Vlaue (Cr)'!$C:$FB,143)</f>
        <v>1936.55</v>
      </c>
      <c r="E136" s="50">
        <f>VLOOKUP($A136,'Data Vlaue (Cr)'!$C:$FB,144)</f>
        <v>2248.77</v>
      </c>
      <c r="F136" s="50">
        <f>VLOOKUP($A136,'Data Vlaue (Cr)'!$C:$FB,146)*100</f>
        <v>-13.88</v>
      </c>
      <c r="G136" s="49">
        <f>VLOOKUP($A136,'Data Vlaue (Cr)'!$C:$FB,43)</f>
        <v>744</v>
      </c>
      <c r="H136" s="49">
        <f>VLOOKUP($A136,'Data Vlaue (Cr)'!$C:$FB,44)</f>
        <v>954</v>
      </c>
      <c r="I136" s="49">
        <f>VLOOKUP($A136,'Data Vlaue (Cr)'!$C:$FB,46)*100</f>
        <v>-22.009999999999998</v>
      </c>
      <c r="J136" s="51">
        <f>VLOOKUP($A136,'Data Vlaue (Cr)'!$C:$FB,59)</f>
        <v>766</v>
      </c>
      <c r="K136" s="51">
        <f>VLOOKUP($A136,'Data Vlaue (Cr)'!$C:$FB,60)</f>
        <v>929</v>
      </c>
      <c r="L136" s="51">
        <f>VLOOKUP($A136,'Data Vlaue (Cr)'!$C:$FB,62)*100</f>
        <v>-17.59</v>
      </c>
      <c r="M136" s="51">
        <f>VLOOKUP($A136,'Data Vlaue (Cr)'!$C:$FB,63)</f>
        <v>379</v>
      </c>
      <c r="N136" s="51">
        <f>VLOOKUP($A136,'Data Vlaue (Cr)'!$C:$FB,64)</f>
        <v>310</v>
      </c>
      <c r="O136" s="51">
        <f>VLOOKUP($A136,'Data Vlaue (Cr)'!$C:$FB,66)*100</f>
        <v>22.23</v>
      </c>
    </row>
    <row r="137" spans="1:15" x14ac:dyDescent="0.25">
      <c r="A137" s="101" t="str">
        <f>'Data Vlaue (Cr)'!C132</f>
        <v>MCX</v>
      </c>
      <c r="B137" s="50">
        <f>VLOOKUP($A137,'Data Vlaue (Cr)'!$C:$FB,8)</f>
        <v>3307.3</v>
      </c>
      <c r="C137" s="50">
        <f>VLOOKUP($A137,'Data Vlaue (Cr)'!$C:$FB,11)*100</f>
        <v>-0.2</v>
      </c>
      <c r="D137" s="50">
        <f>VLOOKUP($A137,'Data Vlaue (Cr)'!$C:$FB,143)</f>
        <v>8165.33</v>
      </c>
      <c r="E137" s="50">
        <f>VLOOKUP($A137,'Data Vlaue (Cr)'!$C:$FB,144)</f>
        <v>16226.73</v>
      </c>
      <c r="F137" s="50">
        <f>VLOOKUP($A137,'Data Vlaue (Cr)'!$C:$FB,146)*100</f>
        <v>-49.68</v>
      </c>
      <c r="G137" s="49">
        <f>VLOOKUP($A137,'Data Vlaue (Cr)'!$C:$FB,43)</f>
        <v>1548</v>
      </c>
      <c r="H137" s="49">
        <f>VLOOKUP($A137,'Data Vlaue (Cr)'!$C:$FB,44)</f>
        <v>2612</v>
      </c>
      <c r="I137" s="49">
        <f>VLOOKUP($A137,'Data Vlaue (Cr)'!$C:$FB,46)*100</f>
        <v>-40.72</v>
      </c>
      <c r="J137" s="51">
        <f>VLOOKUP($A137,'Data Vlaue (Cr)'!$C:$FB,59)</f>
        <v>4343</v>
      </c>
      <c r="K137" s="51">
        <f>VLOOKUP($A137,'Data Vlaue (Cr)'!$C:$FB,60)</f>
        <v>9231</v>
      </c>
      <c r="L137" s="51">
        <f>VLOOKUP($A137,'Data Vlaue (Cr)'!$C:$FB,62)*100</f>
        <v>-52.959999999999994</v>
      </c>
      <c r="M137" s="51">
        <f>VLOOKUP($A137,'Data Vlaue (Cr)'!$C:$FB,63)</f>
        <v>2228</v>
      </c>
      <c r="N137" s="51">
        <f>VLOOKUP($A137,'Data Vlaue (Cr)'!$C:$FB,64)</f>
        <v>4186</v>
      </c>
      <c r="O137" s="51">
        <f>VLOOKUP($A137,'Data Vlaue (Cr)'!$C:$FB,66)*100</f>
        <v>-46.760000000000005</v>
      </c>
    </row>
    <row r="138" spans="1:15" x14ac:dyDescent="0.25">
      <c r="A138" s="101" t="str">
        <f>'Data Vlaue (Cr)'!C133</f>
        <v>MFSL</v>
      </c>
      <c r="B138" s="50">
        <f>VLOOKUP($A138,'Data Vlaue (Cr)'!$C:$FB,8)</f>
        <v>1725.6</v>
      </c>
      <c r="C138" s="50">
        <f>VLOOKUP($A138,'Data Vlaue (Cr)'!$C:$FB,11)*100</f>
        <v>-6.9999999999999993E-2</v>
      </c>
      <c r="D138" s="50">
        <f>VLOOKUP($A138,'Data Vlaue (Cr)'!$C:$FB,143)</f>
        <v>1179.56</v>
      </c>
      <c r="E138" s="50">
        <f>VLOOKUP($A138,'Data Vlaue (Cr)'!$C:$FB,144)</f>
        <v>2137.52</v>
      </c>
      <c r="F138" s="50">
        <f>VLOOKUP($A138,'Data Vlaue (Cr)'!$C:$FB,146)*100</f>
        <v>-44.82</v>
      </c>
      <c r="G138" s="49">
        <f>VLOOKUP($A138,'Data Vlaue (Cr)'!$C:$FB,43)</f>
        <v>594</v>
      </c>
      <c r="H138" s="49">
        <f>VLOOKUP($A138,'Data Vlaue (Cr)'!$C:$FB,44)</f>
        <v>973</v>
      </c>
      <c r="I138" s="49">
        <f>VLOOKUP($A138,'Data Vlaue (Cr)'!$C:$FB,46)*100</f>
        <v>-38.909999999999997</v>
      </c>
      <c r="J138" s="51">
        <f>VLOOKUP($A138,'Data Vlaue (Cr)'!$C:$FB,59)</f>
        <v>435</v>
      </c>
      <c r="K138" s="51">
        <f>VLOOKUP($A138,'Data Vlaue (Cr)'!$C:$FB,60)</f>
        <v>909</v>
      </c>
      <c r="L138" s="51">
        <f>VLOOKUP($A138,'Data Vlaue (Cr)'!$C:$FB,62)*100</f>
        <v>-52.190000000000005</v>
      </c>
      <c r="M138" s="51">
        <f>VLOOKUP($A138,'Data Vlaue (Cr)'!$C:$FB,63)</f>
        <v>144</v>
      </c>
      <c r="N138" s="51">
        <f>VLOOKUP($A138,'Data Vlaue (Cr)'!$C:$FB,64)</f>
        <v>283</v>
      </c>
      <c r="O138" s="51">
        <f>VLOOKUP($A138,'Data Vlaue (Cr)'!$C:$FB,66)*100</f>
        <v>-49.230000000000004</v>
      </c>
    </row>
    <row r="139" spans="1:15" x14ac:dyDescent="0.25">
      <c r="A139" s="101" t="str">
        <f>'Data Vlaue (Cr)'!C134</f>
        <v>MIDCPNIFTY</v>
      </c>
      <c r="B139" s="50">
        <f>VLOOKUP($A139,'Data Vlaue (Cr)'!$C:$FB,8)</f>
        <v>14675.6</v>
      </c>
      <c r="C139" s="50">
        <f>VLOOKUP($A139,'Data Vlaue (Cr)'!$C:$FB,11)*100</f>
        <v>0.79</v>
      </c>
      <c r="D139" s="50">
        <f>VLOOKUP($A139,'Data Vlaue (Cr)'!$C:$FB,143)</f>
        <v>1047202.82</v>
      </c>
      <c r="E139" s="50">
        <f>VLOOKUP($A139,'Data Vlaue (Cr)'!$C:$FB,144)</f>
        <v>160421.75</v>
      </c>
      <c r="F139" s="50">
        <f>VLOOKUP($A139,'Data Vlaue (Cr)'!$C:$FB,146)*100</f>
        <v>552.78</v>
      </c>
      <c r="G139" s="49">
        <f>VLOOKUP($A139,'Data Vlaue (Cr)'!$C:$FB,43)</f>
        <v>1364</v>
      </c>
      <c r="H139" s="49">
        <f>VLOOKUP($A139,'Data Vlaue (Cr)'!$C:$FB,44)</f>
        <v>2962</v>
      </c>
      <c r="I139" s="49">
        <f>VLOOKUP($A139,'Data Vlaue (Cr)'!$C:$FB,46)*100</f>
        <v>-53.949999999999996</v>
      </c>
      <c r="J139" s="51">
        <f>VLOOKUP($A139,'Data Vlaue (Cr)'!$C:$FB,59)</f>
        <v>568248</v>
      </c>
      <c r="K139" s="51">
        <f>VLOOKUP($A139,'Data Vlaue (Cr)'!$C:$FB,60)</f>
        <v>77752</v>
      </c>
      <c r="L139" s="51">
        <f>VLOOKUP($A139,'Data Vlaue (Cr)'!$C:$FB,62)*100</f>
        <v>630.84</v>
      </c>
      <c r="M139" s="51">
        <f>VLOOKUP($A139,'Data Vlaue (Cr)'!$C:$FB,63)</f>
        <v>488428</v>
      </c>
      <c r="N139" s="51">
        <f>VLOOKUP($A139,'Data Vlaue (Cr)'!$C:$FB,64)</f>
        <v>82825</v>
      </c>
      <c r="O139" s="51">
        <f>VLOOKUP($A139,'Data Vlaue (Cr)'!$C:$FB,66)*100</f>
        <v>489.71</v>
      </c>
    </row>
    <row r="140" spans="1:15" x14ac:dyDescent="0.25">
      <c r="A140" s="101" t="str">
        <f>'Data Vlaue (Cr)'!C135</f>
        <v>MOTHERSON</v>
      </c>
      <c r="B140" s="50">
        <f>VLOOKUP($A140,'Data Vlaue (Cr)'!$C:$FB,8)</f>
        <v>135.82</v>
      </c>
      <c r="C140" s="50">
        <f>VLOOKUP($A140,'Data Vlaue (Cr)'!$C:$FB,11)*100</f>
        <v>-6.9999999999999993E-2</v>
      </c>
      <c r="D140" s="50">
        <f>VLOOKUP($A140,'Data Vlaue (Cr)'!$C:$FB,143)</f>
        <v>1950.74</v>
      </c>
      <c r="E140" s="50">
        <f>VLOOKUP($A140,'Data Vlaue (Cr)'!$C:$FB,144)</f>
        <v>2991</v>
      </c>
      <c r="F140" s="50">
        <f>VLOOKUP($A140,'Data Vlaue (Cr)'!$C:$FB,146)*100</f>
        <v>-34.78</v>
      </c>
      <c r="G140" s="49">
        <f>VLOOKUP($A140,'Data Vlaue (Cr)'!$C:$FB,43)</f>
        <v>1048</v>
      </c>
      <c r="H140" s="49">
        <f>VLOOKUP($A140,'Data Vlaue (Cr)'!$C:$FB,44)</f>
        <v>1758</v>
      </c>
      <c r="I140" s="49">
        <f>VLOOKUP($A140,'Data Vlaue (Cr)'!$C:$FB,46)*100</f>
        <v>-40.36</v>
      </c>
      <c r="J140" s="51">
        <f>VLOOKUP($A140,'Data Vlaue (Cr)'!$C:$FB,59)</f>
        <v>575</v>
      </c>
      <c r="K140" s="51">
        <f>VLOOKUP($A140,'Data Vlaue (Cr)'!$C:$FB,60)</f>
        <v>784</v>
      </c>
      <c r="L140" s="51">
        <f>VLOOKUP($A140,'Data Vlaue (Cr)'!$C:$FB,62)*100</f>
        <v>-26.68</v>
      </c>
      <c r="M140" s="51">
        <f>VLOOKUP($A140,'Data Vlaue (Cr)'!$C:$FB,63)</f>
        <v>313</v>
      </c>
      <c r="N140" s="51">
        <f>VLOOKUP($A140,'Data Vlaue (Cr)'!$C:$FB,64)</f>
        <v>438</v>
      </c>
      <c r="O140" s="51">
        <f>VLOOKUP($A140,'Data Vlaue (Cr)'!$C:$FB,66)*100</f>
        <v>-28.57</v>
      </c>
    </row>
    <row r="141" spans="1:15" x14ac:dyDescent="0.25">
      <c r="A141" s="101" t="str">
        <f>'Data Vlaue (Cr)'!C136</f>
        <v>MOTILALOFS</v>
      </c>
      <c r="B141" s="50">
        <f>VLOOKUP($A141,'Data Vlaue (Cr)'!$C:$FB,8)</f>
        <v>870.55</v>
      </c>
      <c r="C141" s="50">
        <f>VLOOKUP($A141,'Data Vlaue (Cr)'!$C:$FB,11)*100</f>
        <v>0.03</v>
      </c>
      <c r="D141" s="50">
        <f>VLOOKUP($A141,'Data Vlaue (Cr)'!$C:$FB,143)</f>
        <v>755.15</v>
      </c>
      <c r="E141" s="50">
        <f>VLOOKUP($A141,'Data Vlaue (Cr)'!$C:$FB,144)</f>
        <v>908.68</v>
      </c>
      <c r="F141" s="50">
        <f>VLOOKUP($A141,'Data Vlaue (Cr)'!$C:$FB,146)*100</f>
        <v>-16.900000000000002</v>
      </c>
      <c r="G141" s="49">
        <f>VLOOKUP($A141,'Data Vlaue (Cr)'!$C:$FB,43)</f>
        <v>224</v>
      </c>
      <c r="H141" s="49">
        <f>VLOOKUP($A141,'Data Vlaue (Cr)'!$C:$FB,44)</f>
        <v>331</v>
      </c>
      <c r="I141" s="49">
        <f>VLOOKUP($A141,'Data Vlaue (Cr)'!$C:$FB,46)*100</f>
        <v>-32.14</v>
      </c>
      <c r="J141" s="51">
        <f>VLOOKUP($A141,'Data Vlaue (Cr)'!$C:$FB,59)</f>
        <v>422</v>
      </c>
      <c r="K141" s="51">
        <f>VLOOKUP($A141,'Data Vlaue (Cr)'!$C:$FB,60)</f>
        <v>486</v>
      </c>
      <c r="L141" s="51">
        <f>VLOOKUP($A141,'Data Vlaue (Cr)'!$C:$FB,62)*100</f>
        <v>-13.23</v>
      </c>
      <c r="M141" s="51">
        <f>VLOOKUP($A141,'Data Vlaue (Cr)'!$C:$FB,63)</f>
        <v>90</v>
      </c>
      <c r="N141" s="51">
        <f>VLOOKUP($A141,'Data Vlaue (Cr)'!$C:$FB,64)</f>
        <v>84</v>
      </c>
      <c r="O141" s="51">
        <f>VLOOKUP($A141,'Data Vlaue (Cr)'!$C:$FB,66)*100</f>
        <v>7.26</v>
      </c>
    </row>
    <row r="142" spans="1:15" x14ac:dyDescent="0.25">
      <c r="A142" s="101" t="str">
        <f>'Data Vlaue (Cr)'!C137</f>
        <v>MPHASIS</v>
      </c>
      <c r="B142" s="50">
        <f>VLOOKUP($A142,'Data Vlaue (Cr)'!$C:$FB,8)</f>
        <v>2265.3000000000002</v>
      </c>
      <c r="C142" s="50">
        <f>VLOOKUP($A142,'Data Vlaue (Cr)'!$C:$FB,11)*100</f>
        <v>0.95</v>
      </c>
      <c r="D142" s="50">
        <f>VLOOKUP($A142,'Data Vlaue (Cr)'!$C:$FB,143)</f>
        <v>958.7</v>
      </c>
      <c r="E142" s="50">
        <f>VLOOKUP($A142,'Data Vlaue (Cr)'!$C:$FB,144)</f>
        <v>1089.8399999999999</v>
      </c>
      <c r="F142" s="50">
        <f>VLOOKUP($A142,'Data Vlaue (Cr)'!$C:$FB,146)*100</f>
        <v>-12.030000000000001</v>
      </c>
      <c r="G142" s="49">
        <f>VLOOKUP($A142,'Data Vlaue (Cr)'!$C:$FB,43)</f>
        <v>384</v>
      </c>
      <c r="H142" s="49">
        <f>VLOOKUP($A142,'Data Vlaue (Cr)'!$C:$FB,44)</f>
        <v>568</v>
      </c>
      <c r="I142" s="49">
        <f>VLOOKUP($A142,'Data Vlaue (Cr)'!$C:$FB,46)*100</f>
        <v>-32.300000000000004</v>
      </c>
      <c r="J142" s="51">
        <f>VLOOKUP($A142,'Data Vlaue (Cr)'!$C:$FB,59)</f>
        <v>350</v>
      </c>
      <c r="K142" s="51">
        <f>VLOOKUP($A142,'Data Vlaue (Cr)'!$C:$FB,60)</f>
        <v>301</v>
      </c>
      <c r="L142" s="51">
        <f>VLOOKUP($A142,'Data Vlaue (Cr)'!$C:$FB,62)*100</f>
        <v>16.53</v>
      </c>
      <c r="M142" s="51">
        <f>VLOOKUP($A142,'Data Vlaue (Cr)'!$C:$FB,63)</f>
        <v>219</v>
      </c>
      <c r="N142" s="51">
        <f>VLOOKUP($A142,'Data Vlaue (Cr)'!$C:$FB,64)</f>
        <v>230</v>
      </c>
      <c r="O142" s="51">
        <f>VLOOKUP($A142,'Data Vlaue (Cr)'!$C:$FB,66)*100</f>
        <v>-4.5999999999999996</v>
      </c>
    </row>
    <row r="143" spans="1:15" x14ac:dyDescent="0.25">
      <c r="A143" s="101" t="str">
        <f>'Data Vlaue (Cr)'!C138</f>
        <v>MUTHOOTFIN</v>
      </c>
      <c r="B143" s="50">
        <f>VLOOKUP($A143,'Data Vlaue (Cr)'!$C:$FB,8)</f>
        <v>3331.5</v>
      </c>
      <c r="C143" s="50">
        <f>VLOOKUP($A143,'Data Vlaue (Cr)'!$C:$FB,11)*100</f>
        <v>-0.67999999999999994</v>
      </c>
      <c r="D143" s="50">
        <f>VLOOKUP($A143,'Data Vlaue (Cr)'!$C:$FB,143)</f>
        <v>1441.32</v>
      </c>
      <c r="E143" s="50">
        <f>VLOOKUP($A143,'Data Vlaue (Cr)'!$C:$FB,144)</f>
        <v>3672.17</v>
      </c>
      <c r="F143" s="50">
        <f>VLOOKUP($A143,'Data Vlaue (Cr)'!$C:$FB,146)*100</f>
        <v>-60.750000000000007</v>
      </c>
      <c r="G143" s="49">
        <f>VLOOKUP($A143,'Data Vlaue (Cr)'!$C:$FB,43)</f>
        <v>295</v>
      </c>
      <c r="H143" s="49">
        <f>VLOOKUP($A143,'Data Vlaue (Cr)'!$C:$FB,44)</f>
        <v>881</v>
      </c>
      <c r="I143" s="49">
        <f>VLOOKUP($A143,'Data Vlaue (Cr)'!$C:$FB,46)*100</f>
        <v>-66.45</v>
      </c>
      <c r="J143" s="51">
        <f>VLOOKUP($A143,'Data Vlaue (Cr)'!$C:$FB,59)</f>
        <v>667</v>
      </c>
      <c r="K143" s="51">
        <f>VLOOKUP($A143,'Data Vlaue (Cr)'!$C:$FB,60)</f>
        <v>1800</v>
      </c>
      <c r="L143" s="51">
        <f>VLOOKUP($A143,'Data Vlaue (Cr)'!$C:$FB,62)*100</f>
        <v>-62.93</v>
      </c>
      <c r="M143" s="51">
        <f>VLOOKUP($A143,'Data Vlaue (Cr)'!$C:$FB,63)</f>
        <v>445</v>
      </c>
      <c r="N143" s="51">
        <f>VLOOKUP($A143,'Data Vlaue (Cr)'!$C:$FB,64)</f>
        <v>893</v>
      </c>
      <c r="O143" s="51">
        <f>VLOOKUP($A143,'Data Vlaue (Cr)'!$C:$FB,66)*100</f>
        <v>-50.160000000000004</v>
      </c>
    </row>
    <row r="144" spans="1:15" x14ac:dyDescent="0.25">
      <c r="A144" s="101" t="str">
        <f>'Data Vlaue (Cr)'!C139</f>
        <v>NAM-INDIA</v>
      </c>
      <c r="B144" s="50">
        <f>VLOOKUP($A144,'Data Vlaue (Cr)'!$C:$FB,8)</f>
        <v>1095.7</v>
      </c>
      <c r="C144" s="50">
        <f>VLOOKUP($A144,'Data Vlaue (Cr)'!$C:$FB,11)*100</f>
        <v>-0.4</v>
      </c>
      <c r="D144" s="50">
        <f>VLOOKUP($A144,'Data Vlaue (Cr)'!$C:$FB,143)</f>
        <v>427.38</v>
      </c>
      <c r="E144" s="50">
        <f>VLOOKUP($A144,'Data Vlaue (Cr)'!$C:$FB,144)</f>
        <v>659.44</v>
      </c>
      <c r="F144" s="50">
        <f>VLOOKUP($A144,'Data Vlaue (Cr)'!$C:$FB,146)*100</f>
        <v>-35.19</v>
      </c>
      <c r="G144" s="49">
        <f>VLOOKUP($A144,'Data Vlaue (Cr)'!$C:$FB,43)</f>
        <v>195</v>
      </c>
      <c r="H144" s="49">
        <f>VLOOKUP($A144,'Data Vlaue (Cr)'!$C:$FB,44)</f>
        <v>465</v>
      </c>
      <c r="I144" s="49">
        <f>VLOOKUP($A144,'Data Vlaue (Cr)'!$C:$FB,46)*100</f>
        <v>-58.14</v>
      </c>
      <c r="J144" s="51">
        <f>VLOOKUP($A144,'Data Vlaue (Cr)'!$C:$FB,59)</f>
        <v>129</v>
      </c>
      <c r="K144" s="51">
        <f>VLOOKUP($A144,'Data Vlaue (Cr)'!$C:$FB,60)</f>
        <v>146</v>
      </c>
      <c r="L144" s="51">
        <f>VLOOKUP($A144,'Data Vlaue (Cr)'!$C:$FB,62)*100</f>
        <v>-11.709999999999999</v>
      </c>
      <c r="M144" s="51">
        <f>VLOOKUP($A144,'Data Vlaue (Cr)'!$C:$FB,63)</f>
        <v>98</v>
      </c>
      <c r="N144" s="51">
        <f>VLOOKUP($A144,'Data Vlaue (Cr)'!$C:$FB,64)</f>
        <v>42</v>
      </c>
      <c r="O144" s="51">
        <f>VLOOKUP($A144,'Data Vlaue (Cr)'!$C:$FB,66)*100</f>
        <v>132.36000000000001</v>
      </c>
    </row>
    <row r="145" spans="1:15" x14ac:dyDescent="0.25">
      <c r="A145" s="101" t="str">
        <f>'Data Vlaue (Cr)'!C140</f>
        <v>NATIONALUM</v>
      </c>
      <c r="B145" s="50">
        <f>VLOOKUP($A145,'Data Vlaue (Cr)'!$C:$FB,8)</f>
        <v>416.2</v>
      </c>
      <c r="C145" s="50">
        <f>VLOOKUP($A145,'Data Vlaue (Cr)'!$C:$FB,11)*100</f>
        <v>3.2800000000000002</v>
      </c>
      <c r="D145" s="50">
        <f>VLOOKUP($A145,'Data Vlaue (Cr)'!$C:$FB,143)</f>
        <v>3882.84</v>
      </c>
      <c r="E145" s="50">
        <f>VLOOKUP($A145,'Data Vlaue (Cr)'!$C:$FB,144)</f>
        <v>2694.74</v>
      </c>
      <c r="F145" s="50">
        <f>VLOOKUP($A145,'Data Vlaue (Cr)'!$C:$FB,146)*100</f>
        <v>44.09</v>
      </c>
      <c r="G145" s="49">
        <f>VLOOKUP($A145,'Data Vlaue (Cr)'!$C:$FB,43)</f>
        <v>1612</v>
      </c>
      <c r="H145" s="49">
        <f>VLOOKUP($A145,'Data Vlaue (Cr)'!$C:$FB,44)</f>
        <v>1015</v>
      </c>
      <c r="I145" s="49">
        <f>VLOOKUP($A145,'Data Vlaue (Cr)'!$C:$FB,46)*100</f>
        <v>58.830000000000005</v>
      </c>
      <c r="J145" s="51">
        <f>VLOOKUP($A145,'Data Vlaue (Cr)'!$C:$FB,59)</f>
        <v>1554</v>
      </c>
      <c r="K145" s="51">
        <f>VLOOKUP($A145,'Data Vlaue (Cr)'!$C:$FB,60)</f>
        <v>1156</v>
      </c>
      <c r="L145" s="51">
        <f>VLOOKUP($A145,'Data Vlaue (Cr)'!$C:$FB,62)*100</f>
        <v>34.449999999999996</v>
      </c>
      <c r="M145" s="51">
        <f>VLOOKUP($A145,'Data Vlaue (Cr)'!$C:$FB,63)</f>
        <v>712</v>
      </c>
      <c r="N145" s="51">
        <f>VLOOKUP($A145,'Data Vlaue (Cr)'!$C:$FB,64)</f>
        <v>565</v>
      </c>
      <c r="O145" s="51">
        <f>VLOOKUP($A145,'Data Vlaue (Cr)'!$C:$FB,66)*100</f>
        <v>26.029999999999998</v>
      </c>
    </row>
    <row r="146" spans="1:15" x14ac:dyDescent="0.25">
      <c r="A146" s="101" t="str">
        <f>'Data Vlaue (Cr)'!C141</f>
        <v>NAUKRI</v>
      </c>
      <c r="B146" s="50">
        <f>VLOOKUP($A146,'Data Vlaue (Cr)'!$C:$FB,8)</f>
        <v>980.7</v>
      </c>
      <c r="C146" s="50">
        <f>VLOOKUP($A146,'Data Vlaue (Cr)'!$C:$FB,11)*100</f>
        <v>4.5</v>
      </c>
      <c r="D146" s="50">
        <f>VLOOKUP($A146,'Data Vlaue (Cr)'!$C:$FB,143)</f>
        <v>3624.16</v>
      </c>
      <c r="E146" s="50">
        <f>VLOOKUP($A146,'Data Vlaue (Cr)'!$C:$FB,144)</f>
        <v>6375.17</v>
      </c>
      <c r="F146" s="50">
        <f>VLOOKUP($A146,'Data Vlaue (Cr)'!$C:$FB,146)*100</f>
        <v>-43.15</v>
      </c>
      <c r="G146" s="49">
        <f>VLOOKUP($A146,'Data Vlaue (Cr)'!$C:$FB,43)</f>
        <v>567</v>
      </c>
      <c r="H146" s="49">
        <f>VLOOKUP($A146,'Data Vlaue (Cr)'!$C:$FB,44)</f>
        <v>1195</v>
      </c>
      <c r="I146" s="49">
        <f>VLOOKUP($A146,'Data Vlaue (Cr)'!$C:$FB,46)*100</f>
        <v>-52.52</v>
      </c>
      <c r="J146" s="51">
        <f>VLOOKUP($A146,'Data Vlaue (Cr)'!$C:$FB,59)</f>
        <v>2281</v>
      </c>
      <c r="K146" s="51">
        <f>VLOOKUP($A146,'Data Vlaue (Cr)'!$C:$FB,60)</f>
        <v>3412</v>
      </c>
      <c r="L146" s="51">
        <f>VLOOKUP($A146,'Data Vlaue (Cr)'!$C:$FB,62)*100</f>
        <v>-33.14</v>
      </c>
      <c r="M146" s="51">
        <f>VLOOKUP($A146,'Data Vlaue (Cr)'!$C:$FB,63)</f>
        <v>764</v>
      </c>
      <c r="N146" s="51">
        <f>VLOOKUP($A146,'Data Vlaue (Cr)'!$C:$FB,64)</f>
        <v>2010</v>
      </c>
      <c r="O146" s="51">
        <f>VLOOKUP($A146,'Data Vlaue (Cr)'!$C:$FB,66)*100</f>
        <v>-61.970000000000006</v>
      </c>
    </row>
    <row r="147" spans="1:15" x14ac:dyDescent="0.25">
      <c r="A147" s="101" t="str">
        <f>'Data Vlaue (Cr)'!C142</f>
        <v>NBCC</v>
      </c>
      <c r="B147" s="50">
        <f>VLOOKUP($A147,'Data Vlaue (Cr)'!$C:$FB,8)</f>
        <v>95.55</v>
      </c>
      <c r="C147" s="50">
        <f>VLOOKUP($A147,'Data Vlaue (Cr)'!$C:$FB,11)*100</f>
        <v>-1.28</v>
      </c>
      <c r="D147" s="50">
        <f>VLOOKUP($A147,'Data Vlaue (Cr)'!$C:$FB,143)</f>
        <v>1602.52</v>
      </c>
      <c r="E147" s="50">
        <f>VLOOKUP($A147,'Data Vlaue (Cr)'!$C:$FB,144)</f>
        <v>2332.2800000000002</v>
      </c>
      <c r="F147" s="50">
        <f>VLOOKUP($A147,'Data Vlaue (Cr)'!$C:$FB,146)*100</f>
        <v>-31.290000000000003</v>
      </c>
      <c r="G147" s="49">
        <f>VLOOKUP($A147,'Data Vlaue (Cr)'!$C:$FB,43)</f>
        <v>717</v>
      </c>
      <c r="H147" s="49">
        <f>VLOOKUP($A147,'Data Vlaue (Cr)'!$C:$FB,44)</f>
        <v>935</v>
      </c>
      <c r="I147" s="49">
        <f>VLOOKUP($A147,'Data Vlaue (Cr)'!$C:$FB,46)*100</f>
        <v>-23.36</v>
      </c>
      <c r="J147" s="51">
        <f>VLOOKUP($A147,'Data Vlaue (Cr)'!$C:$FB,59)</f>
        <v>566</v>
      </c>
      <c r="K147" s="51">
        <f>VLOOKUP($A147,'Data Vlaue (Cr)'!$C:$FB,60)</f>
        <v>892</v>
      </c>
      <c r="L147" s="51">
        <f>VLOOKUP($A147,'Data Vlaue (Cr)'!$C:$FB,62)*100</f>
        <v>-36.53</v>
      </c>
      <c r="M147" s="51">
        <f>VLOOKUP($A147,'Data Vlaue (Cr)'!$C:$FB,63)</f>
        <v>274</v>
      </c>
      <c r="N147" s="51">
        <f>VLOOKUP($A147,'Data Vlaue (Cr)'!$C:$FB,64)</f>
        <v>431</v>
      </c>
      <c r="O147" s="51">
        <f>VLOOKUP($A147,'Data Vlaue (Cr)'!$C:$FB,66)*100</f>
        <v>-36.340000000000003</v>
      </c>
    </row>
    <row r="148" spans="1:15" x14ac:dyDescent="0.25">
      <c r="A148" s="101" t="str">
        <f>'Data Vlaue (Cr)'!C143</f>
        <v>NESTLEIND</v>
      </c>
      <c r="B148" s="50">
        <f>VLOOKUP($A148,'Data Vlaue (Cr)'!$C:$FB,8)</f>
        <v>1428.6</v>
      </c>
      <c r="C148" s="50">
        <f>VLOOKUP($A148,'Data Vlaue (Cr)'!$C:$FB,11)*100</f>
        <v>1.06</v>
      </c>
      <c r="D148" s="50">
        <f>VLOOKUP($A148,'Data Vlaue (Cr)'!$C:$FB,143)</f>
        <v>1009.54</v>
      </c>
      <c r="E148" s="50">
        <f>VLOOKUP($A148,'Data Vlaue (Cr)'!$C:$FB,144)</f>
        <v>1651.49</v>
      </c>
      <c r="F148" s="50">
        <f>VLOOKUP($A148,'Data Vlaue (Cr)'!$C:$FB,146)*100</f>
        <v>-38.869999999999997</v>
      </c>
      <c r="G148" s="49">
        <f>VLOOKUP($A148,'Data Vlaue (Cr)'!$C:$FB,43)</f>
        <v>372</v>
      </c>
      <c r="H148" s="49">
        <f>VLOOKUP($A148,'Data Vlaue (Cr)'!$C:$FB,44)</f>
        <v>925</v>
      </c>
      <c r="I148" s="49">
        <f>VLOOKUP($A148,'Data Vlaue (Cr)'!$C:$FB,46)*100</f>
        <v>-59.74</v>
      </c>
      <c r="J148" s="51">
        <f>VLOOKUP($A148,'Data Vlaue (Cr)'!$C:$FB,59)</f>
        <v>389</v>
      </c>
      <c r="K148" s="51">
        <f>VLOOKUP($A148,'Data Vlaue (Cr)'!$C:$FB,60)</f>
        <v>471</v>
      </c>
      <c r="L148" s="51">
        <f>VLOOKUP($A148,'Data Vlaue (Cr)'!$C:$FB,62)*100</f>
        <v>-17.47</v>
      </c>
      <c r="M148" s="51">
        <f>VLOOKUP($A148,'Data Vlaue (Cr)'!$C:$FB,63)</f>
        <v>247</v>
      </c>
      <c r="N148" s="51">
        <f>VLOOKUP($A148,'Data Vlaue (Cr)'!$C:$FB,64)</f>
        <v>255</v>
      </c>
      <c r="O148" s="51">
        <f>VLOOKUP($A148,'Data Vlaue (Cr)'!$C:$FB,66)*100</f>
        <v>-2.85</v>
      </c>
    </row>
    <row r="149" spans="1:15" x14ac:dyDescent="0.25">
      <c r="A149" s="101" t="str">
        <f>'Data Vlaue (Cr)'!C144</f>
        <v>NHPC</v>
      </c>
      <c r="B149" s="50">
        <f>VLOOKUP($A149,'Data Vlaue (Cr)'!$C:$FB,8)</f>
        <v>78.44</v>
      </c>
      <c r="C149" s="50">
        <f>VLOOKUP($A149,'Data Vlaue (Cr)'!$C:$FB,11)*100</f>
        <v>-0.73</v>
      </c>
      <c r="D149" s="50">
        <f>VLOOKUP($A149,'Data Vlaue (Cr)'!$C:$FB,143)</f>
        <v>694.23</v>
      </c>
      <c r="E149" s="50">
        <f>VLOOKUP($A149,'Data Vlaue (Cr)'!$C:$FB,144)</f>
        <v>1110.1199999999999</v>
      </c>
      <c r="F149" s="50">
        <f>VLOOKUP($A149,'Data Vlaue (Cr)'!$C:$FB,146)*100</f>
        <v>-37.46</v>
      </c>
      <c r="G149" s="49">
        <f>VLOOKUP($A149,'Data Vlaue (Cr)'!$C:$FB,43)</f>
        <v>280</v>
      </c>
      <c r="H149" s="49">
        <f>VLOOKUP($A149,'Data Vlaue (Cr)'!$C:$FB,44)</f>
        <v>569</v>
      </c>
      <c r="I149" s="49">
        <f>VLOOKUP($A149,'Data Vlaue (Cr)'!$C:$FB,46)*100</f>
        <v>-50.870000000000005</v>
      </c>
      <c r="J149" s="51">
        <f>VLOOKUP($A149,'Data Vlaue (Cr)'!$C:$FB,59)</f>
        <v>255</v>
      </c>
      <c r="K149" s="51">
        <f>VLOOKUP($A149,'Data Vlaue (Cr)'!$C:$FB,60)</f>
        <v>388</v>
      </c>
      <c r="L149" s="51">
        <f>VLOOKUP($A149,'Data Vlaue (Cr)'!$C:$FB,62)*100</f>
        <v>-34.14</v>
      </c>
      <c r="M149" s="51">
        <f>VLOOKUP($A149,'Data Vlaue (Cr)'!$C:$FB,63)</f>
        <v>141</v>
      </c>
      <c r="N149" s="51">
        <f>VLOOKUP($A149,'Data Vlaue (Cr)'!$C:$FB,64)</f>
        <v>125</v>
      </c>
      <c r="O149" s="51">
        <f>VLOOKUP($A149,'Data Vlaue (Cr)'!$C:$FB,66)*100</f>
        <v>12.8</v>
      </c>
    </row>
    <row r="150" spans="1:15" x14ac:dyDescent="0.25">
      <c r="A150" s="101" t="str">
        <f>'Data Vlaue (Cr)'!C145</f>
        <v>NIFTY</v>
      </c>
      <c r="B150" s="50">
        <f>VLOOKUP($A150,'Data Vlaue (Cr)'!$C:$FB,8)</f>
        <v>23913.7</v>
      </c>
      <c r="C150" s="50">
        <f>VLOOKUP($A150,'Data Vlaue (Cr)'!$C:$FB,11)*100</f>
        <v>-0.49</v>
      </c>
      <c r="D150" s="50">
        <f>VLOOKUP($A150,'Data Vlaue (Cr)'!$C:$FB,143)</f>
        <v>49004522.710000001</v>
      </c>
      <c r="E150" s="50">
        <f>VLOOKUP($A150,'Data Vlaue (Cr)'!$C:$FB,144)</f>
        <v>16430838.33</v>
      </c>
      <c r="F150" s="50">
        <f>VLOOKUP($A150,'Data Vlaue (Cr)'!$C:$FB,146)*100</f>
        <v>198.25</v>
      </c>
      <c r="G150" s="49">
        <f>VLOOKUP($A150,'Data Vlaue (Cr)'!$C:$FB,43)</f>
        <v>22514</v>
      </c>
      <c r="H150" s="49">
        <f>VLOOKUP($A150,'Data Vlaue (Cr)'!$C:$FB,44)</f>
        <v>22494</v>
      </c>
      <c r="I150" s="49">
        <f>VLOOKUP($A150,'Data Vlaue (Cr)'!$C:$FB,46)*100</f>
        <v>0.09</v>
      </c>
      <c r="J150" s="51">
        <f>VLOOKUP($A150,'Data Vlaue (Cr)'!$C:$FB,59)</f>
        <v>23065371</v>
      </c>
      <c r="K150" s="51">
        <f>VLOOKUP($A150,'Data Vlaue (Cr)'!$C:$FB,60)</f>
        <v>8188969</v>
      </c>
      <c r="L150" s="51">
        <f>VLOOKUP($A150,'Data Vlaue (Cr)'!$C:$FB,62)*100</f>
        <v>181.66</v>
      </c>
      <c r="M150" s="51">
        <f>VLOOKUP($A150,'Data Vlaue (Cr)'!$C:$FB,63)</f>
        <v>25878733</v>
      </c>
      <c r="N150" s="51">
        <f>VLOOKUP($A150,'Data Vlaue (Cr)'!$C:$FB,64)</f>
        <v>8219254</v>
      </c>
      <c r="O150" s="51">
        <f>VLOOKUP($A150,'Data Vlaue (Cr)'!$C:$FB,66)*100</f>
        <v>214.85</v>
      </c>
    </row>
    <row r="151" spans="1:15" x14ac:dyDescent="0.25">
      <c r="A151" s="101" t="str">
        <f>'Data Vlaue (Cr)'!C146</f>
        <v>NIFTYNXT50</v>
      </c>
      <c r="B151" s="50">
        <f>VLOOKUP($A151,'Data Vlaue (Cr)'!$C:$FB,8)</f>
        <v>70945.100000000006</v>
      </c>
      <c r="C151" s="50">
        <f>VLOOKUP($A151,'Data Vlaue (Cr)'!$C:$FB,11)*100</f>
        <v>0.18</v>
      </c>
      <c r="D151" s="50">
        <f>VLOOKUP($A151,'Data Vlaue (Cr)'!$C:$FB,143)</f>
        <v>3130.4</v>
      </c>
      <c r="E151" s="50">
        <f>VLOOKUP($A151,'Data Vlaue (Cr)'!$C:$FB,144)</f>
        <v>689.17</v>
      </c>
      <c r="F151" s="50">
        <f>VLOOKUP($A151,'Data Vlaue (Cr)'!$C:$FB,146)*100</f>
        <v>354.23</v>
      </c>
      <c r="G151" s="49">
        <f>VLOOKUP($A151,'Data Vlaue (Cr)'!$C:$FB,43)</f>
        <v>94</v>
      </c>
      <c r="H151" s="49">
        <f>VLOOKUP($A151,'Data Vlaue (Cr)'!$C:$FB,44)</f>
        <v>142</v>
      </c>
      <c r="I151" s="49">
        <f>VLOOKUP($A151,'Data Vlaue (Cr)'!$C:$FB,46)*100</f>
        <v>-34.29</v>
      </c>
      <c r="J151" s="51">
        <f>VLOOKUP($A151,'Data Vlaue (Cr)'!$C:$FB,59)</f>
        <v>1760</v>
      </c>
      <c r="K151" s="51">
        <f>VLOOKUP($A151,'Data Vlaue (Cr)'!$C:$FB,60)</f>
        <v>396</v>
      </c>
      <c r="L151" s="51">
        <f>VLOOKUP($A151,'Data Vlaue (Cr)'!$C:$FB,62)*100</f>
        <v>344.72999999999996</v>
      </c>
      <c r="M151" s="51">
        <f>VLOOKUP($A151,'Data Vlaue (Cr)'!$C:$FB,63)</f>
        <v>1299</v>
      </c>
      <c r="N151" s="51">
        <f>VLOOKUP($A151,'Data Vlaue (Cr)'!$C:$FB,64)</f>
        <v>154</v>
      </c>
      <c r="O151" s="51">
        <f>VLOOKUP($A151,'Data Vlaue (Cr)'!$C:$FB,66)*100</f>
        <v>742.19999999999993</v>
      </c>
    </row>
    <row r="152" spans="1:15" x14ac:dyDescent="0.25">
      <c r="A152" s="101" t="str">
        <f>'Data Vlaue (Cr)'!C147</f>
        <v>NMDC</v>
      </c>
      <c r="B152" s="50">
        <f>VLOOKUP($A152,'Data Vlaue (Cr)'!$C:$FB,8)</f>
        <v>90.67</v>
      </c>
      <c r="C152" s="50">
        <f>VLOOKUP($A152,'Data Vlaue (Cr)'!$C:$FB,11)*100</f>
        <v>0.53</v>
      </c>
      <c r="D152" s="50">
        <f>VLOOKUP($A152,'Data Vlaue (Cr)'!$C:$FB,143)</f>
        <v>2634.28</v>
      </c>
      <c r="E152" s="50">
        <f>VLOOKUP($A152,'Data Vlaue (Cr)'!$C:$FB,144)</f>
        <v>2298.92</v>
      </c>
      <c r="F152" s="50">
        <f>VLOOKUP($A152,'Data Vlaue (Cr)'!$C:$FB,146)*100</f>
        <v>14.59</v>
      </c>
      <c r="G152" s="49">
        <f>VLOOKUP($A152,'Data Vlaue (Cr)'!$C:$FB,43)</f>
        <v>1293</v>
      </c>
      <c r="H152" s="49">
        <f>VLOOKUP($A152,'Data Vlaue (Cr)'!$C:$FB,44)</f>
        <v>1420</v>
      </c>
      <c r="I152" s="49">
        <f>VLOOKUP($A152,'Data Vlaue (Cr)'!$C:$FB,46)*100</f>
        <v>-8.91</v>
      </c>
      <c r="J152" s="51">
        <f>VLOOKUP($A152,'Data Vlaue (Cr)'!$C:$FB,59)</f>
        <v>901</v>
      </c>
      <c r="K152" s="51">
        <f>VLOOKUP($A152,'Data Vlaue (Cr)'!$C:$FB,60)</f>
        <v>664</v>
      </c>
      <c r="L152" s="51">
        <f>VLOOKUP($A152,'Data Vlaue (Cr)'!$C:$FB,62)*100</f>
        <v>35.709999999999994</v>
      </c>
      <c r="M152" s="51">
        <f>VLOOKUP($A152,'Data Vlaue (Cr)'!$C:$FB,63)</f>
        <v>431</v>
      </c>
      <c r="N152" s="51">
        <f>VLOOKUP($A152,'Data Vlaue (Cr)'!$C:$FB,64)</f>
        <v>223</v>
      </c>
      <c r="O152" s="51">
        <f>VLOOKUP($A152,'Data Vlaue (Cr)'!$C:$FB,66)*100</f>
        <v>93.179999999999993</v>
      </c>
    </row>
    <row r="153" spans="1:15" x14ac:dyDescent="0.25">
      <c r="A153" s="101" t="str">
        <f>'Data Vlaue (Cr)'!C148</f>
        <v>NTPC</v>
      </c>
      <c r="B153" s="50">
        <f>VLOOKUP($A153,'Data Vlaue (Cr)'!$C:$FB,8)</f>
        <v>389.7</v>
      </c>
      <c r="C153" s="50">
        <f>VLOOKUP($A153,'Data Vlaue (Cr)'!$C:$FB,11)*100</f>
        <v>-0.09</v>
      </c>
      <c r="D153" s="50">
        <f>VLOOKUP($A153,'Data Vlaue (Cr)'!$C:$FB,143)</f>
        <v>3266.8</v>
      </c>
      <c r="E153" s="50">
        <f>VLOOKUP($A153,'Data Vlaue (Cr)'!$C:$FB,144)</f>
        <v>7726.94</v>
      </c>
      <c r="F153" s="50">
        <f>VLOOKUP($A153,'Data Vlaue (Cr)'!$C:$FB,146)*100</f>
        <v>-57.720000000000006</v>
      </c>
      <c r="G153" s="49">
        <f>VLOOKUP($A153,'Data Vlaue (Cr)'!$C:$FB,43)</f>
        <v>1381</v>
      </c>
      <c r="H153" s="49">
        <f>VLOOKUP($A153,'Data Vlaue (Cr)'!$C:$FB,44)</f>
        <v>2555</v>
      </c>
      <c r="I153" s="49">
        <f>VLOOKUP($A153,'Data Vlaue (Cr)'!$C:$FB,46)*100</f>
        <v>-45.93</v>
      </c>
      <c r="J153" s="51">
        <f>VLOOKUP($A153,'Data Vlaue (Cr)'!$C:$FB,59)</f>
        <v>1141</v>
      </c>
      <c r="K153" s="51">
        <f>VLOOKUP($A153,'Data Vlaue (Cr)'!$C:$FB,60)</f>
        <v>3319</v>
      </c>
      <c r="L153" s="51">
        <f>VLOOKUP($A153,'Data Vlaue (Cr)'!$C:$FB,62)*100</f>
        <v>-65.63</v>
      </c>
      <c r="M153" s="51">
        <f>VLOOKUP($A153,'Data Vlaue (Cr)'!$C:$FB,63)</f>
        <v>724</v>
      </c>
      <c r="N153" s="51">
        <f>VLOOKUP($A153,'Data Vlaue (Cr)'!$C:$FB,64)</f>
        <v>1842</v>
      </c>
      <c r="O153" s="51">
        <f>VLOOKUP($A153,'Data Vlaue (Cr)'!$C:$FB,66)*100</f>
        <v>-60.68</v>
      </c>
    </row>
    <row r="154" spans="1:15" x14ac:dyDescent="0.25">
      <c r="A154" s="101" t="str">
        <f>'Data Vlaue (Cr)'!C149</f>
        <v>NUVAMA</v>
      </c>
      <c r="B154" s="50">
        <f>VLOOKUP($A154,'Data Vlaue (Cr)'!$C:$FB,8)</f>
        <v>1513.4</v>
      </c>
      <c r="C154" s="50">
        <f>VLOOKUP($A154,'Data Vlaue (Cr)'!$C:$FB,11)*100</f>
        <v>0.57000000000000006</v>
      </c>
      <c r="D154" s="50">
        <f>VLOOKUP($A154,'Data Vlaue (Cr)'!$C:$FB,143)</f>
        <v>591.03</v>
      </c>
      <c r="E154" s="50">
        <f>VLOOKUP($A154,'Data Vlaue (Cr)'!$C:$FB,144)</f>
        <v>682.08</v>
      </c>
      <c r="F154" s="50">
        <f>VLOOKUP($A154,'Data Vlaue (Cr)'!$C:$FB,146)*100</f>
        <v>-13.350000000000001</v>
      </c>
      <c r="G154" s="49">
        <f>VLOOKUP($A154,'Data Vlaue (Cr)'!$C:$FB,43)</f>
        <v>273</v>
      </c>
      <c r="H154" s="49">
        <f>VLOOKUP($A154,'Data Vlaue (Cr)'!$C:$FB,44)</f>
        <v>260</v>
      </c>
      <c r="I154" s="49">
        <f>VLOOKUP($A154,'Data Vlaue (Cr)'!$C:$FB,46)*100</f>
        <v>4.83</v>
      </c>
      <c r="J154" s="51">
        <f>VLOOKUP($A154,'Data Vlaue (Cr)'!$C:$FB,59)</f>
        <v>215</v>
      </c>
      <c r="K154" s="51">
        <f>VLOOKUP($A154,'Data Vlaue (Cr)'!$C:$FB,60)</f>
        <v>286</v>
      </c>
      <c r="L154" s="51">
        <f>VLOOKUP($A154,'Data Vlaue (Cr)'!$C:$FB,62)*100</f>
        <v>-24.84</v>
      </c>
      <c r="M154" s="51">
        <f>VLOOKUP($A154,'Data Vlaue (Cr)'!$C:$FB,63)</f>
        <v>104</v>
      </c>
      <c r="N154" s="51">
        <f>VLOOKUP($A154,'Data Vlaue (Cr)'!$C:$FB,64)</f>
        <v>139</v>
      </c>
      <c r="O154" s="51">
        <f>VLOOKUP($A154,'Data Vlaue (Cr)'!$C:$FB,66)*100</f>
        <v>-25.22</v>
      </c>
    </row>
    <row r="155" spans="1:15" x14ac:dyDescent="0.25">
      <c r="A155" s="101" t="str">
        <f>'Data Vlaue (Cr)'!C150</f>
        <v>NYKAA</v>
      </c>
      <c r="B155" s="50">
        <f>VLOOKUP($A155,'Data Vlaue (Cr)'!$C:$FB,8)</f>
        <v>266.35000000000002</v>
      </c>
      <c r="C155" s="50">
        <f>VLOOKUP($A155,'Data Vlaue (Cr)'!$C:$FB,11)*100</f>
        <v>-1.37</v>
      </c>
      <c r="D155" s="50">
        <f>VLOOKUP($A155,'Data Vlaue (Cr)'!$C:$FB,143)</f>
        <v>1720.24</v>
      </c>
      <c r="E155" s="50">
        <f>VLOOKUP($A155,'Data Vlaue (Cr)'!$C:$FB,144)</f>
        <v>3871.68</v>
      </c>
      <c r="F155" s="50">
        <f>VLOOKUP($A155,'Data Vlaue (Cr)'!$C:$FB,146)*100</f>
        <v>-55.57</v>
      </c>
      <c r="G155" s="49">
        <f>VLOOKUP($A155,'Data Vlaue (Cr)'!$C:$FB,43)</f>
        <v>640</v>
      </c>
      <c r="H155" s="49">
        <f>VLOOKUP($A155,'Data Vlaue (Cr)'!$C:$FB,44)</f>
        <v>1073</v>
      </c>
      <c r="I155" s="49">
        <f>VLOOKUP($A155,'Data Vlaue (Cr)'!$C:$FB,46)*100</f>
        <v>-40.31</v>
      </c>
      <c r="J155" s="51">
        <f>VLOOKUP($A155,'Data Vlaue (Cr)'!$C:$FB,59)</f>
        <v>771</v>
      </c>
      <c r="K155" s="51">
        <f>VLOOKUP($A155,'Data Vlaue (Cr)'!$C:$FB,60)</f>
        <v>1979</v>
      </c>
      <c r="L155" s="51">
        <f>VLOOKUP($A155,'Data Vlaue (Cr)'!$C:$FB,62)*100</f>
        <v>-61.050000000000004</v>
      </c>
      <c r="M155" s="51">
        <f>VLOOKUP($A155,'Data Vlaue (Cr)'!$C:$FB,63)</f>
        <v>253</v>
      </c>
      <c r="N155" s="51">
        <f>VLOOKUP($A155,'Data Vlaue (Cr)'!$C:$FB,64)</f>
        <v>641</v>
      </c>
      <c r="O155" s="51">
        <f>VLOOKUP($A155,'Data Vlaue (Cr)'!$C:$FB,66)*100</f>
        <v>-60.57</v>
      </c>
    </row>
    <row r="156" spans="1:15" x14ac:dyDescent="0.25">
      <c r="A156" s="101" t="str">
        <f>'Data Vlaue (Cr)'!C151</f>
        <v>OBEROIRLTY</v>
      </c>
      <c r="B156" s="50">
        <f>VLOOKUP($A156,'Data Vlaue (Cr)'!$C:$FB,8)</f>
        <v>1693.7</v>
      </c>
      <c r="C156" s="50">
        <f>VLOOKUP($A156,'Data Vlaue (Cr)'!$C:$FB,11)*100</f>
        <v>-1.0900000000000001</v>
      </c>
      <c r="D156" s="50">
        <f>VLOOKUP($A156,'Data Vlaue (Cr)'!$C:$FB,143)</f>
        <v>670.37</v>
      </c>
      <c r="E156" s="50">
        <f>VLOOKUP($A156,'Data Vlaue (Cr)'!$C:$FB,144)</f>
        <v>1714.6</v>
      </c>
      <c r="F156" s="50">
        <f>VLOOKUP($A156,'Data Vlaue (Cr)'!$C:$FB,146)*100</f>
        <v>-60.9</v>
      </c>
      <c r="G156" s="49">
        <f>VLOOKUP($A156,'Data Vlaue (Cr)'!$C:$FB,43)</f>
        <v>356</v>
      </c>
      <c r="H156" s="49">
        <f>VLOOKUP($A156,'Data Vlaue (Cr)'!$C:$FB,44)</f>
        <v>1112</v>
      </c>
      <c r="I156" s="49">
        <f>VLOOKUP($A156,'Data Vlaue (Cr)'!$C:$FB,46)*100</f>
        <v>-67.95</v>
      </c>
      <c r="J156" s="51">
        <f>VLOOKUP($A156,'Data Vlaue (Cr)'!$C:$FB,59)</f>
        <v>188</v>
      </c>
      <c r="K156" s="51">
        <f>VLOOKUP($A156,'Data Vlaue (Cr)'!$C:$FB,60)</f>
        <v>403</v>
      </c>
      <c r="L156" s="51">
        <f>VLOOKUP($A156,'Data Vlaue (Cr)'!$C:$FB,62)*100</f>
        <v>-53.39</v>
      </c>
      <c r="M156" s="51">
        <f>VLOOKUP($A156,'Data Vlaue (Cr)'!$C:$FB,63)</f>
        <v>119</v>
      </c>
      <c r="N156" s="51">
        <f>VLOOKUP($A156,'Data Vlaue (Cr)'!$C:$FB,64)</f>
        <v>176</v>
      </c>
      <c r="O156" s="51">
        <f>VLOOKUP($A156,'Data Vlaue (Cr)'!$C:$FB,66)*100</f>
        <v>-32.190000000000005</v>
      </c>
    </row>
    <row r="157" spans="1:15" x14ac:dyDescent="0.25">
      <c r="A157" s="101" t="str">
        <f>'Data Vlaue (Cr)'!C152</f>
        <v>OFSS</v>
      </c>
      <c r="B157" s="50">
        <f>VLOOKUP($A157,'Data Vlaue (Cr)'!$C:$FB,8)</f>
        <v>9882</v>
      </c>
      <c r="C157" s="50">
        <f>VLOOKUP($A157,'Data Vlaue (Cr)'!$C:$FB,11)*100</f>
        <v>1.8399999999999999</v>
      </c>
      <c r="D157" s="50">
        <f>VLOOKUP($A157,'Data Vlaue (Cr)'!$C:$FB,143)</f>
        <v>2744.24</v>
      </c>
      <c r="E157" s="50">
        <f>VLOOKUP($A157,'Data Vlaue (Cr)'!$C:$FB,144)</f>
        <v>3667.03</v>
      </c>
      <c r="F157" s="50">
        <f>VLOOKUP($A157,'Data Vlaue (Cr)'!$C:$FB,146)*100</f>
        <v>-25.16</v>
      </c>
      <c r="G157" s="49">
        <f>VLOOKUP($A157,'Data Vlaue (Cr)'!$C:$FB,43)</f>
        <v>455</v>
      </c>
      <c r="H157" s="49">
        <f>VLOOKUP($A157,'Data Vlaue (Cr)'!$C:$FB,44)</f>
        <v>670</v>
      </c>
      <c r="I157" s="49">
        <f>VLOOKUP($A157,'Data Vlaue (Cr)'!$C:$FB,46)*100</f>
        <v>-32.14</v>
      </c>
      <c r="J157" s="51">
        <f>VLOOKUP($A157,'Data Vlaue (Cr)'!$C:$FB,59)</f>
        <v>1424</v>
      </c>
      <c r="K157" s="51">
        <f>VLOOKUP($A157,'Data Vlaue (Cr)'!$C:$FB,60)</f>
        <v>1793</v>
      </c>
      <c r="L157" s="51">
        <f>VLOOKUP($A157,'Data Vlaue (Cr)'!$C:$FB,62)*100</f>
        <v>-20.560000000000002</v>
      </c>
      <c r="M157" s="51">
        <f>VLOOKUP($A157,'Data Vlaue (Cr)'!$C:$FB,63)</f>
        <v>857</v>
      </c>
      <c r="N157" s="51">
        <f>VLOOKUP($A157,'Data Vlaue (Cr)'!$C:$FB,64)</f>
        <v>1252</v>
      </c>
      <c r="O157" s="51">
        <f>VLOOKUP($A157,'Data Vlaue (Cr)'!$C:$FB,66)*100</f>
        <v>-31.580000000000002</v>
      </c>
    </row>
    <row r="158" spans="1:15" x14ac:dyDescent="0.25">
      <c r="A158" s="101" t="str">
        <f>'Data Vlaue (Cr)'!C153</f>
        <v>OIL</v>
      </c>
      <c r="B158" s="50">
        <f>VLOOKUP($A158,'Data Vlaue (Cr)'!$C:$FB,8)</f>
        <v>492.1</v>
      </c>
      <c r="C158" s="50">
        <f>VLOOKUP($A158,'Data Vlaue (Cr)'!$C:$FB,11)*100</f>
        <v>1.9800000000000002</v>
      </c>
      <c r="D158" s="50">
        <f>VLOOKUP($A158,'Data Vlaue (Cr)'!$C:$FB,143)</f>
        <v>1162.8</v>
      </c>
      <c r="E158" s="50">
        <f>VLOOKUP($A158,'Data Vlaue (Cr)'!$C:$FB,144)</f>
        <v>1636.79</v>
      </c>
      <c r="F158" s="50">
        <f>VLOOKUP($A158,'Data Vlaue (Cr)'!$C:$FB,146)*100</f>
        <v>-28.96</v>
      </c>
      <c r="G158" s="49">
        <f>VLOOKUP($A158,'Data Vlaue (Cr)'!$C:$FB,43)</f>
        <v>348</v>
      </c>
      <c r="H158" s="49">
        <f>VLOOKUP($A158,'Data Vlaue (Cr)'!$C:$FB,44)</f>
        <v>527</v>
      </c>
      <c r="I158" s="49">
        <f>VLOOKUP($A158,'Data Vlaue (Cr)'!$C:$FB,46)*100</f>
        <v>-33.89</v>
      </c>
      <c r="J158" s="51">
        <f>VLOOKUP($A158,'Data Vlaue (Cr)'!$C:$FB,59)</f>
        <v>532</v>
      </c>
      <c r="K158" s="51">
        <f>VLOOKUP($A158,'Data Vlaue (Cr)'!$C:$FB,60)</f>
        <v>561</v>
      </c>
      <c r="L158" s="51">
        <f>VLOOKUP($A158,'Data Vlaue (Cr)'!$C:$FB,62)*100</f>
        <v>-5.0599999999999996</v>
      </c>
      <c r="M158" s="51">
        <f>VLOOKUP($A158,'Data Vlaue (Cr)'!$C:$FB,63)</f>
        <v>274</v>
      </c>
      <c r="N158" s="51">
        <f>VLOOKUP($A158,'Data Vlaue (Cr)'!$C:$FB,64)</f>
        <v>549</v>
      </c>
      <c r="O158" s="51">
        <f>VLOOKUP($A158,'Data Vlaue (Cr)'!$C:$FB,66)*100</f>
        <v>-50.149999999999991</v>
      </c>
    </row>
    <row r="159" spans="1:15" x14ac:dyDescent="0.25">
      <c r="A159" s="101" t="str">
        <f>'Data Vlaue (Cr)'!C154</f>
        <v>ONGC</v>
      </c>
      <c r="B159" s="50">
        <f>VLOOKUP($A159,'Data Vlaue (Cr)'!$C:$FB,8)</f>
        <v>287.5</v>
      </c>
      <c r="C159" s="50">
        <f>VLOOKUP($A159,'Data Vlaue (Cr)'!$C:$FB,11)*100</f>
        <v>0.89</v>
      </c>
      <c r="D159" s="50">
        <f>VLOOKUP($A159,'Data Vlaue (Cr)'!$C:$FB,143)</f>
        <v>3716.36</v>
      </c>
      <c r="E159" s="50">
        <f>VLOOKUP($A159,'Data Vlaue (Cr)'!$C:$FB,144)</f>
        <v>4820.05</v>
      </c>
      <c r="F159" s="50">
        <f>VLOOKUP($A159,'Data Vlaue (Cr)'!$C:$FB,146)*100</f>
        <v>-22.900000000000002</v>
      </c>
      <c r="G159" s="49">
        <f>VLOOKUP($A159,'Data Vlaue (Cr)'!$C:$FB,43)</f>
        <v>761</v>
      </c>
      <c r="H159" s="49">
        <f>VLOOKUP($A159,'Data Vlaue (Cr)'!$C:$FB,44)</f>
        <v>1473</v>
      </c>
      <c r="I159" s="49">
        <f>VLOOKUP($A159,'Data Vlaue (Cr)'!$C:$FB,46)*100</f>
        <v>-48.29</v>
      </c>
      <c r="J159" s="51">
        <f>VLOOKUP($A159,'Data Vlaue (Cr)'!$C:$FB,59)</f>
        <v>1902</v>
      </c>
      <c r="K159" s="51">
        <f>VLOOKUP($A159,'Data Vlaue (Cr)'!$C:$FB,60)</f>
        <v>1935</v>
      </c>
      <c r="L159" s="51">
        <f>VLOOKUP($A159,'Data Vlaue (Cr)'!$C:$FB,62)*100</f>
        <v>-1.71</v>
      </c>
      <c r="M159" s="51">
        <f>VLOOKUP($A159,'Data Vlaue (Cr)'!$C:$FB,63)</f>
        <v>985</v>
      </c>
      <c r="N159" s="51">
        <f>VLOOKUP($A159,'Data Vlaue (Cr)'!$C:$FB,64)</f>
        <v>1391</v>
      </c>
      <c r="O159" s="51">
        <f>VLOOKUP($A159,'Data Vlaue (Cr)'!$C:$FB,66)*100</f>
        <v>-29.160000000000004</v>
      </c>
    </row>
    <row r="160" spans="1:15" x14ac:dyDescent="0.25">
      <c r="A160" s="101" t="str">
        <f>'Data Vlaue (Cr)'!C155</f>
        <v>PAGEIND</v>
      </c>
      <c r="B160" s="50">
        <f>VLOOKUP($A160,'Data Vlaue (Cr)'!$C:$FB,8)</f>
        <v>38305</v>
      </c>
      <c r="C160" s="50">
        <f>VLOOKUP($A160,'Data Vlaue (Cr)'!$C:$FB,11)*100</f>
        <v>-0.62</v>
      </c>
      <c r="D160" s="50">
        <f>VLOOKUP($A160,'Data Vlaue (Cr)'!$C:$FB,143)</f>
        <v>1246.52</v>
      </c>
      <c r="E160" s="50">
        <f>VLOOKUP($A160,'Data Vlaue (Cr)'!$C:$FB,144)</f>
        <v>4996.82</v>
      </c>
      <c r="F160" s="50">
        <f>VLOOKUP($A160,'Data Vlaue (Cr)'!$C:$FB,146)*100</f>
        <v>-75.05</v>
      </c>
      <c r="G160" s="49">
        <f>VLOOKUP($A160,'Data Vlaue (Cr)'!$C:$FB,43)</f>
        <v>206</v>
      </c>
      <c r="H160" s="49">
        <f>VLOOKUP($A160,'Data Vlaue (Cr)'!$C:$FB,44)</f>
        <v>828</v>
      </c>
      <c r="I160" s="49">
        <f>VLOOKUP($A160,'Data Vlaue (Cr)'!$C:$FB,46)*100</f>
        <v>-75.099999999999994</v>
      </c>
      <c r="J160" s="51">
        <f>VLOOKUP($A160,'Data Vlaue (Cr)'!$C:$FB,59)</f>
        <v>690</v>
      </c>
      <c r="K160" s="51">
        <f>VLOOKUP($A160,'Data Vlaue (Cr)'!$C:$FB,60)</f>
        <v>2288</v>
      </c>
      <c r="L160" s="51">
        <f>VLOOKUP($A160,'Data Vlaue (Cr)'!$C:$FB,62)*100</f>
        <v>-69.83</v>
      </c>
      <c r="M160" s="51">
        <f>VLOOKUP($A160,'Data Vlaue (Cr)'!$C:$FB,63)</f>
        <v>324</v>
      </c>
      <c r="N160" s="51">
        <f>VLOOKUP($A160,'Data Vlaue (Cr)'!$C:$FB,64)</f>
        <v>1796</v>
      </c>
      <c r="O160" s="51">
        <f>VLOOKUP($A160,'Data Vlaue (Cr)'!$C:$FB,66)*100</f>
        <v>-81.98</v>
      </c>
    </row>
    <row r="161" spans="1:15" x14ac:dyDescent="0.25">
      <c r="A161" s="101" t="str">
        <f>'Data Vlaue (Cr)'!C156</f>
        <v>PATANJALI</v>
      </c>
      <c r="B161" s="50">
        <f>VLOOKUP($A161,'Data Vlaue (Cr)'!$C:$FB,8)</f>
        <v>465.75</v>
      </c>
      <c r="C161" s="50">
        <f>VLOOKUP($A161,'Data Vlaue (Cr)'!$C:$FB,11)*100</f>
        <v>-0.57999999999999996</v>
      </c>
      <c r="D161" s="50">
        <f>VLOOKUP($A161,'Data Vlaue (Cr)'!$C:$FB,143)</f>
        <v>844.58</v>
      </c>
      <c r="E161" s="50">
        <f>VLOOKUP($A161,'Data Vlaue (Cr)'!$C:$FB,144)</f>
        <v>1616.22</v>
      </c>
      <c r="F161" s="50">
        <f>VLOOKUP($A161,'Data Vlaue (Cr)'!$C:$FB,146)*100</f>
        <v>-47.74</v>
      </c>
      <c r="G161" s="49">
        <f>VLOOKUP($A161,'Data Vlaue (Cr)'!$C:$FB,43)</f>
        <v>627</v>
      </c>
      <c r="H161" s="49">
        <f>VLOOKUP($A161,'Data Vlaue (Cr)'!$C:$FB,44)</f>
        <v>1081</v>
      </c>
      <c r="I161" s="49">
        <f>VLOOKUP($A161,'Data Vlaue (Cr)'!$C:$FB,46)*100</f>
        <v>-41.94</v>
      </c>
      <c r="J161" s="51">
        <f>VLOOKUP($A161,'Data Vlaue (Cr)'!$C:$FB,59)</f>
        <v>132</v>
      </c>
      <c r="K161" s="51">
        <f>VLOOKUP($A161,'Data Vlaue (Cr)'!$C:$FB,60)</f>
        <v>294</v>
      </c>
      <c r="L161" s="51">
        <f>VLOOKUP($A161,'Data Vlaue (Cr)'!$C:$FB,62)*100</f>
        <v>-54.93</v>
      </c>
      <c r="M161" s="51">
        <f>VLOOKUP($A161,'Data Vlaue (Cr)'!$C:$FB,63)</f>
        <v>79</v>
      </c>
      <c r="N161" s="51">
        <f>VLOOKUP($A161,'Data Vlaue (Cr)'!$C:$FB,64)</f>
        <v>203</v>
      </c>
      <c r="O161" s="51">
        <f>VLOOKUP($A161,'Data Vlaue (Cr)'!$C:$FB,66)*100</f>
        <v>-60.809999999999995</v>
      </c>
    </row>
    <row r="162" spans="1:15" x14ac:dyDescent="0.25">
      <c r="A162" s="101" t="str">
        <f>'Data Vlaue (Cr)'!C157</f>
        <v>PAYTM</v>
      </c>
      <c r="B162" s="50">
        <f>VLOOKUP($A162,'Data Vlaue (Cr)'!$C:$FB,8)</f>
        <v>1131.5999999999999</v>
      </c>
      <c r="C162" s="50">
        <f>VLOOKUP($A162,'Data Vlaue (Cr)'!$C:$FB,11)*100</f>
        <v>3.1199999999999997</v>
      </c>
      <c r="D162" s="50">
        <f>VLOOKUP($A162,'Data Vlaue (Cr)'!$C:$FB,143)</f>
        <v>4088.16</v>
      </c>
      <c r="E162" s="50">
        <f>VLOOKUP($A162,'Data Vlaue (Cr)'!$C:$FB,144)</f>
        <v>3938.48</v>
      </c>
      <c r="F162" s="50">
        <f>VLOOKUP($A162,'Data Vlaue (Cr)'!$C:$FB,146)*100</f>
        <v>3.8</v>
      </c>
      <c r="G162" s="49">
        <f>VLOOKUP($A162,'Data Vlaue (Cr)'!$C:$FB,43)</f>
        <v>1318</v>
      </c>
      <c r="H162" s="49">
        <f>VLOOKUP($A162,'Data Vlaue (Cr)'!$C:$FB,44)</f>
        <v>1395</v>
      </c>
      <c r="I162" s="49">
        <f>VLOOKUP($A162,'Data Vlaue (Cr)'!$C:$FB,46)*100</f>
        <v>-5.56</v>
      </c>
      <c r="J162" s="51">
        <f>VLOOKUP($A162,'Data Vlaue (Cr)'!$C:$FB,59)</f>
        <v>1849</v>
      </c>
      <c r="K162" s="51">
        <f>VLOOKUP($A162,'Data Vlaue (Cr)'!$C:$FB,60)</f>
        <v>1437</v>
      </c>
      <c r="L162" s="51">
        <f>VLOOKUP($A162,'Data Vlaue (Cr)'!$C:$FB,62)*100</f>
        <v>28.7</v>
      </c>
      <c r="M162" s="51">
        <f>VLOOKUP($A162,'Data Vlaue (Cr)'!$C:$FB,63)</f>
        <v>916</v>
      </c>
      <c r="N162" s="51">
        <f>VLOOKUP($A162,'Data Vlaue (Cr)'!$C:$FB,64)</f>
        <v>1172</v>
      </c>
      <c r="O162" s="51">
        <f>VLOOKUP($A162,'Data Vlaue (Cr)'!$C:$FB,66)*100</f>
        <v>-21.83</v>
      </c>
    </row>
    <row r="163" spans="1:15" x14ac:dyDescent="0.25">
      <c r="A163" s="101" t="str">
        <f>'Data Vlaue (Cr)'!C158</f>
        <v>PERSISTENT</v>
      </c>
      <c r="B163" s="50">
        <f>VLOOKUP($A163,'Data Vlaue (Cr)'!$C:$FB,8)</f>
        <v>5105.8</v>
      </c>
      <c r="C163" s="50">
        <f>VLOOKUP($A163,'Data Vlaue (Cr)'!$C:$FB,11)*100</f>
        <v>1.35</v>
      </c>
      <c r="D163" s="50">
        <f>VLOOKUP($A163,'Data Vlaue (Cr)'!$C:$FB,143)</f>
        <v>2102.29</v>
      </c>
      <c r="E163" s="50">
        <f>VLOOKUP($A163,'Data Vlaue (Cr)'!$C:$FB,144)</f>
        <v>2720.82</v>
      </c>
      <c r="F163" s="50">
        <f>VLOOKUP($A163,'Data Vlaue (Cr)'!$C:$FB,146)*100</f>
        <v>-22.73</v>
      </c>
      <c r="G163" s="49">
        <f>VLOOKUP($A163,'Data Vlaue (Cr)'!$C:$FB,43)</f>
        <v>683</v>
      </c>
      <c r="H163" s="49">
        <f>VLOOKUP($A163,'Data Vlaue (Cr)'!$C:$FB,44)</f>
        <v>1179</v>
      </c>
      <c r="I163" s="49">
        <f>VLOOKUP($A163,'Data Vlaue (Cr)'!$C:$FB,46)*100</f>
        <v>-42.05</v>
      </c>
      <c r="J163" s="51">
        <f>VLOOKUP($A163,'Data Vlaue (Cr)'!$C:$FB,59)</f>
        <v>895</v>
      </c>
      <c r="K163" s="51">
        <f>VLOOKUP($A163,'Data Vlaue (Cr)'!$C:$FB,60)</f>
        <v>996</v>
      </c>
      <c r="L163" s="51">
        <f>VLOOKUP($A163,'Data Vlaue (Cr)'!$C:$FB,62)*100</f>
        <v>-10.190000000000001</v>
      </c>
      <c r="M163" s="51">
        <f>VLOOKUP($A163,'Data Vlaue (Cr)'!$C:$FB,63)</f>
        <v>508</v>
      </c>
      <c r="N163" s="51">
        <f>VLOOKUP($A163,'Data Vlaue (Cr)'!$C:$FB,64)</f>
        <v>564</v>
      </c>
      <c r="O163" s="51">
        <f>VLOOKUP($A163,'Data Vlaue (Cr)'!$C:$FB,66)*100</f>
        <v>-9.8699999999999992</v>
      </c>
    </row>
    <row r="164" spans="1:15" x14ac:dyDescent="0.25">
      <c r="A164" s="101" t="str">
        <f>'Data Vlaue (Cr)'!C159</f>
        <v>PETRONET</v>
      </c>
      <c r="B164" s="50">
        <f>VLOOKUP($A164,'Data Vlaue (Cr)'!$C:$FB,8)</f>
        <v>280.2</v>
      </c>
      <c r="C164" s="50">
        <f>VLOOKUP($A164,'Data Vlaue (Cr)'!$C:$FB,11)*100</f>
        <v>-0.73</v>
      </c>
      <c r="D164" s="50">
        <f>VLOOKUP($A164,'Data Vlaue (Cr)'!$C:$FB,143)</f>
        <v>881.2</v>
      </c>
      <c r="E164" s="50">
        <f>VLOOKUP($A164,'Data Vlaue (Cr)'!$C:$FB,144)</f>
        <v>1341.9</v>
      </c>
      <c r="F164" s="50">
        <f>VLOOKUP($A164,'Data Vlaue (Cr)'!$C:$FB,146)*100</f>
        <v>-34.33</v>
      </c>
      <c r="G164" s="49">
        <f>VLOOKUP($A164,'Data Vlaue (Cr)'!$C:$FB,43)</f>
        <v>371</v>
      </c>
      <c r="H164" s="49">
        <f>VLOOKUP($A164,'Data Vlaue (Cr)'!$C:$FB,44)</f>
        <v>567</v>
      </c>
      <c r="I164" s="49">
        <f>VLOOKUP($A164,'Data Vlaue (Cr)'!$C:$FB,46)*100</f>
        <v>-34.53</v>
      </c>
      <c r="J164" s="51">
        <f>VLOOKUP($A164,'Data Vlaue (Cr)'!$C:$FB,59)</f>
        <v>278</v>
      </c>
      <c r="K164" s="51">
        <f>VLOOKUP($A164,'Data Vlaue (Cr)'!$C:$FB,60)</f>
        <v>486</v>
      </c>
      <c r="L164" s="51">
        <f>VLOOKUP($A164,'Data Vlaue (Cr)'!$C:$FB,62)*100</f>
        <v>-42.69</v>
      </c>
      <c r="M164" s="51">
        <f>VLOOKUP($A164,'Data Vlaue (Cr)'!$C:$FB,63)</f>
        <v>210</v>
      </c>
      <c r="N164" s="51">
        <f>VLOOKUP($A164,'Data Vlaue (Cr)'!$C:$FB,64)</f>
        <v>274</v>
      </c>
      <c r="O164" s="51">
        <f>VLOOKUP($A164,'Data Vlaue (Cr)'!$C:$FB,66)*100</f>
        <v>-23.34</v>
      </c>
    </row>
    <row r="165" spans="1:15" x14ac:dyDescent="0.25">
      <c r="A165" s="101" t="str">
        <f>'Data Vlaue (Cr)'!C160</f>
        <v>PFC</v>
      </c>
      <c r="B165" s="50">
        <f>VLOOKUP($A165,'Data Vlaue (Cr)'!$C:$FB,8)</f>
        <v>433.7</v>
      </c>
      <c r="C165" s="50">
        <f>VLOOKUP($A165,'Data Vlaue (Cr)'!$C:$FB,11)*100</f>
        <v>-1.18</v>
      </c>
      <c r="D165" s="50">
        <f>VLOOKUP($A165,'Data Vlaue (Cr)'!$C:$FB,143)</f>
        <v>2066.84</v>
      </c>
      <c r="E165" s="50">
        <f>VLOOKUP($A165,'Data Vlaue (Cr)'!$C:$FB,144)</f>
        <v>3111.25</v>
      </c>
      <c r="F165" s="50">
        <f>VLOOKUP($A165,'Data Vlaue (Cr)'!$C:$FB,146)*100</f>
        <v>-33.57</v>
      </c>
      <c r="G165" s="49">
        <f>VLOOKUP($A165,'Data Vlaue (Cr)'!$C:$FB,43)</f>
        <v>980</v>
      </c>
      <c r="H165" s="49">
        <f>VLOOKUP($A165,'Data Vlaue (Cr)'!$C:$FB,44)</f>
        <v>1439</v>
      </c>
      <c r="I165" s="49">
        <f>VLOOKUP($A165,'Data Vlaue (Cr)'!$C:$FB,46)*100</f>
        <v>-31.929999999999996</v>
      </c>
      <c r="J165" s="51">
        <f>VLOOKUP($A165,'Data Vlaue (Cr)'!$C:$FB,59)</f>
        <v>690</v>
      </c>
      <c r="K165" s="51">
        <f>VLOOKUP($A165,'Data Vlaue (Cr)'!$C:$FB,60)</f>
        <v>1075</v>
      </c>
      <c r="L165" s="51">
        <f>VLOOKUP($A165,'Data Vlaue (Cr)'!$C:$FB,62)*100</f>
        <v>-35.82</v>
      </c>
      <c r="M165" s="51">
        <f>VLOOKUP($A165,'Data Vlaue (Cr)'!$C:$FB,63)</f>
        <v>348</v>
      </c>
      <c r="N165" s="51">
        <f>VLOOKUP($A165,'Data Vlaue (Cr)'!$C:$FB,64)</f>
        <v>514</v>
      </c>
      <c r="O165" s="51">
        <f>VLOOKUP($A165,'Data Vlaue (Cr)'!$C:$FB,66)*100</f>
        <v>-32.26</v>
      </c>
    </row>
    <row r="166" spans="1:15" x14ac:dyDescent="0.25">
      <c r="A166" s="101" t="str">
        <f>'Data Vlaue (Cr)'!C161</f>
        <v>PGEL</v>
      </c>
      <c r="B166" s="50">
        <f>VLOOKUP($A166,'Data Vlaue (Cr)'!$C:$FB,8)</f>
        <v>466.95</v>
      </c>
      <c r="C166" s="50">
        <f>VLOOKUP($A166,'Data Vlaue (Cr)'!$C:$FB,11)*100</f>
        <v>-0.91</v>
      </c>
      <c r="D166" s="50">
        <f>VLOOKUP($A166,'Data Vlaue (Cr)'!$C:$FB,143)</f>
        <v>1358.41</v>
      </c>
      <c r="E166" s="50">
        <f>VLOOKUP($A166,'Data Vlaue (Cr)'!$C:$FB,144)</f>
        <v>1408.21</v>
      </c>
      <c r="F166" s="50">
        <f>VLOOKUP($A166,'Data Vlaue (Cr)'!$C:$FB,146)*100</f>
        <v>-3.54</v>
      </c>
      <c r="G166" s="49">
        <f>VLOOKUP($A166,'Data Vlaue (Cr)'!$C:$FB,43)</f>
        <v>484</v>
      </c>
      <c r="H166" s="49">
        <f>VLOOKUP($A166,'Data Vlaue (Cr)'!$C:$FB,44)</f>
        <v>474</v>
      </c>
      <c r="I166" s="49">
        <f>VLOOKUP($A166,'Data Vlaue (Cr)'!$C:$FB,46)*100</f>
        <v>2.12</v>
      </c>
      <c r="J166" s="51">
        <f>VLOOKUP($A166,'Data Vlaue (Cr)'!$C:$FB,59)</f>
        <v>512</v>
      </c>
      <c r="K166" s="51">
        <f>VLOOKUP($A166,'Data Vlaue (Cr)'!$C:$FB,60)</f>
        <v>631</v>
      </c>
      <c r="L166" s="51">
        <f>VLOOKUP($A166,'Data Vlaue (Cr)'!$C:$FB,62)*100</f>
        <v>-18.84</v>
      </c>
      <c r="M166" s="51">
        <f>VLOOKUP($A166,'Data Vlaue (Cr)'!$C:$FB,63)</f>
        <v>310</v>
      </c>
      <c r="N166" s="51">
        <f>VLOOKUP($A166,'Data Vlaue (Cr)'!$C:$FB,64)</f>
        <v>258</v>
      </c>
      <c r="O166" s="51">
        <f>VLOOKUP($A166,'Data Vlaue (Cr)'!$C:$FB,66)*100</f>
        <v>19.919999999999998</v>
      </c>
    </row>
    <row r="167" spans="1:15" x14ac:dyDescent="0.25">
      <c r="A167" s="101" t="str">
        <f>'Data Vlaue (Cr)'!C162</f>
        <v>PHOENIXLTD</v>
      </c>
      <c r="B167" s="50">
        <f>VLOOKUP($A167,'Data Vlaue (Cr)'!$C:$FB,8)</f>
        <v>1785.4</v>
      </c>
      <c r="C167" s="50">
        <f>VLOOKUP($A167,'Data Vlaue (Cr)'!$C:$FB,11)*100</f>
        <v>-1.34</v>
      </c>
      <c r="D167" s="50">
        <f>VLOOKUP($A167,'Data Vlaue (Cr)'!$C:$FB,143)</f>
        <v>298.19</v>
      </c>
      <c r="E167" s="50">
        <f>VLOOKUP($A167,'Data Vlaue (Cr)'!$C:$FB,144)</f>
        <v>681.32</v>
      </c>
      <c r="F167" s="50">
        <f>VLOOKUP($A167,'Data Vlaue (Cr)'!$C:$FB,146)*100</f>
        <v>-56.230000000000004</v>
      </c>
      <c r="G167" s="49">
        <f>VLOOKUP($A167,'Data Vlaue (Cr)'!$C:$FB,43)</f>
        <v>126</v>
      </c>
      <c r="H167" s="49">
        <f>VLOOKUP($A167,'Data Vlaue (Cr)'!$C:$FB,44)</f>
        <v>387</v>
      </c>
      <c r="I167" s="49">
        <f>VLOOKUP($A167,'Data Vlaue (Cr)'!$C:$FB,46)*100</f>
        <v>-67.33</v>
      </c>
      <c r="J167" s="51">
        <f>VLOOKUP($A167,'Data Vlaue (Cr)'!$C:$FB,59)</f>
        <v>119</v>
      </c>
      <c r="K167" s="51">
        <f>VLOOKUP($A167,'Data Vlaue (Cr)'!$C:$FB,60)</f>
        <v>171</v>
      </c>
      <c r="L167" s="51">
        <f>VLOOKUP($A167,'Data Vlaue (Cr)'!$C:$FB,62)*100</f>
        <v>-30.409999999999997</v>
      </c>
      <c r="M167" s="51">
        <f>VLOOKUP($A167,'Data Vlaue (Cr)'!$C:$FB,63)</f>
        <v>48</v>
      </c>
      <c r="N167" s="51">
        <f>VLOOKUP($A167,'Data Vlaue (Cr)'!$C:$FB,64)</f>
        <v>115</v>
      </c>
      <c r="O167" s="51">
        <f>VLOOKUP($A167,'Data Vlaue (Cr)'!$C:$FB,66)*100</f>
        <v>-58.39</v>
      </c>
    </row>
    <row r="168" spans="1:15" x14ac:dyDescent="0.25">
      <c r="A168" s="101" t="str">
        <f>'Data Vlaue (Cr)'!C163</f>
        <v>PIDILITIND</v>
      </c>
      <c r="B168" s="50">
        <f>VLOOKUP($A168,'Data Vlaue (Cr)'!$C:$FB,8)</f>
        <v>1478.5</v>
      </c>
      <c r="C168" s="50">
        <f>VLOOKUP($A168,'Data Vlaue (Cr)'!$C:$FB,11)*100</f>
        <v>0.09</v>
      </c>
      <c r="D168" s="50">
        <f>VLOOKUP($A168,'Data Vlaue (Cr)'!$C:$FB,143)</f>
        <v>830.72</v>
      </c>
      <c r="E168" s="50">
        <f>VLOOKUP($A168,'Data Vlaue (Cr)'!$C:$FB,144)</f>
        <v>1458.94</v>
      </c>
      <c r="F168" s="50">
        <f>VLOOKUP($A168,'Data Vlaue (Cr)'!$C:$FB,146)*100</f>
        <v>-43.059999999999995</v>
      </c>
      <c r="G168" s="49">
        <f>VLOOKUP($A168,'Data Vlaue (Cr)'!$C:$FB,43)</f>
        <v>403</v>
      </c>
      <c r="H168" s="49">
        <f>VLOOKUP($A168,'Data Vlaue (Cr)'!$C:$FB,44)</f>
        <v>730</v>
      </c>
      <c r="I168" s="49">
        <f>VLOOKUP($A168,'Data Vlaue (Cr)'!$C:$FB,46)*100</f>
        <v>-44.78</v>
      </c>
      <c r="J168" s="51">
        <f>VLOOKUP($A168,'Data Vlaue (Cr)'!$C:$FB,59)</f>
        <v>302</v>
      </c>
      <c r="K168" s="51">
        <f>VLOOKUP($A168,'Data Vlaue (Cr)'!$C:$FB,60)</f>
        <v>530</v>
      </c>
      <c r="L168" s="51">
        <f>VLOOKUP($A168,'Data Vlaue (Cr)'!$C:$FB,62)*100</f>
        <v>-43.05</v>
      </c>
      <c r="M168" s="51">
        <f>VLOOKUP($A168,'Data Vlaue (Cr)'!$C:$FB,63)</f>
        <v>124</v>
      </c>
      <c r="N168" s="51">
        <f>VLOOKUP($A168,'Data Vlaue (Cr)'!$C:$FB,64)</f>
        <v>187</v>
      </c>
      <c r="O168" s="51">
        <f>VLOOKUP($A168,'Data Vlaue (Cr)'!$C:$FB,66)*100</f>
        <v>-33.82</v>
      </c>
    </row>
    <row r="169" spans="1:15" x14ac:dyDescent="0.25">
      <c r="A169" s="101" t="str">
        <f>'Data Vlaue (Cr)'!C164</f>
        <v>PIIND</v>
      </c>
      <c r="B169" s="50">
        <f>VLOOKUP($A169,'Data Vlaue (Cr)'!$C:$FB,8)</f>
        <v>2837.9</v>
      </c>
      <c r="C169" s="50">
        <f>VLOOKUP($A169,'Data Vlaue (Cr)'!$C:$FB,11)*100</f>
        <v>-0.38999999999999996</v>
      </c>
      <c r="D169" s="50">
        <f>VLOOKUP($A169,'Data Vlaue (Cr)'!$C:$FB,143)</f>
        <v>1153.3800000000001</v>
      </c>
      <c r="E169" s="50">
        <f>VLOOKUP($A169,'Data Vlaue (Cr)'!$C:$FB,144)</f>
        <v>2717.4</v>
      </c>
      <c r="F169" s="50">
        <f>VLOOKUP($A169,'Data Vlaue (Cr)'!$C:$FB,146)*100</f>
        <v>-57.56</v>
      </c>
      <c r="G169" s="49">
        <f>VLOOKUP($A169,'Data Vlaue (Cr)'!$C:$FB,43)</f>
        <v>363</v>
      </c>
      <c r="H169" s="49">
        <f>VLOOKUP($A169,'Data Vlaue (Cr)'!$C:$FB,44)</f>
        <v>778</v>
      </c>
      <c r="I169" s="49">
        <f>VLOOKUP($A169,'Data Vlaue (Cr)'!$C:$FB,46)*100</f>
        <v>-53.37</v>
      </c>
      <c r="J169" s="51">
        <f>VLOOKUP($A169,'Data Vlaue (Cr)'!$C:$FB,59)</f>
        <v>446</v>
      </c>
      <c r="K169" s="51">
        <f>VLOOKUP($A169,'Data Vlaue (Cr)'!$C:$FB,60)</f>
        <v>1406</v>
      </c>
      <c r="L169" s="51">
        <f>VLOOKUP($A169,'Data Vlaue (Cr)'!$C:$FB,62)*100</f>
        <v>-68.25</v>
      </c>
      <c r="M169" s="51">
        <f>VLOOKUP($A169,'Data Vlaue (Cr)'!$C:$FB,63)</f>
        <v>304</v>
      </c>
      <c r="N169" s="51">
        <f>VLOOKUP($A169,'Data Vlaue (Cr)'!$C:$FB,64)</f>
        <v>462</v>
      </c>
      <c r="O169" s="51">
        <f>VLOOKUP($A169,'Data Vlaue (Cr)'!$C:$FB,66)*100</f>
        <v>-34.19</v>
      </c>
    </row>
    <row r="170" spans="1:15" x14ac:dyDescent="0.25">
      <c r="A170" s="101" t="str">
        <f>'Data Vlaue (Cr)'!C165</f>
        <v>PNB</v>
      </c>
      <c r="B170" s="50">
        <f>VLOOKUP($A170,'Data Vlaue (Cr)'!$C:$FB,8)</f>
        <v>105.91</v>
      </c>
      <c r="C170" s="50">
        <f>VLOOKUP($A170,'Data Vlaue (Cr)'!$C:$FB,11)*100</f>
        <v>-0.33</v>
      </c>
      <c r="D170" s="50">
        <f>VLOOKUP($A170,'Data Vlaue (Cr)'!$C:$FB,143)</f>
        <v>3114.99</v>
      </c>
      <c r="E170" s="50">
        <f>VLOOKUP($A170,'Data Vlaue (Cr)'!$C:$FB,144)</f>
        <v>5168.7700000000004</v>
      </c>
      <c r="F170" s="50">
        <f>VLOOKUP($A170,'Data Vlaue (Cr)'!$C:$FB,146)*100</f>
        <v>-39.729999999999997</v>
      </c>
      <c r="G170" s="49">
        <f>VLOOKUP($A170,'Data Vlaue (Cr)'!$C:$FB,43)</f>
        <v>1514</v>
      </c>
      <c r="H170" s="49">
        <f>VLOOKUP($A170,'Data Vlaue (Cr)'!$C:$FB,44)</f>
        <v>2347</v>
      </c>
      <c r="I170" s="49">
        <f>VLOOKUP($A170,'Data Vlaue (Cr)'!$C:$FB,46)*100</f>
        <v>-35.49</v>
      </c>
      <c r="J170" s="51">
        <f>VLOOKUP($A170,'Data Vlaue (Cr)'!$C:$FB,59)</f>
        <v>927</v>
      </c>
      <c r="K170" s="51">
        <f>VLOOKUP($A170,'Data Vlaue (Cr)'!$C:$FB,60)</f>
        <v>1808</v>
      </c>
      <c r="L170" s="51">
        <f>VLOOKUP($A170,'Data Vlaue (Cr)'!$C:$FB,62)*100</f>
        <v>-48.71</v>
      </c>
      <c r="M170" s="51">
        <f>VLOOKUP($A170,'Data Vlaue (Cr)'!$C:$FB,63)</f>
        <v>610</v>
      </c>
      <c r="N170" s="51">
        <f>VLOOKUP($A170,'Data Vlaue (Cr)'!$C:$FB,64)</f>
        <v>996</v>
      </c>
      <c r="O170" s="51">
        <f>VLOOKUP($A170,'Data Vlaue (Cr)'!$C:$FB,66)*100</f>
        <v>-38.74</v>
      </c>
    </row>
    <row r="171" spans="1:15" x14ac:dyDescent="0.25">
      <c r="A171" s="101" t="str">
        <f>'Data Vlaue (Cr)'!C166</f>
        <v>PNBHOUSING</v>
      </c>
      <c r="B171" s="50">
        <f>VLOOKUP($A171,'Data Vlaue (Cr)'!$C:$FB,8)</f>
        <v>1092.5999999999999</v>
      </c>
      <c r="C171" s="50">
        <f>VLOOKUP($A171,'Data Vlaue (Cr)'!$C:$FB,11)*100</f>
        <v>0.64</v>
      </c>
      <c r="D171" s="50">
        <f>VLOOKUP($A171,'Data Vlaue (Cr)'!$C:$FB,143)</f>
        <v>614.46</v>
      </c>
      <c r="E171" s="50">
        <f>VLOOKUP($A171,'Data Vlaue (Cr)'!$C:$FB,144)</f>
        <v>1599.39</v>
      </c>
      <c r="F171" s="50">
        <f>VLOOKUP($A171,'Data Vlaue (Cr)'!$C:$FB,146)*100</f>
        <v>-61.58</v>
      </c>
      <c r="G171" s="49">
        <f>VLOOKUP($A171,'Data Vlaue (Cr)'!$C:$FB,43)</f>
        <v>294</v>
      </c>
      <c r="H171" s="49">
        <f>VLOOKUP($A171,'Data Vlaue (Cr)'!$C:$FB,44)</f>
        <v>941</v>
      </c>
      <c r="I171" s="49">
        <f>VLOOKUP($A171,'Data Vlaue (Cr)'!$C:$FB,46)*100</f>
        <v>-68.760000000000005</v>
      </c>
      <c r="J171" s="51">
        <f>VLOOKUP($A171,'Data Vlaue (Cr)'!$C:$FB,59)</f>
        <v>167</v>
      </c>
      <c r="K171" s="51">
        <f>VLOOKUP($A171,'Data Vlaue (Cr)'!$C:$FB,60)</f>
        <v>508</v>
      </c>
      <c r="L171" s="51">
        <f>VLOOKUP($A171,'Data Vlaue (Cr)'!$C:$FB,62)*100</f>
        <v>-67.179999999999993</v>
      </c>
      <c r="M171" s="51">
        <f>VLOOKUP($A171,'Data Vlaue (Cr)'!$C:$FB,63)</f>
        <v>155</v>
      </c>
      <c r="N171" s="51">
        <f>VLOOKUP($A171,'Data Vlaue (Cr)'!$C:$FB,64)</f>
        <v>153</v>
      </c>
      <c r="O171" s="51">
        <f>VLOOKUP($A171,'Data Vlaue (Cr)'!$C:$FB,66)*100</f>
        <v>1.4500000000000002</v>
      </c>
    </row>
    <row r="172" spans="1:15" x14ac:dyDescent="0.25">
      <c r="A172" s="101" t="str">
        <f>'Data Vlaue (Cr)'!C167</f>
        <v>POLICYBZR</v>
      </c>
      <c r="B172" s="50">
        <f>VLOOKUP($A172,'Data Vlaue (Cr)'!$C:$FB,8)</f>
        <v>1789</v>
      </c>
      <c r="C172" s="50">
        <f>VLOOKUP($A172,'Data Vlaue (Cr)'!$C:$FB,11)*100</f>
        <v>-0.13999999999999999</v>
      </c>
      <c r="D172" s="50">
        <f>VLOOKUP($A172,'Data Vlaue (Cr)'!$C:$FB,143)</f>
        <v>659.57</v>
      </c>
      <c r="E172" s="50">
        <f>VLOOKUP($A172,'Data Vlaue (Cr)'!$C:$FB,144)</f>
        <v>2191.9699999999998</v>
      </c>
      <c r="F172" s="50">
        <f>VLOOKUP($A172,'Data Vlaue (Cr)'!$C:$FB,146)*100</f>
        <v>-69.910000000000011</v>
      </c>
      <c r="G172" s="49">
        <f>VLOOKUP($A172,'Data Vlaue (Cr)'!$C:$FB,43)</f>
        <v>268</v>
      </c>
      <c r="H172" s="49">
        <f>VLOOKUP($A172,'Data Vlaue (Cr)'!$C:$FB,44)</f>
        <v>1266</v>
      </c>
      <c r="I172" s="49">
        <f>VLOOKUP($A172,'Data Vlaue (Cr)'!$C:$FB,46)*100</f>
        <v>-78.8</v>
      </c>
      <c r="J172" s="51">
        <f>VLOOKUP($A172,'Data Vlaue (Cr)'!$C:$FB,59)</f>
        <v>233</v>
      </c>
      <c r="K172" s="51">
        <f>VLOOKUP($A172,'Data Vlaue (Cr)'!$C:$FB,60)</f>
        <v>494</v>
      </c>
      <c r="L172" s="51">
        <f>VLOOKUP($A172,'Data Vlaue (Cr)'!$C:$FB,62)*100</f>
        <v>-52.73</v>
      </c>
      <c r="M172" s="51">
        <f>VLOOKUP($A172,'Data Vlaue (Cr)'!$C:$FB,63)</f>
        <v>155</v>
      </c>
      <c r="N172" s="51">
        <f>VLOOKUP($A172,'Data Vlaue (Cr)'!$C:$FB,64)</f>
        <v>424</v>
      </c>
      <c r="O172" s="51">
        <f>VLOOKUP($A172,'Data Vlaue (Cr)'!$C:$FB,66)*100</f>
        <v>-63.54</v>
      </c>
    </row>
    <row r="173" spans="1:15" x14ac:dyDescent="0.25">
      <c r="A173" s="101" t="str">
        <f>'Data Vlaue (Cr)'!C168</f>
        <v>POLYCAB</v>
      </c>
      <c r="B173" s="50">
        <f>VLOOKUP($A173,'Data Vlaue (Cr)'!$C:$FB,8)</f>
        <v>9613.5</v>
      </c>
      <c r="C173" s="50">
        <f>VLOOKUP($A173,'Data Vlaue (Cr)'!$C:$FB,11)*100</f>
        <v>2.29</v>
      </c>
      <c r="D173" s="50">
        <f>VLOOKUP($A173,'Data Vlaue (Cr)'!$C:$FB,143)</f>
        <v>7158.05</v>
      </c>
      <c r="E173" s="50">
        <f>VLOOKUP($A173,'Data Vlaue (Cr)'!$C:$FB,144)</f>
        <v>9137.81</v>
      </c>
      <c r="F173" s="50">
        <f>VLOOKUP($A173,'Data Vlaue (Cr)'!$C:$FB,146)*100</f>
        <v>-21.67</v>
      </c>
      <c r="G173" s="49">
        <f>VLOOKUP($A173,'Data Vlaue (Cr)'!$C:$FB,43)</f>
        <v>1645</v>
      </c>
      <c r="H173" s="49">
        <f>VLOOKUP($A173,'Data Vlaue (Cr)'!$C:$FB,44)</f>
        <v>1186</v>
      </c>
      <c r="I173" s="49">
        <f>VLOOKUP($A173,'Data Vlaue (Cr)'!$C:$FB,46)*100</f>
        <v>38.72</v>
      </c>
      <c r="J173" s="51">
        <f>VLOOKUP($A173,'Data Vlaue (Cr)'!$C:$FB,59)</f>
        <v>3575</v>
      </c>
      <c r="K173" s="51">
        <f>VLOOKUP($A173,'Data Vlaue (Cr)'!$C:$FB,60)</f>
        <v>5158</v>
      </c>
      <c r="L173" s="51">
        <f>VLOOKUP($A173,'Data Vlaue (Cr)'!$C:$FB,62)*100</f>
        <v>-30.680000000000003</v>
      </c>
      <c r="M173" s="51">
        <f>VLOOKUP($A173,'Data Vlaue (Cr)'!$C:$FB,63)</f>
        <v>2040</v>
      </c>
      <c r="N173" s="51">
        <f>VLOOKUP($A173,'Data Vlaue (Cr)'!$C:$FB,64)</f>
        <v>3136</v>
      </c>
      <c r="O173" s="51">
        <f>VLOOKUP($A173,'Data Vlaue (Cr)'!$C:$FB,66)*100</f>
        <v>-34.93</v>
      </c>
    </row>
    <row r="174" spans="1:15" x14ac:dyDescent="0.25">
      <c r="A174" s="101" t="str">
        <f>'Data Vlaue (Cr)'!C169</f>
        <v>POWERGRID</v>
      </c>
      <c r="B174" s="50">
        <f>VLOOKUP($A174,'Data Vlaue (Cr)'!$C:$FB,8)</f>
        <v>292.55</v>
      </c>
      <c r="C174" s="50">
        <f>VLOOKUP($A174,'Data Vlaue (Cr)'!$C:$FB,11)*100</f>
        <v>-0.95</v>
      </c>
      <c r="D174" s="50">
        <f>VLOOKUP($A174,'Data Vlaue (Cr)'!$C:$FB,143)</f>
        <v>1294.48</v>
      </c>
      <c r="E174" s="50">
        <f>VLOOKUP($A174,'Data Vlaue (Cr)'!$C:$FB,144)</f>
        <v>1894.75</v>
      </c>
      <c r="F174" s="50">
        <f>VLOOKUP($A174,'Data Vlaue (Cr)'!$C:$FB,146)*100</f>
        <v>-31.680000000000003</v>
      </c>
      <c r="G174" s="49">
        <f>VLOOKUP($A174,'Data Vlaue (Cr)'!$C:$FB,43)</f>
        <v>543</v>
      </c>
      <c r="H174" s="49">
        <f>VLOOKUP($A174,'Data Vlaue (Cr)'!$C:$FB,44)</f>
        <v>770</v>
      </c>
      <c r="I174" s="49">
        <f>VLOOKUP($A174,'Data Vlaue (Cr)'!$C:$FB,46)*100</f>
        <v>-29.42</v>
      </c>
      <c r="J174" s="51">
        <f>VLOOKUP($A174,'Data Vlaue (Cr)'!$C:$FB,59)</f>
        <v>449</v>
      </c>
      <c r="K174" s="51">
        <f>VLOOKUP($A174,'Data Vlaue (Cr)'!$C:$FB,60)</f>
        <v>655</v>
      </c>
      <c r="L174" s="51">
        <f>VLOOKUP($A174,'Data Vlaue (Cr)'!$C:$FB,62)*100</f>
        <v>-31.45</v>
      </c>
      <c r="M174" s="51">
        <f>VLOOKUP($A174,'Data Vlaue (Cr)'!$C:$FB,63)</f>
        <v>281</v>
      </c>
      <c r="N174" s="51">
        <f>VLOOKUP($A174,'Data Vlaue (Cr)'!$C:$FB,64)</f>
        <v>442</v>
      </c>
      <c r="O174" s="51">
        <f>VLOOKUP($A174,'Data Vlaue (Cr)'!$C:$FB,66)*100</f>
        <v>-36.370000000000005</v>
      </c>
    </row>
    <row r="175" spans="1:15" x14ac:dyDescent="0.25">
      <c r="A175" s="101" t="str">
        <f>'Data Vlaue (Cr)'!C170</f>
        <v>POWERINDIA</v>
      </c>
      <c r="B175" s="50">
        <f>VLOOKUP($A175,'Data Vlaue (Cr)'!$C:$FB,8)</f>
        <v>35995</v>
      </c>
      <c r="C175" s="50">
        <f>VLOOKUP($A175,'Data Vlaue (Cr)'!$C:$FB,11)*100</f>
        <v>1.01</v>
      </c>
      <c r="D175" s="50">
        <f>VLOOKUP($A175,'Data Vlaue (Cr)'!$C:$FB,143)</f>
        <v>27662.68</v>
      </c>
      <c r="E175" s="50">
        <f>VLOOKUP($A175,'Data Vlaue (Cr)'!$C:$FB,144)</f>
        <v>6456.96</v>
      </c>
      <c r="F175" s="50">
        <f>VLOOKUP($A175,'Data Vlaue (Cr)'!$C:$FB,146)*100</f>
        <v>328.41999999999996</v>
      </c>
      <c r="G175" s="49">
        <f>VLOOKUP($A175,'Data Vlaue (Cr)'!$C:$FB,43)</f>
        <v>2077</v>
      </c>
      <c r="H175" s="49">
        <f>VLOOKUP($A175,'Data Vlaue (Cr)'!$C:$FB,44)</f>
        <v>1123</v>
      </c>
      <c r="I175" s="49">
        <f>VLOOKUP($A175,'Data Vlaue (Cr)'!$C:$FB,46)*100</f>
        <v>85.03</v>
      </c>
      <c r="J175" s="51">
        <f>VLOOKUP($A175,'Data Vlaue (Cr)'!$C:$FB,59)</f>
        <v>18037</v>
      </c>
      <c r="K175" s="51">
        <f>VLOOKUP($A175,'Data Vlaue (Cr)'!$C:$FB,60)</f>
        <v>3278</v>
      </c>
      <c r="L175" s="51">
        <f>VLOOKUP($A175,'Data Vlaue (Cr)'!$C:$FB,62)*100</f>
        <v>450.31999999999994</v>
      </c>
      <c r="M175" s="51">
        <f>VLOOKUP($A175,'Data Vlaue (Cr)'!$C:$FB,63)</f>
        <v>7533</v>
      </c>
      <c r="N175" s="51">
        <f>VLOOKUP($A175,'Data Vlaue (Cr)'!$C:$FB,64)</f>
        <v>2100</v>
      </c>
      <c r="O175" s="51">
        <f>VLOOKUP($A175,'Data Vlaue (Cr)'!$C:$FB,66)*100</f>
        <v>258.73</v>
      </c>
    </row>
    <row r="176" spans="1:15" x14ac:dyDescent="0.25">
      <c r="A176" s="101" t="str">
        <f>'Data Vlaue (Cr)'!C171</f>
        <v>PREMIERENE</v>
      </c>
      <c r="B176" s="50">
        <f>VLOOKUP($A176,'Data Vlaue (Cr)'!$C:$FB,8)</f>
        <v>1016.8</v>
      </c>
      <c r="C176" s="50">
        <f>VLOOKUP($A176,'Data Vlaue (Cr)'!$C:$FB,11)*100</f>
        <v>3.2300000000000004</v>
      </c>
      <c r="D176" s="50">
        <f>VLOOKUP($A176,'Data Vlaue (Cr)'!$C:$FB,143)</f>
        <v>3103.42</v>
      </c>
      <c r="E176" s="50">
        <f>VLOOKUP($A176,'Data Vlaue (Cr)'!$C:$FB,144)</f>
        <v>2731.01</v>
      </c>
      <c r="F176" s="50">
        <f>VLOOKUP($A176,'Data Vlaue (Cr)'!$C:$FB,146)*100</f>
        <v>13.639999999999999</v>
      </c>
      <c r="G176" s="49">
        <f>VLOOKUP($A176,'Data Vlaue (Cr)'!$C:$FB,43)</f>
        <v>1048</v>
      </c>
      <c r="H176" s="49">
        <f>VLOOKUP($A176,'Data Vlaue (Cr)'!$C:$FB,44)</f>
        <v>1465</v>
      </c>
      <c r="I176" s="49">
        <f>VLOOKUP($A176,'Data Vlaue (Cr)'!$C:$FB,46)*100</f>
        <v>-28.51</v>
      </c>
      <c r="J176" s="51">
        <f>VLOOKUP($A176,'Data Vlaue (Cr)'!$C:$FB,59)</f>
        <v>1557</v>
      </c>
      <c r="K176" s="51">
        <f>VLOOKUP($A176,'Data Vlaue (Cr)'!$C:$FB,60)</f>
        <v>975</v>
      </c>
      <c r="L176" s="51">
        <f>VLOOKUP($A176,'Data Vlaue (Cr)'!$C:$FB,62)*100</f>
        <v>59.650000000000006</v>
      </c>
      <c r="M176" s="51">
        <f>VLOOKUP($A176,'Data Vlaue (Cr)'!$C:$FB,63)</f>
        <v>491</v>
      </c>
      <c r="N176" s="51">
        <f>VLOOKUP($A176,'Data Vlaue (Cr)'!$C:$FB,64)</f>
        <v>354</v>
      </c>
      <c r="O176" s="51">
        <f>VLOOKUP($A176,'Data Vlaue (Cr)'!$C:$FB,66)*100</f>
        <v>38.61</v>
      </c>
    </row>
    <row r="177" spans="1:15" x14ac:dyDescent="0.25">
      <c r="A177" s="101" t="str">
        <f>'Data Vlaue (Cr)'!C172</f>
        <v>PRESTIGE</v>
      </c>
      <c r="B177" s="50">
        <f>VLOOKUP($A177,'Data Vlaue (Cr)'!$C:$FB,8)</f>
        <v>1402.2</v>
      </c>
      <c r="C177" s="50">
        <f>VLOOKUP($A177,'Data Vlaue (Cr)'!$C:$FB,11)*100</f>
        <v>0.06</v>
      </c>
      <c r="D177" s="50">
        <f>VLOOKUP($A177,'Data Vlaue (Cr)'!$C:$FB,143)</f>
        <v>514.77</v>
      </c>
      <c r="E177" s="50">
        <f>VLOOKUP($A177,'Data Vlaue (Cr)'!$C:$FB,144)</f>
        <v>1235.02</v>
      </c>
      <c r="F177" s="50">
        <f>VLOOKUP($A177,'Data Vlaue (Cr)'!$C:$FB,146)*100</f>
        <v>-58.320000000000007</v>
      </c>
      <c r="G177" s="49">
        <f>VLOOKUP($A177,'Data Vlaue (Cr)'!$C:$FB,43)</f>
        <v>233</v>
      </c>
      <c r="H177" s="49">
        <f>VLOOKUP($A177,'Data Vlaue (Cr)'!$C:$FB,44)</f>
        <v>602</v>
      </c>
      <c r="I177" s="49">
        <f>VLOOKUP($A177,'Data Vlaue (Cr)'!$C:$FB,46)*100</f>
        <v>-61.22</v>
      </c>
      <c r="J177" s="51">
        <f>VLOOKUP($A177,'Data Vlaue (Cr)'!$C:$FB,59)</f>
        <v>132</v>
      </c>
      <c r="K177" s="51">
        <f>VLOOKUP($A177,'Data Vlaue (Cr)'!$C:$FB,60)</f>
        <v>430</v>
      </c>
      <c r="L177" s="51">
        <f>VLOOKUP($A177,'Data Vlaue (Cr)'!$C:$FB,62)*100</f>
        <v>-69.210000000000008</v>
      </c>
      <c r="M177" s="51">
        <f>VLOOKUP($A177,'Data Vlaue (Cr)'!$C:$FB,63)</f>
        <v>149</v>
      </c>
      <c r="N177" s="51">
        <f>VLOOKUP($A177,'Data Vlaue (Cr)'!$C:$FB,64)</f>
        <v>199</v>
      </c>
      <c r="O177" s="51">
        <f>VLOOKUP($A177,'Data Vlaue (Cr)'!$C:$FB,66)*100</f>
        <v>-24.9</v>
      </c>
    </row>
    <row r="178" spans="1:15" x14ac:dyDescent="0.25">
      <c r="A178" s="101" t="str">
        <f>'Data Vlaue (Cr)'!C173</f>
        <v>RBLBANK</v>
      </c>
      <c r="B178" s="50">
        <f>VLOOKUP($A178,'Data Vlaue (Cr)'!$C:$FB,8)</f>
        <v>344.25</v>
      </c>
      <c r="C178" s="50">
        <f>VLOOKUP($A178,'Data Vlaue (Cr)'!$C:$FB,11)*100</f>
        <v>0.26</v>
      </c>
      <c r="D178" s="50">
        <f>VLOOKUP($A178,'Data Vlaue (Cr)'!$C:$FB,143)</f>
        <v>2313.33</v>
      </c>
      <c r="E178" s="50">
        <f>VLOOKUP($A178,'Data Vlaue (Cr)'!$C:$FB,144)</f>
        <v>4192.37</v>
      </c>
      <c r="F178" s="50">
        <f>VLOOKUP($A178,'Data Vlaue (Cr)'!$C:$FB,146)*100</f>
        <v>-44.82</v>
      </c>
      <c r="G178" s="49">
        <f>VLOOKUP($A178,'Data Vlaue (Cr)'!$C:$FB,43)</f>
        <v>1141</v>
      </c>
      <c r="H178" s="49">
        <f>VLOOKUP($A178,'Data Vlaue (Cr)'!$C:$FB,44)</f>
        <v>1786</v>
      </c>
      <c r="I178" s="49">
        <f>VLOOKUP($A178,'Data Vlaue (Cr)'!$C:$FB,46)*100</f>
        <v>-36.090000000000003</v>
      </c>
      <c r="J178" s="51">
        <f>VLOOKUP($A178,'Data Vlaue (Cr)'!$C:$FB,59)</f>
        <v>722</v>
      </c>
      <c r="K178" s="51">
        <f>VLOOKUP($A178,'Data Vlaue (Cr)'!$C:$FB,60)</f>
        <v>1661</v>
      </c>
      <c r="L178" s="51">
        <f>VLOOKUP($A178,'Data Vlaue (Cr)'!$C:$FB,62)*100</f>
        <v>-56.54</v>
      </c>
      <c r="M178" s="51">
        <f>VLOOKUP($A178,'Data Vlaue (Cr)'!$C:$FB,63)</f>
        <v>464</v>
      </c>
      <c r="N178" s="51">
        <f>VLOOKUP($A178,'Data Vlaue (Cr)'!$C:$FB,64)</f>
        <v>765</v>
      </c>
      <c r="O178" s="51">
        <f>VLOOKUP($A178,'Data Vlaue (Cr)'!$C:$FB,66)*100</f>
        <v>-39.340000000000003</v>
      </c>
    </row>
    <row r="179" spans="1:15" x14ac:dyDescent="0.25">
      <c r="A179" s="101" t="str">
        <f>'Data Vlaue (Cr)'!C174</f>
        <v>RECLTD</v>
      </c>
      <c r="B179" s="50">
        <f>VLOOKUP($A179,'Data Vlaue (Cr)'!$C:$FB,8)</f>
        <v>337.6</v>
      </c>
      <c r="C179" s="50">
        <f>VLOOKUP($A179,'Data Vlaue (Cr)'!$C:$FB,11)*100</f>
        <v>-1.34</v>
      </c>
      <c r="D179" s="50">
        <f>VLOOKUP($A179,'Data Vlaue (Cr)'!$C:$FB,143)</f>
        <v>2277.4899999999998</v>
      </c>
      <c r="E179" s="50">
        <f>VLOOKUP($A179,'Data Vlaue (Cr)'!$C:$FB,144)</f>
        <v>3059.64</v>
      </c>
      <c r="F179" s="50">
        <f>VLOOKUP($A179,'Data Vlaue (Cr)'!$C:$FB,146)*100</f>
        <v>-25.56</v>
      </c>
      <c r="G179" s="49">
        <f>VLOOKUP($A179,'Data Vlaue (Cr)'!$C:$FB,43)</f>
        <v>1152</v>
      </c>
      <c r="H179" s="49">
        <f>VLOOKUP($A179,'Data Vlaue (Cr)'!$C:$FB,44)</f>
        <v>1582</v>
      </c>
      <c r="I179" s="49">
        <f>VLOOKUP($A179,'Data Vlaue (Cr)'!$C:$FB,46)*100</f>
        <v>-27.189999999999998</v>
      </c>
      <c r="J179" s="51">
        <f>VLOOKUP($A179,'Data Vlaue (Cr)'!$C:$FB,59)</f>
        <v>644</v>
      </c>
      <c r="K179" s="51">
        <f>VLOOKUP($A179,'Data Vlaue (Cr)'!$C:$FB,60)</f>
        <v>888</v>
      </c>
      <c r="L179" s="51">
        <f>VLOOKUP($A179,'Data Vlaue (Cr)'!$C:$FB,62)*100</f>
        <v>-27.439999999999998</v>
      </c>
      <c r="M179" s="51">
        <f>VLOOKUP($A179,'Data Vlaue (Cr)'!$C:$FB,63)</f>
        <v>393</v>
      </c>
      <c r="N179" s="51">
        <f>VLOOKUP($A179,'Data Vlaue (Cr)'!$C:$FB,64)</f>
        <v>499</v>
      </c>
      <c r="O179" s="51">
        <f>VLOOKUP($A179,'Data Vlaue (Cr)'!$C:$FB,66)*100</f>
        <v>-21.29</v>
      </c>
    </row>
    <row r="180" spans="1:15" x14ac:dyDescent="0.25">
      <c r="A180" s="101" t="str">
        <f>'Data Vlaue (Cr)'!C175</f>
        <v>RELIANCE</v>
      </c>
      <c r="B180" s="50">
        <f>VLOOKUP($A180,'Data Vlaue (Cr)'!$C:$FB,8)</f>
        <v>1356.3</v>
      </c>
      <c r="C180" s="50">
        <f>VLOOKUP($A180,'Data Vlaue (Cr)'!$C:$FB,11)*100</f>
        <v>-0.77999999999999992</v>
      </c>
      <c r="D180" s="50">
        <f>VLOOKUP($A180,'Data Vlaue (Cr)'!$C:$FB,143)</f>
        <v>17080.96</v>
      </c>
      <c r="E180" s="50">
        <f>VLOOKUP($A180,'Data Vlaue (Cr)'!$C:$FB,144)</f>
        <v>26485.11</v>
      </c>
      <c r="F180" s="50">
        <f>VLOOKUP($A180,'Data Vlaue (Cr)'!$C:$FB,146)*100</f>
        <v>-35.510000000000005</v>
      </c>
      <c r="G180" s="49">
        <f>VLOOKUP($A180,'Data Vlaue (Cr)'!$C:$FB,43)</f>
        <v>3832</v>
      </c>
      <c r="H180" s="49">
        <f>VLOOKUP($A180,'Data Vlaue (Cr)'!$C:$FB,44)</f>
        <v>6413</v>
      </c>
      <c r="I180" s="49">
        <f>VLOOKUP($A180,'Data Vlaue (Cr)'!$C:$FB,46)*100</f>
        <v>-40.25</v>
      </c>
      <c r="J180" s="51">
        <f>VLOOKUP($A180,'Data Vlaue (Cr)'!$C:$FB,59)</f>
        <v>8315</v>
      </c>
      <c r="K180" s="51">
        <f>VLOOKUP($A180,'Data Vlaue (Cr)'!$C:$FB,60)</f>
        <v>12113</v>
      </c>
      <c r="L180" s="51">
        <f>VLOOKUP($A180,'Data Vlaue (Cr)'!$C:$FB,62)*100</f>
        <v>-31.35</v>
      </c>
      <c r="M180" s="51">
        <f>VLOOKUP($A180,'Data Vlaue (Cr)'!$C:$FB,63)</f>
        <v>4534</v>
      </c>
      <c r="N180" s="51">
        <f>VLOOKUP($A180,'Data Vlaue (Cr)'!$C:$FB,64)</f>
        <v>7473</v>
      </c>
      <c r="O180" s="51">
        <f>VLOOKUP($A180,'Data Vlaue (Cr)'!$C:$FB,66)*100</f>
        <v>-39.33</v>
      </c>
    </row>
    <row r="181" spans="1:15" x14ac:dyDescent="0.25">
      <c r="A181" s="101" t="str">
        <f>'Data Vlaue (Cr)'!C176</f>
        <v>RVNL</v>
      </c>
      <c r="B181" s="50">
        <f>VLOOKUP($A181,'Data Vlaue (Cr)'!$C:$FB,8)</f>
        <v>259.75</v>
      </c>
      <c r="C181" s="50">
        <f>VLOOKUP($A181,'Data Vlaue (Cr)'!$C:$FB,11)*100</f>
        <v>-4.66</v>
      </c>
      <c r="D181" s="50">
        <f>VLOOKUP($A181,'Data Vlaue (Cr)'!$C:$FB,143)</f>
        <v>2666.89</v>
      </c>
      <c r="E181" s="50">
        <f>VLOOKUP($A181,'Data Vlaue (Cr)'!$C:$FB,144)</f>
        <v>1998.7</v>
      </c>
      <c r="F181" s="50">
        <f>VLOOKUP($A181,'Data Vlaue (Cr)'!$C:$FB,146)*100</f>
        <v>33.43</v>
      </c>
      <c r="G181" s="49">
        <f>VLOOKUP($A181,'Data Vlaue (Cr)'!$C:$FB,43)</f>
        <v>670</v>
      </c>
      <c r="H181" s="49">
        <f>VLOOKUP($A181,'Data Vlaue (Cr)'!$C:$FB,44)</f>
        <v>785</v>
      </c>
      <c r="I181" s="49">
        <f>VLOOKUP($A181,'Data Vlaue (Cr)'!$C:$FB,46)*100</f>
        <v>-14.59</v>
      </c>
      <c r="J181" s="51">
        <f>VLOOKUP($A181,'Data Vlaue (Cr)'!$C:$FB,59)</f>
        <v>1089</v>
      </c>
      <c r="K181" s="51">
        <f>VLOOKUP($A181,'Data Vlaue (Cr)'!$C:$FB,60)</f>
        <v>736</v>
      </c>
      <c r="L181" s="51">
        <f>VLOOKUP($A181,'Data Vlaue (Cr)'!$C:$FB,62)*100</f>
        <v>48.02</v>
      </c>
      <c r="M181" s="51">
        <f>VLOOKUP($A181,'Data Vlaue (Cr)'!$C:$FB,63)</f>
        <v>733</v>
      </c>
      <c r="N181" s="51">
        <f>VLOOKUP($A181,'Data Vlaue (Cr)'!$C:$FB,64)</f>
        <v>311</v>
      </c>
      <c r="O181" s="51">
        <f>VLOOKUP($A181,'Data Vlaue (Cr)'!$C:$FB,66)*100</f>
        <v>135.29</v>
      </c>
    </row>
    <row r="182" spans="1:15" x14ac:dyDescent="0.25">
      <c r="A182" s="101" t="str">
        <f>'Data Vlaue (Cr)'!C177</f>
        <v>SAIL</v>
      </c>
      <c r="B182" s="50">
        <f>VLOOKUP($A182,'Data Vlaue (Cr)'!$C:$FB,8)</f>
        <v>203.84</v>
      </c>
      <c r="C182" s="50">
        <f>VLOOKUP($A182,'Data Vlaue (Cr)'!$C:$FB,11)*100</f>
        <v>2.78</v>
      </c>
      <c r="D182" s="50">
        <f>VLOOKUP($A182,'Data Vlaue (Cr)'!$C:$FB,143)</f>
        <v>1053</v>
      </c>
      <c r="E182" s="50">
        <f>VLOOKUP($A182,'Data Vlaue (Cr)'!$C:$FB,144)</f>
        <v>1029.24</v>
      </c>
      <c r="F182" s="50">
        <f>VLOOKUP($A182,'Data Vlaue (Cr)'!$C:$FB,146)*100</f>
        <v>2.31</v>
      </c>
      <c r="G182" s="49">
        <f>VLOOKUP($A182,'Data Vlaue (Cr)'!$C:$FB,43)</f>
        <v>990</v>
      </c>
      <c r="H182" s="49">
        <f>VLOOKUP($A182,'Data Vlaue (Cr)'!$C:$FB,44)</f>
        <v>1053</v>
      </c>
      <c r="I182" s="49">
        <f>VLOOKUP($A182,'Data Vlaue (Cr)'!$C:$FB,46)*100</f>
        <v>-6</v>
      </c>
      <c r="J182" s="51">
        <f>VLOOKUP($A182,'Data Vlaue (Cr)'!$C:$FB,59)</f>
        <v>42</v>
      </c>
      <c r="K182" s="51">
        <f>VLOOKUP($A182,'Data Vlaue (Cr)'!$C:$FB,60)</f>
        <v>5</v>
      </c>
      <c r="L182" s="51">
        <f>VLOOKUP($A182,'Data Vlaue (Cr)'!$C:$FB,62)*100</f>
        <v>810.42000000000007</v>
      </c>
      <c r="M182" s="51">
        <f>VLOOKUP($A182,'Data Vlaue (Cr)'!$C:$FB,63)</f>
        <v>35</v>
      </c>
      <c r="N182" s="51">
        <f>VLOOKUP($A182,'Data Vlaue (Cr)'!$C:$FB,64)</f>
        <v>12</v>
      </c>
      <c r="O182" s="51">
        <f>VLOOKUP($A182,'Data Vlaue (Cr)'!$C:$FB,66)*100</f>
        <v>195.16</v>
      </c>
    </row>
    <row r="183" spans="1:15" x14ac:dyDescent="0.25">
      <c r="A183" s="101" t="str">
        <f>'Data Vlaue (Cr)'!C178</f>
        <v>SAMMAANCAP</v>
      </c>
      <c r="B183" s="50">
        <f>VLOOKUP($A183,'Data Vlaue (Cr)'!$C:$FB,8)</f>
        <v>167.71</v>
      </c>
      <c r="C183" s="50">
        <f>VLOOKUP($A183,'Data Vlaue (Cr)'!$C:$FB,11)*100</f>
        <v>-0.5</v>
      </c>
      <c r="D183" s="50">
        <f>VLOOKUP($A183,'Data Vlaue (Cr)'!$C:$FB,143)</f>
        <v>1854.57</v>
      </c>
      <c r="E183" s="50">
        <f>VLOOKUP($A183,'Data Vlaue (Cr)'!$C:$FB,144)</f>
        <v>4168.55</v>
      </c>
      <c r="F183" s="50">
        <f>VLOOKUP($A183,'Data Vlaue (Cr)'!$C:$FB,146)*100</f>
        <v>-55.510000000000005</v>
      </c>
      <c r="G183" s="49">
        <f>VLOOKUP($A183,'Data Vlaue (Cr)'!$C:$FB,43)</f>
        <v>876</v>
      </c>
      <c r="H183" s="49">
        <f>VLOOKUP($A183,'Data Vlaue (Cr)'!$C:$FB,44)</f>
        <v>1272</v>
      </c>
      <c r="I183" s="49">
        <f>VLOOKUP($A183,'Data Vlaue (Cr)'!$C:$FB,46)*100</f>
        <v>-31.11</v>
      </c>
      <c r="J183" s="51">
        <f>VLOOKUP($A183,'Data Vlaue (Cr)'!$C:$FB,59)</f>
        <v>578</v>
      </c>
      <c r="K183" s="51">
        <f>VLOOKUP($A183,'Data Vlaue (Cr)'!$C:$FB,60)</f>
        <v>1934</v>
      </c>
      <c r="L183" s="51">
        <f>VLOOKUP($A183,'Data Vlaue (Cr)'!$C:$FB,62)*100</f>
        <v>-70.11</v>
      </c>
      <c r="M183" s="51">
        <f>VLOOKUP($A183,'Data Vlaue (Cr)'!$C:$FB,63)</f>
        <v>388</v>
      </c>
      <c r="N183" s="51">
        <f>VLOOKUP($A183,'Data Vlaue (Cr)'!$C:$FB,64)</f>
        <v>977</v>
      </c>
      <c r="O183" s="51">
        <f>VLOOKUP($A183,'Data Vlaue (Cr)'!$C:$FB,66)*100</f>
        <v>-60.27</v>
      </c>
    </row>
    <row r="184" spans="1:15" x14ac:dyDescent="0.25">
      <c r="A184" s="101" t="str">
        <f>'Data Vlaue (Cr)'!C179</f>
        <v>SBICARD</v>
      </c>
      <c r="B184" s="50">
        <f>VLOOKUP($A184,'Data Vlaue (Cr)'!$C:$FB,8)</f>
        <v>628.70000000000005</v>
      </c>
      <c r="C184" s="50">
        <f>VLOOKUP($A184,'Data Vlaue (Cr)'!$C:$FB,11)*100</f>
        <v>-0.25</v>
      </c>
      <c r="D184" s="50">
        <f>VLOOKUP($A184,'Data Vlaue (Cr)'!$C:$FB,143)</f>
        <v>1540.4</v>
      </c>
      <c r="E184" s="50">
        <f>VLOOKUP($A184,'Data Vlaue (Cr)'!$C:$FB,144)</f>
        <v>1711.89</v>
      </c>
      <c r="F184" s="50">
        <f>VLOOKUP($A184,'Data Vlaue (Cr)'!$C:$FB,146)*100</f>
        <v>-10.02</v>
      </c>
      <c r="G184" s="49">
        <f>VLOOKUP($A184,'Data Vlaue (Cr)'!$C:$FB,43)</f>
        <v>709</v>
      </c>
      <c r="H184" s="49">
        <f>VLOOKUP($A184,'Data Vlaue (Cr)'!$C:$FB,44)</f>
        <v>808</v>
      </c>
      <c r="I184" s="49">
        <f>VLOOKUP($A184,'Data Vlaue (Cr)'!$C:$FB,46)*100</f>
        <v>-12.27</v>
      </c>
      <c r="J184" s="51">
        <f>VLOOKUP($A184,'Data Vlaue (Cr)'!$C:$FB,59)</f>
        <v>527</v>
      </c>
      <c r="K184" s="51">
        <f>VLOOKUP($A184,'Data Vlaue (Cr)'!$C:$FB,60)</f>
        <v>601</v>
      </c>
      <c r="L184" s="51">
        <f>VLOOKUP($A184,'Data Vlaue (Cr)'!$C:$FB,62)*100</f>
        <v>-12.34</v>
      </c>
      <c r="M184" s="51">
        <f>VLOOKUP($A184,'Data Vlaue (Cr)'!$C:$FB,63)</f>
        <v>252</v>
      </c>
      <c r="N184" s="51">
        <f>VLOOKUP($A184,'Data Vlaue (Cr)'!$C:$FB,64)</f>
        <v>251</v>
      </c>
      <c r="O184" s="51">
        <f>VLOOKUP($A184,'Data Vlaue (Cr)'!$C:$FB,66)*100</f>
        <v>0.51</v>
      </c>
    </row>
    <row r="185" spans="1:15" x14ac:dyDescent="0.25">
      <c r="A185" s="101" t="str">
        <f>'Data Vlaue (Cr)'!C180</f>
        <v>SBILIFE</v>
      </c>
      <c r="B185" s="50">
        <f>VLOOKUP($A185,'Data Vlaue (Cr)'!$C:$FB,8)</f>
        <v>1883.2</v>
      </c>
      <c r="C185" s="50">
        <f>VLOOKUP($A185,'Data Vlaue (Cr)'!$C:$FB,11)*100</f>
        <v>-0.98</v>
      </c>
      <c r="D185" s="50">
        <f>VLOOKUP($A185,'Data Vlaue (Cr)'!$C:$FB,143)</f>
        <v>1442</v>
      </c>
      <c r="E185" s="50">
        <f>VLOOKUP($A185,'Data Vlaue (Cr)'!$C:$FB,144)</f>
        <v>1964.65</v>
      </c>
      <c r="F185" s="50">
        <f>VLOOKUP($A185,'Data Vlaue (Cr)'!$C:$FB,146)*100</f>
        <v>-26.6</v>
      </c>
      <c r="G185" s="49">
        <f>VLOOKUP($A185,'Data Vlaue (Cr)'!$C:$FB,43)</f>
        <v>639</v>
      </c>
      <c r="H185" s="49">
        <f>VLOOKUP($A185,'Data Vlaue (Cr)'!$C:$FB,44)</f>
        <v>781</v>
      </c>
      <c r="I185" s="49">
        <f>VLOOKUP($A185,'Data Vlaue (Cr)'!$C:$FB,46)*100</f>
        <v>-18.18</v>
      </c>
      <c r="J185" s="51">
        <f>VLOOKUP($A185,'Data Vlaue (Cr)'!$C:$FB,59)</f>
        <v>534</v>
      </c>
      <c r="K185" s="51">
        <f>VLOOKUP($A185,'Data Vlaue (Cr)'!$C:$FB,60)</f>
        <v>792</v>
      </c>
      <c r="L185" s="51">
        <f>VLOOKUP($A185,'Data Vlaue (Cr)'!$C:$FB,62)*100</f>
        <v>-32.519999999999996</v>
      </c>
      <c r="M185" s="51">
        <f>VLOOKUP($A185,'Data Vlaue (Cr)'!$C:$FB,63)</f>
        <v>258</v>
      </c>
      <c r="N185" s="51">
        <f>VLOOKUP($A185,'Data Vlaue (Cr)'!$C:$FB,64)</f>
        <v>376</v>
      </c>
      <c r="O185" s="51">
        <f>VLOOKUP($A185,'Data Vlaue (Cr)'!$C:$FB,66)*100</f>
        <v>-31.47</v>
      </c>
    </row>
    <row r="186" spans="1:15" x14ac:dyDescent="0.25">
      <c r="A186" s="101" t="str">
        <f>'Data Vlaue (Cr)'!C181</f>
        <v>SBIN</v>
      </c>
      <c r="B186" s="50">
        <f>VLOOKUP($A186,'Data Vlaue (Cr)'!$C:$FB,8)</f>
        <v>968.5</v>
      </c>
      <c r="C186" s="50">
        <f>VLOOKUP($A186,'Data Vlaue (Cr)'!$C:$FB,11)*100</f>
        <v>-0.11</v>
      </c>
      <c r="D186" s="50">
        <f>VLOOKUP($A186,'Data Vlaue (Cr)'!$C:$FB,143)</f>
        <v>18585.04</v>
      </c>
      <c r="E186" s="50">
        <f>VLOOKUP($A186,'Data Vlaue (Cr)'!$C:$FB,144)</f>
        <v>35633.14</v>
      </c>
      <c r="F186" s="50">
        <f>VLOOKUP($A186,'Data Vlaue (Cr)'!$C:$FB,146)*100</f>
        <v>-47.839999999999996</v>
      </c>
      <c r="G186" s="49">
        <f>VLOOKUP($A186,'Data Vlaue (Cr)'!$C:$FB,43)</f>
        <v>4565</v>
      </c>
      <c r="H186" s="49">
        <f>VLOOKUP($A186,'Data Vlaue (Cr)'!$C:$FB,44)</f>
        <v>5507</v>
      </c>
      <c r="I186" s="49">
        <f>VLOOKUP($A186,'Data Vlaue (Cr)'!$C:$FB,46)*100</f>
        <v>-17.119999999999997</v>
      </c>
      <c r="J186" s="51">
        <f>VLOOKUP($A186,'Data Vlaue (Cr)'!$C:$FB,59)</f>
        <v>8753</v>
      </c>
      <c r="K186" s="51">
        <f>VLOOKUP($A186,'Data Vlaue (Cr)'!$C:$FB,60)</f>
        <v>20915</v>
      </c>
      <c r="L186" s="51">
        <f>VLOOKUP($A186,'Data Vlaue (Cr)'!$C:$FB,62)*100</f>
        <v>-58.15</v>
      </c>
      <c r="M186" s="51">
        <f>VLOOKUP($A186,'Data Vlaue (Cr)'!$C:$FB,63)</f>
        <v>4750</v>
      </c>
      <c r="N186" s="51">
        <f>VLOOKUP($A186,'Data Vlaue (Cr)'!$C:$FB,64)</f>
        <v>8467</v>
      </c>
      <c r="O186" s="51">
        <f>VLOOKUP($A186,'Data Vlaue (Cr)'!$C:$FB,66)*100</f>
        <v>-43.9</v>
      </c>
    </row>
    <row r="187" spans="1:15" x14ac:dyDescent="0.25">
      <c r="A187" s="101" t="str">
        <f>'Data Vlaue (Cr)'!C182</f>
        <v>SHREECEM</v>
      </c>
      <c r="B187" s="50">
        <f>VLOOKUP($A187,'Data Vlaue (Cr)'!$C:$FB,8)</f>
        <v>25180</v>
      </c>
      <c r="C187" s="50">
        <f>VLOOKUP($A187,'Data Vlaue (Cr)'!$C:$FB,11)*100</f>
        <v>-0.69</v>
      </c>
      <c r="D187" s="50">
        <f>VLOOKUP($A187,'Data Vlaue (Cr)'!$C:$FB,143)</f>
        <v>585.49</v>
      </c>
      <c r="E187" s="50">
        <f>VLOOKUP($A187,'Data Vlaue (Cr)'!$C:$FB,144)</f>
        <v>1279.3599999999999</v>
      </c>
      <c r="F187" s="50">
        <f>VLOOKUP($A187,'Data Vlaue (Cr)'!$C:$FB,146)*100</f>
        <v>-54.24</v>
      </c>
      <c r="G187" s="49">
        <f>VLOOKUP($A187,'Data Vlaue (Cr)'!$C:$FB,43)</f>
        <v>309</v>
      </c>
      <c r="H187" s="49">
        <f>VLOOKUP($A187,'Data Vlaue (Cr)'!$C:$FB,44)</f>
        <v>547</v>
      </c>
      <c r="I187" s="49">
        <f>VLOOKUP($A187,'Data Vlaue (Cr)'!$C:$FB,46)*100</f>
        <v>-43.56</v>
      </c>
      <c r="J187" s="51">
        <f>VLOOKUP($A187,'Data Vlaue (Cr)'!$C:$FB,59)</f>
        <v>185</v>
      </c>
      <c r="K187" s="51">
        <f>VLOOKUP($A187,'Data Vlaue (Cr)'!$C:$FB,60)</f>
        <v>537</v>
      </c>
      <c r="L187" s="51">
        <f>VLOOKUP($A187,'Data Vlaue (Cr)'!$C:$FB,62)*100</f>
        <v>-65.55</v>
      </c>
      <c r="M187" s="51">
        <f>VLOOKUP($A187,'Data Vlaue (Cr)'!$C:$FB,63)</f>
        <v>82</v>
      </c>
      <c r="N187" s="51">
        <f>VLOOKUP($A187,'Data Vlaue (Cr)'!$C:$FB,64)</f>
        <v>162</v>
      </c>
      <c r="O187" s="51">
        <f>VLOOKUP($A187,'Data Vlaue (Cr)'!$C:$FB,66)*100</f>
        <v>-49.46</v>
      </c>
    </row>
    <row r="188" spans="1:15" x14ac:dyDescent="0.25">
      <c r="A188" s="101" t="str">
        <f>'Data Vlaue (Cr)'!C183</f>
        <v>SHRIRAMFIN</v>
      </c>
      <c r="B188" s="50">
        <f>VLOOKUP($A188,'Data Vlaue (Cr)'!$C:$FB,8)</f>
        <v>952.15</v>
      </c>
      <c r="C188" s="50">
        <f>VLOOKUP($A188,'Data Vlaue (Cr)'!$C:$FB,11)*100</f>
        <v>-1.02</v>
      </c>
      <c r="D188" s="50">
        <f>VLOOKUP($A188,'Data Vlaue (Cr)'!$C:$FB,143)</f>
        <v>3156.29</v>
      </c>
      <c r="E188" s="50">
        <f>VLOOKUP($A188,'Data Vlaue (Cr)'!$C:$FB,144)</f>
        <v>5960.61</v>
      </c>
      <c r="F188" s="50">
        <f>VLOOKUP($A188,'Data Vlaue (Cr)'!$C:$FB,146)*100</f>
        <v>-47.05</v>
      </c>
      <c r="G188" s="49">
        <f>VLOOKUP($A188,'Data Vlaue (Cr)'!$C:$FB,43)</f>
        <v>1623</v>
      </c>
      <c r="H188" s="49">
        <f>VLOOKUP($A188,'Data Vlaue (Cr)'!$C:$FB,44)</f>
        <v>2243</v>
      </c>
      <c r="I188" s="49">
        <f>VLOOKUP($A188,'Data Vlaue (Cr)'!$C:$FB,46)*100</f>
        <v>-27.63</v>
      </c>
      <c r="J188" s="51">
        <f>VLOOKUP($A188,'Data Vlaue (Cr)'!$C:$FB,59)</f>
        <v>918</v>
      </c>
      <c r="K188" s="51">
        <f>VLOOKUP($A188,'Data Vlaue (Cr)'!$C:$FB,60)</f>
        <v>2611</v>
      </c>
      <c r="L188" s="51">
        <f>VLOOKUP($A188,'Data Vlaue (Cr)'!$C:$FB,62)*100</f>
        <v>-64.849999999999994</v>
      </c>
      <c r="M188" s="51">
        <f>VLOOKUP($A188,'Data Vlaue (Cr)'!$C:$FB,63)</f>
        <v>568</v>
      </c>
      <c r="N188" s="51">
        <f>VLOOKUP($A188,'Data Vlaue (Cr)'!$C:$FB,64)</f>
        <v>994</v>
      </c>
      <c r="O188" s="51">
        <f>VLOOKUP($A188,'Data Vlaue (Cr)'!$C:$FB,66)*100</f>
        <v>-42.86</v>
      </c>
    </row>
    <row r="189" spans="1:15" x14ac:dyDescent="0.25">
      <c r="A189" s="101" t="str">
        <f>'Data Vlaue (Cr)'!C184</f>
        <v>SIEMENS</v>
      </c>
      <c r="B189" s="50">
        <f>VLOOKUP($A189,'Data Vlaue (Cr)'!$C:$FB,8)</f>
        <v>3677.2</v>
      </c>
      <c r="C189" s="50">
        <f>VLOOKUP($A189,'Data Vlaue (Cr)'!$C:$FB,11)*100</f>
        <v>0.26</v>
      </c>
      <c r="D189" s="50">
        <f>VLOOKUP($A189,'Data Vlaue (Cr)'!$C:$FB,143)</f>
        <v>3837.37</v>
      </c>
      <c r="E189" s="50">
        <f>VLOOKUP($A189,'Data Vlaue (Cr)'!$C:$FB,144)</f>
        <v>5836.27</v>
      </c>
      <c r="F189" s="50">
        <f>VLOOKUP($A189,'Data Vlaue (Cr)'!$C:$FB,146)*100</f>
        <v>-34.25</v>
      </c>
      <c r="G189" s="49">
        <f>VLOOKUP($A189,'Data Vlaue (Cr)'!$C:$FB,43)</f>
        <v>685</v>
      </c>
      <c r="H189" s="49">
        <f>VLOOKUP($A189,'Data Vlaue (Cr)'!$C:$FB,44)</f>
        <v>1054</v>
      </c>
      <c r="I189" s="49">
        <f>VLOOKUP($A189,'Data Vlaue (Cr)'!$C:$FB,46)*100</f>
        <v>-35</v>
      </c>
      <c r="J189" s="51">
        <f>VLOOKUP($A189,'Data Vlaue (Cr)'!$C:$FB,59)</f>
        <v>1875</v>
      </c>
      <c r="K189" s="51">
        <f>VLOOKUP($A189,'Data Vlaue (Cr)'!$C:$FB,60)</f>
        <v>2184</v>
      </c>
      <c r="L189" s="51">
        <f>VLOOKUP($A189,'Data Vlaue (Cr)'!$C:$FB,62)*100</f>
        <v>-14.13</v>
      </c>
      <c r="M189" s="51">
        <f>VLOOKUP($A189,'Data Vlaue (Cr)'!$C:$FB,63)</f>
        <v>1204</v>
      </c>
      <c r="N189" s="51">
        <f>VLOOKUP($A189,'Data Vlaue (Cr)'!$C:$FB,64)</f>
        <v>2439</v>
      </c>
      <c r="O189" s="51">
        <f>VLOOKUP($A189,'Data Vlaue (Cr)'!$C:$FB,66)*100</f>
        <v>-50.62</v>
      </c>
    </row>
    <row r="190" spans="1:15" x14ac:dyDescent="0.25">
      <c r="A190" s="101" t="str">
        <f>'Data Vlaue (Cr)'!C185</f>
        <v>SOLARINDS</v>
      </c>
      <c r="B190" s="50">
        <f>VLOOKUP($A190,'Data Vlaue (Cr)'!$C:$FB,8)</f>
        <v>18479</v>
      </c>
      <c r="C190" s="50">
        <f>VLOOKUP($A190,'Data Vlaue (Cr)'!$C:$FB,11)*100</f>
        <v>0.55999999999999994</v>
      </c>
      <c r="D190" s="50">
        <f>VLOOKUP($A190,'Data Vlaue (Cr)'!$C:$FB,143)</f>
        <v>2296.36</v>
      </c>
      <c r="E190" s="50">
        <f>VLOOKUP($A190,'Data Vlaue (Cr)'!$C:$FB,144)</f>
        <v>4781.71</v>
      </c>
      <c r="F190" s="50">
        <f>VLOOKUP($A190,'Data Vlaue (Cr)'!$C:$FB,146)*100</f>
        <v>-51.980000000000004</v>
      </c>
      <c r="G190" s="49">
        <f>VLOOKUP($A190,'Data Vlaue (Cr)'!$C:$FB,43)</f>
        <v>615</v>
      </c>
      <c r="H190" s="49">
        <f>VLOOKUP($A190,'Data Vlaue (Cr)'!$C:$FB,44)</f>
        <v>1069</v>
      </c>
      <c r="I190" s="49">
        <f>VLOOKUP($A190,'Data Vlaue (Cr)'!$C:$FB,46)*100</f>
        <v>-42.51</v>
      </c>
      <c r="J190" s="51">
        <f>VLOOKUP($A190,'Data Vlaue (Cr)'!$C:$FB,59)</f>
        <v>1036</v>
      </c>
      <c r="K190" s="51">
        <f>VLOOKUP($A190,'Data Vlaue (Cr)'!$C:$FB,60)</f>
        <v>2223</v>
      </c>
      <c r="L190" s="51">
        <f>VLOOKUP($A190,'Data Vlaue (Cr)'!$C:$FB,62)*100</f>
        <v>-53.38</v>
      </c>
      <c r="M190" s="51">
        <f>VLOOKUP($A190,'Data Vlaue (Cr)'!$C:$FB,63)</f>
        <v>675</v>
      </c>
      <c r="N190" s="51">
        <f>VLOOKUP($A190,'Data Vlaue (Cr)'!$C:$FB,64)</f>
        <v>1560</v>
      </c>
      <c r="O190" s="51">
        <f>VLOOKUP($A190,'Data Vlaue (Cr)'!$C:$FB,66)*100</f>
        <v>-56.710000000000008</v>
      </c>
    </row>
    <row r="191" spans="1:15" x14ac:dyDescent="0.25">
      <c r="A191" s="101" t="str">
        <f>'Data Vlaue (Cr)'!C186</f>
        <v>SONACOMS</v>
      </c>
      <c r="B191" s="50">
        <f>VLOOKUP($A191,'Data Vlaue (Cr)'!$C:$FB,8)</f>
        <v>608</v>
      </c>
      <c r="C191" s="50">
        <f>VLOOKUP($A191,'Data Vlaue (Cr)'!$C:$FB,11)*100</f>
        <v>2.25</v>
      </c>
      <c r="D191" s="50">
        <f>VLOOKUP($A191,'Data Vlaue (Cr)'!$C:$FB,143)</f>
        <v>1085.05</v>
      </c>
      <c r="E191" s="50">
        <f>VLOOKUP($A191,'Data Vlaue (Cr)'!$C:$FB,144)</f>
        <v>1205.48</v>
      </c>
      <c r="F191" s="50">
        <f>VLOOKUP($A191,'Data Vlaue (Cr)'!$C:$FB,146)*100</f>
        <v>-9.99</v>
      </c>
      <c r="G191" s="49">
        <f>VLOOKUP($A191,'Data Vlaue (Cr)'!$C:$FB,43)</f>
        <v>547</v>
      </c>
      <c r="H191" s="49">
        <f>VLOOKUP($A191,'Data Vlaue (Cr)'!$C:$FB,44)</f>
        <v>797</v>
      </c>
      <c r="I191" s="49">
        <f>VLOOKUP($A191,'Data Vlaue (Cr)'!$C:$FB,46)*100</f>
        <v>-31.380000000000003</v>
      </c>
      <c r="J191" s="51">
        <f>VLOOKUP($A191,'Data Vlaue (Cr)'!$C:$FB,59)</f>
        <v>362</v>
      </c>
      <c r="K191" s="51">
        <f>VLOOKUP($A191,'Data Vlaue (Cr)'!$C:$FB,60)</f>
        <v>264</v>
      </c>
      <c r="L191" s="51">
        <f>VLOOKUP($A191,'Data Vlaue (Cr)'!$C:$FB,62)*100</f>
        <v>37.519999999999996</v>
      </c>
      <c r="M191" s="51">
        <f>VLOOKUP($A191,'Data Vlaue (Cr)'!$C:$FB,63)</f>
        <v>180</v>
      </c>
      <c r="N191" s="51">
        <f>VLOOKUP($A191,'Data Vlaue (Cr)'!$C:$FB,64)</f>
        <v>164</v>
      </c>
      <c r="O191" s="51">
        <f>VLOOKUP($A191,'Data Vlaue (Cr)'!$C:$FB,66)*100</f>
        <v>9.41</v>
      </c>
    </row>
    <row r="192" spans="1:15" x14ac:dyDescent="0.25">
      <c r="A192" s="101" t="str">
        <f>'Data Vlaue (Cr)'!C187</f>
        <v>SRF</v>
      </c>
      <c r="B192" s="50">
        <f>VLOOKUP($A192,'Data Vlaue (Cr)'!$C:$FB,8)</f>
        <v>2749.7</v>
      </c>
      <c r="C192" s="50">
        <f>VLOOKUP($A192,'Data Vlaue (Cr)'!$C:$FB,11)*100</f>
        <v>1.43</v>
      </c>
      <c r="D192" s="50">
        <f>VLOOKUP($A192,'Data Vlaue (Cr)'!$C:$FB,143)</f>
        <v>1721.96</v>
      </c>
      <c r="E192" s="50">
        <f>VLOOKUP($A192,'Data Vlaue (Cr)'!$C:$FB,144)</f>
        <v>1512.89</v>
      </c>
      <c r="F192" s="50">
        <f>VLOOKUP($A192,'Data Vlaue (Cr)'!$C:$FB,146)*100</f>
        <v>13.819999999999999</v>
      </c>
      <c r="G192" s="49">
        <f>VLOOKUP($A192,'Data Vlaue (Cr)'!$C:$FB,43)</f>
        <v>452</v>
      </c>
      <c r="H192" s="49">
        <f>VLOOKUP($A192,'Data Vlaue (Cr)'!$C:$FB,44)</f>
        <v>596</v>
      </c>
      <c r="I192" s="49">
        <f>VLOOKUP($A192,'Data Vlaue (Cr)'!$C:$FB,46)*100</f>
        <v>-24.16</v>
      </c>
      <c r="J192" s="51">
        <f>VLOOKUP($A192,'Data Vlaue (Cr)'!$C:$FB,59)</f>
        <v>908</v>
      </c>
      <c r="K192" s="51">
        <f>VLOOKUP($A192,'Data Vlaue (Cr)'!$C:$FB,60)</f>
        <v>667</v>
      </c>
      <c r="L192" s="51">
        <f>VLOOKUP($A192,'Data Vlaue (Cr)'!$C:$FB,62)*100</f>
        <v>36.22</v>
      </c>
      <c r="M192" s="51">
        <f>VLOOKUP($A192,'Data Vlaue (Cr)'!$C:$FB,63)</f>
        <v>347</v>
      </c>
      <c r="N192" s="51">
        <f>VLOOKUP($A192,'Data Vlaue (Cr)'!$C:$FB,64)</f>
        <v>269</v>
      </c>
      <c r="O192" s="51">
        <f>VLOOKUP($A192,'Data Vlaue (Cr)'!$C:$FB,66)*100</f>
        <v>29.049999999999997</v>
      </c>
    </row>
    <row r="193" spans="1:15" x14ac:dyDescent="0.25">
      <c r="A193" s="101" t="str">
        <f>'Data Vlaue (Cr)'!C188</f>
        <v>SUNPHARMA</v>
      </c>
      <c r="B193" s="50">
        <f>VLOOKUP($A193,'Data Vlaue (Cr)'!$C:$FB,8)</f>
        <v>1840.8</v>
      </c>
      <c r="C193" s="50">
        <f>VLOOKUP($A193,'Data Vlaue (Cr)'!$C:$FB,11)*100</f>
        <v>0.01</v>
      </c>
      <c r="D193" s="50">
        <f>VLOOKUP($A193,'Data Vlaue (Cr)'!$C:$FB,143)</f>
        <v>5777.88</v>
      </c>
      <c r="E193" s="50">
        <f>VLOOKUP($A193,'Data Vlaue (Cr)'!$C:$FB,144)</f>
        <v>16710.39</v>
      </c>
      <c r="F193" s="50">
        <f>VLOOKUP($A193,'Data Vlaue (Cr)'!$C:$FB,146)*100</f>
        <v>-65.42</v>
      </c>
      <c r="G193" s="49">
        <f>VLOOKUP($A193,'Data Vlaue (Cr)'!$C:$FB,43)</f>
        <v>1177</v>
      </c>
      <c r="H193" s="49">
        <f>VLOOKUP($A193,'Data Vlaue (Cr)'!$C:$FB,44)</f>
        <v>3319</v>
      </c>
      <c r="I193" s="49">
        <f>VLOOKUP($A193,'Data Vlaue (Cr)'!$C:$FB,46)*100</f>
        <v>-64.539999999999992</v>
      </c>
      <c r="J193" s="51">
        <f>VLOOKUP($A193,'Data Vlaue (Cr)'!$C:$FB,59)</f>
        <v>2374</v>
      </c>
      <c r="K193" s="51">
        <f>VLOOKUP($A193,'Data Vlaue (Cr)'!$C:$FB,60)</f>
        <v>7847</v>
      </c>
      <c r="L193" s="51">
        <f>VLOOKUP($A193,'Data Vlaue (Cr)'!$C:$FB,62)*100</f>
        <v>-69.75</v>
      </c>
      <c r="M193" s="51">
        <f>VLOOKUP($A193,'Data Vlaue (Cr)'!$C:$FB,63)</f>
        <v>2227</v>
      </c>
      <c r="N193" s="51">
        <f>VLOOKUP($A193,'Data Vlaue (Cr)'!$C:$FB,64)</f>
        <v>5503</v>
      </c>
      <c r="O193" s="51">
        <f>VLOOKUP($A193,'Data Vlaue (Cr)'!$C:$FB,66)*100</f>
        <v>-59.530000000000008</v>
      </c>
    </row>
    <row r="194" spans="1:15" x14ac:dyDescent="0.25">
      <c r="A194" s="101" t="str">
        <f>'Data Vlaue (Cr)'!C189</f>
        <v>SUPREMEIND</v>
      </c>
      <c r="B194" s="50">
        <f>VLOOKUP($A194,'Data Vlaue (Cr)'!$C:$FB,8)</f>
        <v>3570.9</v>
      </c>
      <c r="C194" s="50">
        <f>VLOOKUP($A194,'Data Vlaue (Cr)'!$C:$FB,11)*100</f>
        <v>-1.1599999999999999</v>
      </c>
      <c r="D194" s="50">
        <f>VLOOKUP($A194,'Data Vlaue (Cr)'!$C:$FB,143)</f>
        <v>591.48</v>
      </c>
      <c r="E194" s="50">
        <f>VLOOKUP($A194,'Data Vlaue (Cr)'!$C:$FB,144)</f>
        <v>1234.06</v>
      </c>
      <c r="F194" s="50">
        <f>VLOOKUP($A194,'Data Vlaue (Cr)'!$C:$FB,146)*100</f>
        <v>-52.070000000000007</v>
      </c>
      <c r="G194" s="49">
        <f>VLOOKUP($A194,'Data Vlaue (Cr)'!$C:$FB,43)</f>
        <v>307</v>
      </c>
      <c r="H194" s="49">
        <f>VLOOKUP($A194,'Data Vlaue (Cr)'!$C:$FB,44)</f>
        <v>475</v>
      </c>
      <c r="I194" s="49">
        <f>VLOOKUP($A194,'Data Vlaue (Cr)'!$C:$FB,46)*100</f>
        <v>-35.380000000000003</v>
      </c>
      <c r="J194" s="51">
        <f>VLOOKUP($A194,'Data Vlaue (Cr)'!$C:$FB,59)</f>
        <v>198</v>
      </c>
      <c r="K194" s="51">
        <f>VLOOKUP($A194,'Data Vlaue (Cr)'!$C:$FB,60)</f>
        <v>410</v>
      </c>
      <c r="L194" s="51">
        <f>VLOOKUP($A194,'Data Vlaue (Cr)'!$C:$FB,62)*100</f>
        <v>-51.7</v>
      </c>
      <c r="M194" s="51">
        <f>VLOOKUP($A194,'Data Vlaue (Cr)'!$C:$FB,63)</f>
        <v>75</v>
      </c>
      <c r="N194" s="51">
        <f>VLOOKUP($A194,'Data Vlaue (Cr)'!$C:$FB,64)</f>
        <v>326</v>
      </c>
      <c r="O194" s="51">
        <f>VLOOKUP($A194,'Data Vlaue (Cr)'!$C:$FB,66)*100</f>
        <v>-77.14</v>
      </c>
    </row>
    <row r="195" spans="1:15" x14ac:dyDescent="0.25">
      <c r="A195" s="101" t="str">
        <f>'Data Vlaue (Cr)'!C190</f>
        <v>SUZLON</v>
      </c>
      <c r="B195" s="50">
        <f>VLOOKUP($A195,'Data Vlaue (Cr)'!$C:$FB,8)</f>
        <v>54.58</v>
      </c>
      <c r="C195" s="50">
        <f>VLOOKUP($A195,'Data Vlaue (Cr)'!$C:$FB,11)*100</f>
        <v>1.0900000000000001</v>
      </c>
      <c r="D195" s="50">
        <f>VLOOKUP($A195,'Data Vlaue (Cr)'!$C:$FB,143)</f>
        <v>3384.75</v>
      </c>
      <c r="E195" s="50">
        <f>VLOOKUP($A195,'Data Vlaue (Cr)'!$C:$FB,144)</f>
        <v>4114.32</v>
      </c>
      <c r="F195" s="50">
        <f>VLOOKUP($A195,'Data Vlaue (Cr)'!$C:$FB,146)*100</f>
        <v>-17.73</v>
      </c>
      <c r="G195" s="49">
        <f>VLOOKUP($A195,'Data Vlaue (Cr)'!$C:$FB,43)</f>
        <v>1114</v>
      </c>
      <c r="H195" s="49">
        <f>VLOOKUP($A195,'Data Vlaue (Cr)'!$C:$FB,44)</f>
        <v>1620</v>
      </c>
      <c r="I195" s="49">
        <f>VLOOKUP($A195,'Data Vlaue (Cr)'!$C:$FB,46)*100</f>
        <v>-31.259999999999998</v>
      </c>
      <c r="J195" s="51">
        <f>VLOOKUP($A195,'Data Vlaue (Cr)'!$C:$FB,59)</f>
        <v>1415</v>
      </c>
      <c r="K195" s="51">
        <f>VLOOKUP($A195,'Data Vlaue (Cr)'!$C:$FB,60)</f>
        <v>1527</v>
      </c>
      <c r="L195" s="51">
        <f>VLOOKUP($A195,'Data Vlaue (Cr)'!$C:$FB,62)*100</f>
        <v>-7.35</v>
      </c>
      <c r="M195" s="51">
        <f>VLOOKUP($A195,'Data Vlaue (Cr)'!$C:$FB,63)</f>
        <v>791</v>
      </c>
      <c r="N195" s="51">
        <f>VLOOKUP($A195,'Data Vlaue (Cr)'!$C:$FB,64)</f>
        <v>924</v>
      </c>
      <c r="O195" s="51">
        <f>VLOOKUP($A195,'Data Vlaue (Cr)'!$C:$FB,66)*100</f>
        <v>-14.399999999999999</v>
      </c>
    </row>
    <row r="196" spans="1:15" x14ac:dyDescent="0.25">
      <c r="A196" s="101" t="str">
        <f>'Data Vlaue (Cr)'!C191</f>
        <v>SWIGGY</v>
      </c>
      <c r="B196" s="50">
        <f>VLOOKUP($A196,'Data Vlaue (Cr)'!$C:$FB,8)</f>
        <v>253.9</v>
      </c>
      <c r="C196" s="50">
        <f>VLOOKUP($A196,'Data Vlaue (Cr)'!$C:$FB,11)*100</f>
        <v>1.54</v>
      </c>
      <c r="D196" s="50">
        <f>VLOOKUP($A196,'Data Vlaue (Cr)'!$C:$FB,143)</f>
        <v>762.69</v>
      </c>
      <c r="E196" s="50">
        <f>VLOOKUP($A196,'Data Vlaue (Cr)'!$C:$FB,144)</f>
        <v>1043.7</v>
      </c>
      <c r="F196" s="50">
        <f>VLOOKUP($A196,'Data Vlaue (Cr)'!$C:$FB,146)*100</f>
        <v>-26.93</v>
      </c>
      <c r="G196" s="49">
        <f>VLOOKUP($A196,'Data Vlaue (Cr)'!$C:$FB,43)</f>
        <v>386</v>
      </c>
      <c r="H196" s="49">
        <f>VLOOKUP($A196,'Data Vlaue (Cr)'!$C:$FB,44)</f>
        <v>653</v>
      </c>
      <c r="I196" s="49">
        <f>VLOOKUP($A196,'Data Vlaue (Cr)'!$C:$FB,46)*100</f>
        <v>-40.98</v>
      </c>
      <c r="J196" s="51">
        <f>VLOOKUP($A196,'Data Vlaue (Cr)'!$C:$FB,59)</f>
        <v>255</v>
      </c>
      <c r="K196" s="51">
        <f>VLOOKUP($A196,'Data Vlaue (Cr)'!$C:$FB,60)</f>
        <v>270</v>
      </c>
      <c r="L196" s="51">
        <f>VLOOKUP($A196,'Data Vlaue (Cr)'!$C:$FB,62)*100</f>
        <v>-5.52</v>
      </c>
      <c r="M196" s="51">
        <f>VLOOKUP($A196,'Data Vlaue (Cr)'!$C:$FB,63)</f>
        <v>101</v>
      </c>
      <c r="N196" s="51">
        <f>VLOOKUP($A196,'Data Vlaue (Cr)'!$C:$FB,64)</f>
        <v>114</v>
      </c>
      <c r="O196" s="51">
        <f>VLOOKUP($A196,'Data Vlaue (Cr)'!$C:$FB,66)*100</f>
        <v>-10.96</v>
      </c>
    </row>
    <row r="197" spans="1:15" x14ac:dyDescent="0.25">
      <c r="A197" s="101" t="str">
        <f>'Data Vlaue (Cr)'!C192</f>
        <v>TATACONSUM</v>
      </c>
      <c r="B197" s="50">
        <f>VLOOKUP($A197,'Data Vlaue (Cr)'!$C:$FB,8)</f>
        <v>1187.5999999999999</v>
      </c>
      <c r="C197" s="50">
        <f>VLOOKUP($A197,'Data Vlaue (Cr)'!$C:$FB,11)*100</f>
        <v>0.03</v>
      </c>
      <c r="D197" s="50">
        <f>VLOOKUP($A197,'Data Vlaue (Cr)'!$C:$FB,143)</f>
        <v>1340.45</v>
      </c>
      <c r="E197" s="50">
        <f>VLOOKUP($A197,'Data Vlaue (Cr)'!$C:$FB,144)</f>
        <v>1590.21</v>
      </c>
      <c r="F197" s="50">
        <f>VLOOKUP($A197,'Data Vlaue (Cr)'!$C:$FB,146)*100</f>
        <v>-15.709999999999999</v>
      </c>
      <c r="G197" s="49">
        <f>VLOOKUP($A197,'Data Vlaue (Cr)'!$C:$FB,43)</f>
        <v>752</v>
      </c>
      <c r="H197" s="49">
        <f>VLOOKUP($A197,'Data Vlaue (Cr)'!$C:$FB,44)</f>
        <v>857</v>
      </c>
      <c r="I197" s="49">
        <f>VLOOKUP($A197,'Data Vlaue (Cr)'!$C:$FB,46)*100</f>
        <v>-12.23</v>
      </c>
      <c r="J197" s="51">
        <f>VLOOKUP($A197,'Data Vlaue (Cr)'!$C:$FB,59)</f>
        <v>397</v>
      </c>
      <c r="K197" s="51">
        <f>VLOOKUP($A197,'Data Vlaue (Cr)'!$C:$FB,60)</f>
        <v>508</v>
      </c>
      <c r="L197" s="51">
        <f>VLOOKUP($A197,'Data Vlaue (Cr)'!$C:$FB,62)*100</f>
        <v>-21.83</v>
      </c>
      <c r="M197" s="51">
        <f>VLOOKUP($A197,'Data Vlaue (Cr)'!$C:$FB,63)</f>
        <v>179</v>
      </c>
      <c r="N197" s="51">
        <f>VLOOKUP($A197,'Data Vlaue (Cr)'!$C:$FB,64)</f>
        <v>216</v>
      </c>
      <c r="O197" s="51">
        <f>VLOOKUP($A197,'Data Vlaue (Cr)'!$C:$FB,66)*100</f>
        <v>-17.11</v>
      </c>
    </row>
    <row r="198" spans="1:15" x14ac:dyDescent="0.25">
      <c r="A198" s="101" t="str">
        <f>'Data Vlaue (Cr)'!C193</f>
        <v>TATAELXSI</v>
      </c>
      <c r="B198" s="50">
        <f>VLOOKUP($A198,'Data Vlaue (Cr)'!$C:$FB,8)</f>
        <v>4335.6000000000004</v>
      </c>
      <c r="C198" s="50">
        <f>VLOOKUP($A198,'Data Vlaue (Cr)'!$C:$FB,11)*100</f>
        <v>0.19</v>
      </c>
      <c r="D198" s="50">
        <f>VLOOKUP($A198,'Data Vlaue (Cr)'!$C:$FB,143)</f>
        <v>803.39</v>
      </c>
      <c r="E198" s="50">
        <f>VLOOKUP($A198,'Data Vlaue (Cr)'!$C:$FB,144)</f>
        <v>2036.32</v>
      </c>
      <c r="F198" s="50">
        <f>VLOOKUP($A198,'Data Vlaue (Cr)'!$C:$FB,146)*100</f>
        <v>-60.550000000000004</v>
      </c>
      <c r="G198" s="49">
        <f>VLOOKUP($A198,'Data Vlaue (Cr)'!$C:$FB,43)</f>
        <v>312</v>
      </c>
      <c r="H198" s="49">
        <f>VLOOKUP($A198,'Data Vlaue (Cr)'!$C:$FB,44)</f>
        <v>713</v>
      </c>
      <c r="I198" s="49">
        <f>VLOOKUP($A198,'Data Vlaue (Cr)'!$C:$FB,46)*100</f>
        <v>-56.18</v>
      </c>
      <c r="J198" s="51">
        <f>VLOOKUP($A198,'Data Vlaue (Cr)'!$C:$FB,59)</f>
        <v>367</v>
      </c>
      <c r="K198" s="51">
        <f>VLOOKUP($A198,'Data Vlaue (Cr)'!$C:$FB,60)</f>
        <v>967</v>
      </c>
      <c r="L198" s="51">
        <f>VLOOKUP($A198,'Data Vlaue (Cr)'!$C:$FB,62)*100</f>
        <v>-62.050000000000004</v>
      </c>
      <c r="M198" s="51">
        <f>VLOOKUP($A198,'Data Vlaue (Cr)'!$C:$FB,63)</f>
        <v>91</v>
      </c>
      <c r="N198" s="51">
        <f>VLOOKUP($A198,'Data Vlaue (Cr)'!$C:$FB,64)</f>
        <v>286</v>
      </c>
      <c r="O198" s="51">
        <f>VLOOKUP($A198,'Data Vlaue (Cr)'!$C:$FB,66)*100</f>
        <v>-68.39</v>
      </c>
    </row>
    <row r="199" spans="1:15" x14ac:dyDescent="0.25">
      <c r="A199" s="101" t="str">
        <f>'Data Vlaue (Cr)'!C194</f>
        <v>TATAPOWER</v>
      </c>
      <c r="B199" s="50">
        <f>VLOOKUP($A199,'Data Vlaue (Cr)'!$C:$FB,8)</f>
        <v>420.95</v>
      </c>
      <c r="C199" s="50">
        <f>VLOOKUP($A199,'Data Vlaue (Cr)'!$C:$FB,11)*100</f>
        <v>1.79</v>
      </c>
      <c r="D199" s="50">
        <f>VLOOKUP($A199,'Data Vlaue (Cr)'!$C:$FB,143)</f>
        <v>5828.17</v>
      </c>
      <c r="E199" s="50">
        <f>VLOOKUP($A199,'Data Vlaue (Cr)'!$C:$FB,144)</f>
        <v>3834.39</v>
      </c>
      <c r="F199" s="50">
        <f>VLOOKUP($A199,'Data Vlaue (Cr)'!$C:$FB,146)*100</f>
        <v>52</v>
      </c>
      <c r="G199" s="49">
        <f>VLOOKUP($A199,'Data Vlaue (Cr)'!$C:$FB,43)</f>
        <v>1445</v>
      </c>
      <c r="H199" s="49">
        <f>VLOOKUP($A199,'Data Vlaue (Cr)'!$C:$FB,44)</f>
        <v>1224</v>
      </c>
      <c r="I199" s="49">
        <f>VLOOKUP($A199,'Data Vlaue (Cr)'!$C:$FB,46)*100</f>
        <v>18.029999999999998</v>
      </c>
      <c r="J199" s="51">
        <f>VLOOKUP($A199,'Data Vlaue (Cr)'!$C:$FB,59)</f>
        <v>3267</v>
      </c>
      <c r="K199" s="51">
        <f>VLOOKUP($A199,'Data Vlaue (Cr)'!$C:$FB,60)</f>
        <v>1738</v>
      </c>
      <c r="L199" s="51">
        <f>VLOOKUP($A199,'Data Vlaue (Cr)'!$C:$FB,62)*100</f>
        <v>88</v>
      </c>
      <c r="M199" s="51">
        <f>VLOOKUP($A199,'Data Vlaue (Cr)'!$C:$FB,63)</f>
        <v>979</v>
      </c>
      <c r="N199" s="51">
        <f>VLOOKUP($A199,'Data Vlaue (Cr)'!$C:$FB,64)</f>
        <v>879</v>
      </c>
      <c r="O199" s="51">
        <f>VLOOKUP($A199,'Data Vlaue (Cr)'!$C:$FB,66)*100</f>
        <v>11.450000000000001</v>
      </c>
    </row>
    <row r="200" spans="1:15" x14ac:dyDescent="0.25">
      <c r="A200" s="101" t="str">
        <f>'Data Vlaue (Cr)'!C195</f>
        <v>TATASTEEL</v>
      </c>
      <c r="B200" s="50">
        <f>VLOOKUP($A200,'Data Vlaue (Cr)'!$C:$FB,8)</f>
        <v>210.47</v>
      </c>
      <c r="C200" s="50">
        <f>VLOOKUP($A200,'Data Vlaue (Cr)'!$C:$FB,11)*100</f>
        <v>0.12</v>
      </c>
      <c r="D200" s="50">
        <f>VLOOKUP($A200,'Data Vlaue (Cr)'!$C:$FB,143)</f>
        <v>5377.7</v>
      </c>
      <c r="E200" s="50">
        <f>VLOOKUP($A200,'Data Vlaue (Cr)'!$C:$FB,144)</f>
        <v>7495.15</v>
      </c>
      <c r="F200" s="50">
        <f>VLOOKUP($A200,'Data Vlaue (Cr)'!$C:$FB,146)*100</f>
        <v>-28.249999999999996</v>
      </c>
      <c r="G200" s="49">
        <f>VLOOKUP($A200,'Data Vlaue (Cr)'!$C:$FB,43)</f>
        <v>1710</v>
      </c>
      <c r="H200" s="49">
        <f>VLOOKUP($A200,'Data Vlaue (Cr)'!$C:$FB,44)</f>
        <v>1735</v>
      </c>
      <c r="I200" s="49">
        <f>VLOOKUP($A200,'Data Vlaue (Cr)'!$C:$FB,46)*100</f>
        <v>-1.4500000000000002</v>
      </c>
      <c r="J200" s="51">
        <f>VLOOKUP($A200,'Data Vlaue (Cr)'!$C:$FB,59)</f>
        <v>2123</v>
      </c>
      <c r="K200" s="51">
        <f>VLOOKUP($A200,'Data Vlaue (Cr)'!$C:$FB,60)</f>
        <v>3547</v>
      </c>
      <c r="L200" s="51">
        <f>VLOOKUP($A200,'Data Vlaue (Cr)'!$C:$FB,62)*100</f>
        <v>-40.14</v>
      </c>
      <c r="M200" s="51">
        <f>VLOOKUP($A200,'Data Vlaue (Cr)'!$C:$FB,63)</f>
        <v>1449</v>
      </c>
      <c r="N200" s="51">
        <f>VLOOKUP($A200,'Data Vlaue (Cr)'!$C:$FB,64)</f>
        <v>2078</v>
      </c>
      <c r="O200" s="51">
        <f>VLOOKUP($A200,'Data Vlaue (Cr)'!$C:$FB,66)*100</f>
        <v>-30.259999999999998</v>
      </c>
    </row>
    <row r="201" spans="1:15" x14ac:dyDescent="0.25">
      <c r="A201" s="101" t="str">
        <f>'Data Vlaue (Cr)'!C196</f>
        <v>TCS</v>
      </c>
      <c r="B201" s="50">
        <f>VLOOKUP($A201,'Data Vlaue (Cr)'!$C:$FB,8)</f>
        <v>2276.1999999999998</v>
      </c>
      <c r="C201" s="50">
        <f>VLOOKUP($A201,'Data Vlaue (Cr)'!$C:$FB,11)*100</f>
        <v>-1.39</v>
      </c>
      <c r="D201" s="50">
        <f>VLOOKUP($A201,'Data Vlaue (Cr)'!$C:$FB,143)</f>
        <v>8345.2800000000007</v>
      </c>
      <c r="E201" s="50">
        <f>VLOOKUP($A201,'Data Vlaue (Cr)'!$C:$FB,144)</f>
        <v>13924.64</v>
      </c>
      <c r="F201" s="50">
        <f>VLOOKUP($A201,'Data Vlaue (Cr)'!$C:$FB,146)*100</f>
        <v>-40.07</v>
      </c>
      <c r="G201" s="49">
        <f>VLOOKUP($A201,'Data Vlaue (Cr)'!$C:$FB,43)</f>
        <v>2356</v>
      </c>
      <c r="H201" s="49">
        <f>VLOOKUP($A201,'Data Vlaue (Cr)'!$C:$FB,44)</f>
        <v>5575</v>
      </c>
      <c r="I201" s="49">
        <f>VLOOKUP($A201,'Data Vlaue (Cr)'!$C:$FB,46)*100</f>
        <v>-57.74</v>
      </c>
      <c r="J201" s="51">
        <f>VLOOKUP($A201,'Data Vlaue (Cr)'!$C:$FB,59)</f>
        <v>3407</v>
      </c>
      <c r="K201" s="51">
        <f>VLOOKUP($A201,'Data Vlaue (Cr)'!$C:$FB,60)</f>
        <v>5128</v>
      </c>
      <c r="L201" s="51">
        <f>VLOOKUP($A201,'Data Vlaue (Cr)'!$C:$FB,62)*100</f>
        <v>-33.57</v>
      </c>
      <c r="M201" s="51">
        <f>VLOOKUP($A201,'Data Vlaue (Cr)'!$C:$FB,63)</f>
        <v>2207</v>
      </c>
      <c r="N201" s="51">
        <f>VLOOKUP($A201,'Data Vlaue (Cr)'!$C:$FB,64)</f>
        <v>2748</v>
      </c>
      <c r="O201" s="51">
        <f>VLOOKUP($A201,'Data Vlaue (Cr)'!$C:$FB,66)*100</f>
        <v>-19.7</v>
      </c>
    </row>
    <row r="202" spans="1:15" x14ac:dyDescent="0.25">
      <c r="A202" s="101" t="str">
        <f>'Data Vlaue (Cr)'!C197</f>
        <v>TECHM</v>
      </c>
      <c r="B202" s="50">
        <f>VLOOKUP($A202,'Data Vlaue (Cr)'!$C:$FB,8)</f>
        <v>1458.7</v>
      </c>
      <c r="C202" s="50">
        <f>VLOOKUP($A202,'Data Vlaue (Cr)'!$C:$FB,11)*100</f>
        <v>1.6199999999999999</v>
      </c>
      <c r="D202" s="50">
        <f>VLOOKUP($A202,'Data Vlaue (Cr)'!$C:$FB,143)</f>
        <v>2286.3200000000002</v>
      </c>
      <c r="E202" s="50">
        <f>VLOOKUP($A202,'Data Vlaue (Cr)'!$C:$FB,144)</f>
        <v>3439.06</v>
      </c>
      <c r="F202" s="50">
        <f>VLOOKUP($A202,'Data Vlaue (Cr)'!$C:$FB,146)*100</f>
        <v>-33.520000000000003</v>
      </c>
      <c r="G202" s="49">
        <f>VLOOKUP($A202,'Data Vlaue (Cr)'!$C:$FB,43)</f>
        <v>1071</v>
      </c>
      <c r="H202" s="49">
        <f>VLOOKUP($A202,'Data Vlaue (Cr)'!$C:$FB,44)</f>
        <v>1678</v>
      </c>
      <c r="I202" s="49">
        <f>VLOOKUP($A202,'Data Vlaue (Cr)'!$C:$FB,46)*100</f>
        <v>-36.15</v>
      </c>
      <c r="J202" s="51">
        <f>VLOOKUP($A202,'Data Vlaue (Cr)'!$C:$FB,59)</f>
        <v>831</v>
      </c>
      <c r="K202" s="51">
        <f>VLOOKUP($A202,'Data Vlaue (Cr)'!$C:$FB,60)</f>
        <v>1253</v>
      </c>
      <c r="L202" s="51">
        <f>VLOOKUP($A202,'Data Vlaue (Cr)'!$C:$FB,62)*100</f>
        <v>-33.700000000000003</v>
      </c>
      <c r="M202" s="51">
        <f>VLOOKUP($A202,'Data Vlaue (Cr)'!$C:$FB,63)</f>
        <v>370</v>
      </c>
      <c r="N202" s="51">
        <f>VLOOKUP($A202,'Data Vlaue (Cr)'!$C:$FB,64)</f>
        <v>525</v>
      </c>
      <c r="O202" s="51">
        <f>VLOOKUP($A202,'Data Vlaue (Cr)'!$C:$FB,66)*100</f>
        <v>-29.520000000000003</v>
      </c>
    </row>
    <row r="203" spans="1:15" x14ac:dyDescent="0.25">
      <c r="A203" s="101" t="str">
        <f>'Data Vlaue (Cr)'!C198</f>
        <v>TIINDIA</v>
      </c>
      <c r="B203" s="50">
        <f>VLOOKUP($A203,'Data Vlaue (Cr)'!$C:$FB,8)</f>
        <v>3039.1</v>
      </c>
      <c r="C203" s="50">
        <f>VLOOKUP($A203,'Data Vlaue (Cr)'!$C:$FB,11)*100</f>
        <v>-0.27999999999999997</v>
      </c>
      <c r="D203" s="50">
        <f>VLOOKUP($A203,'Data Vlaue (Cr)'!$C:$FB,143)</f>
        <v>486.34</v>
      </c>
      <c r="E203" s="50">
        <f>VLOOKUP($A203,'Data Vlaue (Cr)'!$C:$FB,144)</f>
        <v>1396.3</v>
      </c>
      <c r="F203" s="50">
        <f>VLOOKUP($A203,'Data Vlaue (Cr)'!$C:$FB,146)*100</f>
        <v>-65.169999999999987</v>
      </c>
      <c r="G203" s="49">
        <f>VLOOKUP($A203,'Data Vlaue (Cr)'!$C:$FB,43)</f>
        <v>174</v>
      </c>
      <c r="H203" s="49">
        <f>VLOOKUP($A203,'Data Vlaue (Cr)'!$C:$FB,44)</f>
        <v>477</v>
      </c>
      <c r="I203" s="49">
        <f>VLOOKUP($A203,'Data Vlaue (Cr)'!$C:$FB,46)*100</f>
        <v>-63.5</v>
      </c>
      <c r="J203" s="51">
        <f>VLOOKUP($A203,'Data Vlaue (Cr)'!$C:$FB,59)</f>
        <v>231</v>
      </c>
      <c r="K203" s="51">
        <f>VLOOKUP($A203,'Data Vlaue (Cr)'!$C:$FB,60)</f>
        <v>680</v>
      </c>
      <c r="L203" s="51">
        <f>VLOOKUP($A203,'Data Vlaue (Cr)'!$C:$FB,62)*100</f>
        <v>-66.069999999999993</v>
      </c>
      <c r="M203" s="51">
        <f>VLOOKUP($A203,'Data Vlaue (Cr)'!$C:$FB,63)</f>
        <v>77</v>
      </c>
      <c r="N203" s="51">
        <f>VLOOKUP($A203,'Data Vlaue (Cr)'!$C:$FB,64)</f>
        <v>220</v>
      </c>
      <c r="O203" s="51">
        <f>VLOOKUP($A203,'Data Vlaue (Cr)'!$C:$FB,66)*100</f>
        <v>-65.010000000000005</v>
      </c>
    </row>
    <row r="204" spans="1:15" x14ac:dyDescent="0.25">
      <c r="A204" s="101" t="str">
        <f>'Data Vlaue (Cr)'!C199</f>
        <v>TITAN</v>
      </c>
      <c r="B204" s="50">
        <f>VLOOKUP($A204,'Data Vlaue (Cr)'!$C:$FB,8)</f>
        <v>4105.8999999999996</v>
      </c>
      <c r="C204" s="50">
        <f>VLOOKUP($A204,'Data Vlaue (Cr)'!$C:$FB,11)*100</f>
        <v>-1.28</v>
      </c>
      <c r="D204" s="50">
        <f>VLOOKUP($A204,'Data Vlaue (Cr)'!$C:$FB,143)</f>
        <v>4650.58</v>
      </c>
      <c r="E204" s="50">
        <f>VLOOKUP($A204,'Data Vlaue (Cr)'!$C:$FB,144)</f>
        <v>7683.2</v>
      </c>
      <c r="F204" s="50">
        <f>VLOOKUP($A204,'Data Vlaue (Cr)'!$C:$FB,146)*100</f>
        <v>-39.47</v>
      </c>
      <c r="G204" s="49">
        <f>VLOOKUP($A204,'Data Vlaue (Cr)'!$C:$FB,43)</f>
        <v>1162</v>
      </c>
      <c r="H204" s="49">
        <f>VLOOKUP($A204,'Data Vlaue (Cr)'!$C:$FB,44)</f>
        <v>1955</v>
      </c>
      <c r="I204" s="49">
        <f>VLOOKUP($A204,'Data Vlaue (Cr)'!$C:$FB,46)*100</f>
        <v>-40.550000000000004</v>
      </c>
      <c r="J204" s="51">
        <f>VLOOKUP($A204,'Data Vlaue (Cr)'!$C:$FB,59)</f>
        <v>2195</v>
      </c>
      <c r="K204" s="51">
        <f>VLOOKUP($A204,'Data Vlaue (Cr)'!$C:$FB,60)</f>
        <v>3769</v>
      </c>
      <c r="L204" s="51">
        <f>VLOOKUP($A204,'Data Vlaue (Cr)'!$C:$FB,62)*100</f>
        <v>-41.77</v>
      </c>
      <c r="M204" s="51">
        <f>VLOOKUP($A204,'Data Vlaue (Cr)'!$C:$FB,63)</f>
        <v>1206</v>
      </c>
      <c r="N204" s="51">
        <f>VLOOKUP($A204,'Data Vlaue (Cr)'!$C:$FB,64)</f>
        <v>1817</v>
      </c>
      <c r="O204" s="51">
        <f>VLOOKUP($A204,'Data Vlaue (Cr)'!$C:$FB,66)*100</f>
        <v>-33.629999999999995</v>
      </c>
    </row>
    <row r="205" spans="1:15" x14ac:dyDescent="0.25">
      <c r="A205" s="101" t="str">
        <f>'Data Vlaue (Cr)'!C200</f>
        <v>TMPV</v>
      </c>
      <c r="B205" s="50">
        <f>VLOOKUP($A205,'Data Vlaue (Cr)'!$C:$FB,8)</f>
        <v>385.6</v>
      </c>
      <c r="C205" s="50">
        <f>VLOOKUP($A205,'Data Vlaue (Cr)'!$C:$FB,11)*100</f>
        <v>3.3099999999999996</v>
      </c>
      <c r="D205" s="50">
        <f>VLOOKUP($A205,'Data Vlaue (Cr)'!$C:$FB,143)</f>
        <v>6206.9</v>
      </c>
      <c r="E205" s="50">
        <f>VLOOKUP($A205,'Data Vlaue (Cr)'!$C:$FB,144)</f>
        <v>7520.18</v>
      </c>
      <c r="F205" s="50">
        <f>VLOOKUP($A205,'Data Vlaue (Cr)'!$C:$FB,146)*100</f>
        <v>-17.46</v>
      </c>
      <c r="G205" s="49">
        <f>VLOOKUP($A205,'Data Vlaue (Cr)'!$C:$FB,43)</f>
        <v>1282</v>
      </c>
      <c r="H205" s="49">
        <f>VLOOKUP($A205,'Data Vlaue (Cr)'!$C:$FB,44)</f>
        <v>1721</v>
      </c>
      <c r="I205" s="49">
        <f>VLOOKUP($A205,'Data Vlaue (Cr)'!$C:$FB,46)*100</f>
        <v>-25.509999999999998</v>
      </c>
      <c r="J205" s="51">
        <f>VLOOKUP($A205,'Data Vlaue (Cr)'!$C:$FB,59)</f>
        <v>3661</v>
      </c>
      <c r="K205" s="51">
        <f>VLOOKUP($A205,'Data Vlaue (Cr)'!$C:$FB,60)</f>
        <v>4218</v>
      </c>
      <c r="L205" s="51">
        <f>VLOOKUP($A205,'Data Vlaue (Cr)'!$C:$FB,62)*100</f>
        <v>-13.19</v>
      </c>
      <c r="M205" s="51">
        <f>VLOOKUP($A205,'Data Vlaue (Cr)'!$C:$FB,63)</f>
        <v>1185</v>
      </c>
      <c r="N205" s="51">
        <f>VLOOKUP($A205,'Data Vlaue (Cr)'!$C:$FB,64)</f>
        <v>1720</v>
      </c>
      <c r="O205" s="51">
        <f>VLOOKUP($A205,'Data Vlaue (Cr)'!$C:$FB,66)*100</f>
        <v>-31.15</v>
      </c>
    </row>
    <row r="206" spans="1:15" x14ac:dyDescent="0.25">
      <c r="A206" s="101" t="str">
        <f>'Data Vlaue (Cr)'!C201</f>
        <v>TORNTPHARM</v>
      </c>
      <c r="B206" s="50">
        <f>VLOOKUP($A206,'Data Vlaue (Cr)'!$C:$FB,8)</f>
        <v>4452.1000000000004</v>
      </c>
      <c r="C206" s="50">
        <f>VLOOKUP($A206,'Data Vlaue (Cr)'!$C:$FB,11)*100</f>
        <v>-2.64</v>
      </c>
      <c r="D206" s="50">
        <f>VLOOKUP($A206,'Data Vlaue (Cr)'!$C:$FB,143)</f>
        <v>2216.31</v>
      </c>
      <c r="E206" s="50">
        <f>VLOOKUP($A206,'Data Vlaue (Cr)'!$C:$FB,144)</f>
        <v>12236.34</v>
      </c>
      <c r="F206" s="50">
        <f>VLOOKUP($A206,'Data Vlaue (Cr)'!$C:$FB,146)*100</f>
        <v>-81.89</v>
      </c>
      <c r="G206" s="49">
        <f>VLOOKUP($A206,'Data Vlaue (Cr)'!$C:$FB,43)</f>
        <v>428</v>
      </c>
      <c r="H206" s="49">
        <f>VLOOKUP($A206,'Data Vlaue (Cr)'!$C:$FB,44)</f>
        <v>1170</v>
      </c>
      <c r="I206" s="49">
        <f>VLOOKUP($A206,'Data Vlaue (Cr)'!$C:$FB,46)*100</f>
        <v>-63.4</v>
      </c>
      <c r="J206" s="51">
        <f>VLOOKUP($A206,'Data Vlaue (Cr)'!$C:$FB,59)</f>
        <v>926</v>
      </c>
      <c r="K206" s="51">
        <f>VLOOKUP($A206,'Data Vlaue (Cr)'!$C:$FB,60)</f>
        <v>7397</v>
      </c>
      <c r="L206" s="51">
        <f>VLOOKUP($A206,'Data Vlaue (Cr)'!$C:$FB,62)*100</f>
        <v>-87.48</v>
      </c>
      <c r="M206" s="51">
        <f>VLOOKUP($A206,'Data Vlaue (Cr)'!$C:$FB,63)</f>
        <v>817</v>
      </c>
      <c r="N206" s="51">
        <f>VLOOKUP($A206,'Data Vlaue (Cr)'!$C:$FB,64)</f>
        <v>3124</v>
      </c>
      <c r="O206" s="51">
        <f>VLOOKUP($A206,'Data Vlaue (Cr)'!$C:$FB,66)*100</f>
        <v>-73.83</v>
      </c>
    </row>
    <row r="207" spans="1:15" x14ac:dyDescent="0.25">
      <c r="A207" s="101" t="str">
        <f>'Data Vlaue (Cr)'!C202</f>
        <v>TRENT</v>
      </c>
      <c r="B207" s="50">
        <f>VLOOKUP($A207,'Data Vlaue (Cr)'!$C:$FB,8)</f>
        <v>4239.6000000000004</v>
      </c>
      <c r="C207" s="50">
        <f>VLOOKUP($A207,'Data Vlaue (Cr)'!$C:$FB,11)*100</f>
        <v>-1.4000000000000001</v>
      </c>
      <c r="D207" s="50">
        <f>VLOOKUP($A207,'Data Vlaue (Cr)'!$C:$FB,143)</f>
        <v>3046.6</v>
      </c>
      <c r="E207" s="50">
        <f>VLOOKUP($A207,'Data Vlaue (Cr)'!$C:$FB,144)</f>
        <v>5564.25</v>
      </c>
      <c r="F207" s="50">
        <f>VLOOKUP($A207,'Data Vlaue (Cr)'!$C:$FB,146)*100</f>
        <v>-45.25</v>
      </c>
      <c r="G207" s="49">
        <f>VLOOKUP($A207,'Data Vlaue (Cr)'!$C:$FB,43)</f>
        <v>718</v>
      </c>
      <c r="H207" s="49">
        <f>VLOOKUP($A207,'Data Vlaue (Cr)'!$C:$FB,44)</f>
        <v>1301</v>
      </c>
      <c r="I207" s="49">
        <f>VLOOKUP($A207,'Data Vlaue (Cr)'!$C:$FB,46)*100</f>
        <v>-44.769999999999996</v>
      </c>
      <c r="J207" s="51">
        <f>VLOOKUP($A207,'Data Vlaue (Cr)'!$C:$FB,59)</f>
        <v>1473</v>
      </c>
      <c r="K207" s="51">
        <f>VLOOKUP($A207,'Data Vlaue (Cr)'!$C:$FB,60)</f>
        <v>2909</v>
      </c>
      <c r="L207" s="51">
        <f>VLOOKUP($A207,'Data Vlaue (Cr)'!$C:$FB,62)*100</f>
        <v>-49.36</v>
      </c>
      <c r="M207" s="51">
        <f>VLOOKUP($A207,'Data Vlaue (Cr)'!$C:$FB,63)</f>
        <v>761</v>
      </c>
      <c r="N207" s="51">
        <f>VLOOKUP($A207,'Data Vlaue (Cr)'!$C:$FB,64)</f>
        <v>1153</v>
      </c>
      <c r="O207" s="51">
        <f>VLOOKUP($A207,'Data Vlaue (Cr)'!$C:$FB,66)*100</f>
        <v>-33.989999999999995</v>
      </c>
    </row>
    <row r="208" spans="1:15" x14ac:dyDescent="0.25">
      <c r="A208" s="101" t="str">
        <f>'Data Vlaue (Cr)'!C203</f>
        <v>TVSMOTOR</v>
      </c>
      <c r="B208" s="50">
        <f>VLOOKUP($A208,'Data Vlaue (Cr)'!$C:$FB,8)</f>
        <v>3454.9</v>
      </c>
      <c r="C208" s="50">
        <f>VLOOKUP($A208,'Data Vlaue (Cr)'!$C:$FB,11)*100</f>
        <v>-0.42</v>
      </c>
      <c r="D208" s="50">
        <f>VLOOKUP($A208,'Data Vlaue (Cr)'!$C:$FB,143)</f>
        <v>2272.29</v>
      </c>
      <c r="E208" s="50">
        <f>VLOOKUP($A208,'Data Vlaue (Cr)'!$C:$FB,144)</f>
        <v>5284.58</v>
      </c>
      <c r="F208" s="50">
        <f>VLOOKUP($A208,'Data Vlaue (Cr)'!$C:$FB,146)*100</f>
        <v>-56.999999999999993</v>
      </c>
      <c r="G208" s="49">
        <f>VLOOKUP($A208,'Data Vlaue (Cr)'!$C:$FB,43)</f>
        <v>749</v>
      </c>
      <c r="H208" s="49">
        <f>VLOOKUP($A208,'Data Vlaue (Cr)'!$C:$FB,44)</f>
        <v>2649</v>
      </c>
      <c r="I208" s="49">
        <f>VLOOKUP($A208,'Data Vlaue (Cr)'!$C:$FB,46)*100</f>
        <v>-71.740000000000009</v>
      </c>
      <c r="J208" s="51">
        <f>VLOOKUP($A208,'Data Vlaue (Cr)'!$C:$FB,59)</f>
        <v>761</v>
      </c>
      <c r="K208" s="51">
        <f>VLOOKUP($A208,'Data Vlaue (Cr)'!$C:$FB,60)</f>
        <v>1818</v>
      </c>
      <c r="L208" s="51">
        <f>VLOOKUP($A208,'Data Vlaue (Cr)'!$C:$FB,62)*100</f>
        <v>-58.13</v>
      </c>
      <c r="M208" s="51">
        <f>VLOOKUP($A208,'Data Vlaue (Cr)'!$C:$FB,63)</f>
        <v>745</v>
      </c>
      <c r="N208" s="51">
        <f>VLOOKUP($A208,'Data Vlaue (Cr)'!$C:$FB,64)</f>
        <v>776</v>
      </c>
      <c r="O208" s="51">
        <f>VLOOKUP($A208,'Data Vlaue (Cr)'!$C:$FB,66)*100</f>
        <v>-3.9800000000000004</v>
      </c>
    </row>
    <row r="209" spans="1:15" x14ac:dyDescent="0.25">
      <c r="A209" s="101" t="str">
        <f>'Data Vlaue (Cr)'!C204</f>
        <v>ULTRACEMCO</v>
      </c>
      <c r="B209" s="50">
        <f>VLOOKUP($A209,'Data Vlaue (Cr)'!$C:$FB,8)</f>
        <v>11623</v>
      </c>
      <c r="C209" s="50">
        <f>VLOOKUP($A209,'Data Vlaue (Cr)'!$C:$FB,11)*100</f>
        <v>-0.88</v>
      </c>
      <c r="D209" s="50">
        <f>VLOOKUP($A209,'Data Vlaue (Cr)'!$C:$FB,143)</f>
        <v>1861.19</v>
      </c>
      <c r="E209" s="50">
        <f>VLOOKUP($A209,'Data Vlaue (Cr)'!$C:$FB,144)</f>
        <v>3401.11</v>
      </c>
      <c r="F209" s="50">
        <f>VLOOKUP($A209,'Data Vlaue (Cr)'!$C:$FB,146)*100</f>
        <v>-45.28</v>
      </c>
      <c r="G209" s="49">
        <f>VLOOKUP($A209,'Data Vlaue (Cr)'!$C:$FB,43)</f>
        <v>702</v>
      </c>
      <c r="H209" s="49">
        <f>VLOOKUP($A209,'Data Vlaue (Cr)'!$C:$FB,44)</f>
        <v>1380</v>
      </c>
      <c r="I209" s="49">
        <f>VLOOKUP($A209,'Data Vlaue (Cr)'!$C:$FB,46)*100</f>
        <v>-49.14</v>
      </c>
      <c r="J209" s="51">
        <f>VLOOKUP($A209,'Data Vlaue (Cr)'!$C:$FB,59)</f>
        <v>790</v>
      </c>
      <c r="K209" s="51">
        <f>VLOOKUP($A209,'Data Vlaue (Cr)'!$C:$FB,60)</f>
        <v>1408</v>
      </c>
      <c r="L209" s="51">
        <f>VLOOKUP($A209,'Data Vlaue (Cr)'!$C:$FB,62)*100</f>
        <v>-43.89</v>
      </c>
      <c r="M209" s="51">
        <f>VLOOKUP($A209,'Data Vlaue (Cr)'!$C:$FB,63)</f>
        <v>347</v>
      </c>
      <c r="N209" s="51">
        <f>VLOOKUP($A209,'Data Vlaue (Cr)'!$C:$FB,64)</f>
        <v>567</v>
      </c>
      <c r="O209" s="51">
        <f>VLOOKUP($A209,'Data Vlaue (Cr)'!$C:$FB,66)*100</f>
        <v>-38.76</v>
      </c>
    </row>
    <row r="210" spans="1:15" x14ac:dyDescent="0.25">
      <c r="A210" s="101" t="str">
        <f>'Data Vlaue (Cr)'!C205</f>
        <v>UNIONBANK</v>
      </c>
      <c r="B210" s="50">
        <f>VLOOKUP($A210,'Data Vlaue (Cr)'!$C:$FB,8)</f>
        <v>167.56</v>
      </c>
      <c r="C210" s="50">
        <f>VLOOKUP($A210,'Data Vlaue (Cr)'!$C:$FB,11)*100</f>
        <v>-0.77999999999999992</v>
      </c>
      <c r="D210" s="50">
        <f>VLOOKUP($A210,'Data Vlaue (Cr)'!$C:$FB,143)</f>
        <v>2143.7800000000002</v>
      </c>
      <c r="E210" s="50">
        <f>VLOOKUP($A210,'Data Vlaue (Cr)'!$C:$FB,144)</f>
        <v>3760.68</v>
      </c>
      <c r="F210" s="50">
        <f>VLOOKUP($A210,'Data Vlaue (Cr)'!$C:$FB,146)*100</f>
        <v>-42.99</v>
      </c>
      <c r="G210" s="49">
        <f>VLOOKUP($A210,'Data Vlaue (Cr)'!$C:$FB,43)</f>
        <v>882</v>
      </c>
      <c r="H210" s="49">
        <f>VLOOKUP($A210,'Data Vlaue (Cr)'!$C:$FB,44)</f>
        <v>1746</v>
      </c>
      <c r="I210" s="49">
        <f>VLOOKUP($A210,'Data Vlaue (Cr)'!$C:$FB,46)*100</f>
        <v>-49.49</v>
      </c>
      <c r="J210" s="51">
        <f>VLOOKUP($A210,'Data Vlaue (Cr)'!$C:$FB,59)</f>
        <v>901</v>
      </c>
      <c r="K210" s="51">
        <f>VLOOKUP($A210,'Data Vlaue (Cr)'!$C:$FB,60)</f>
        <v>1496</v>
      </c>
      <c r="L210" s="51">
        <f>VLOOKUP($A210,'Data Vlaue (Cr)'!$C:$FB,62)*100</f>
        <v>-39.75</v>
      </c>
      <c r="M210" s="51">
        <f>VLOOKUP($A210,'Data Vlaue (Cr)'!$C:$FB,63)</f>
        <v>312</v>
      </c>
      <c r="N210" s="51">
        <f>VLOOKUP($A210,'Data Vlaue (Cr)'!$C:$FB,64)</f>
        <v>505</v>
      </c>
      <c r="O210" s="51">
        <f>VLOOKUP($A210,'Data Vlaue (Cr)'!$C:$FB,66)*100</f>
        <v>-38.26</v>
      </c>
    </row>
    <row r="211" spans="1:15" x14ac:dyDescent="0.25">
      <c r="A211" s="101" t="str">
        <f>'Data Vlaue (Cr)'!C206</f>
        <v>UNITDSPR</v>
      </c>
      <c r="B211" s="50">
        <f>VLOOKUP($A211,'Data Vlaue (Cr)'!$C:$FB,8)</f>
        <v>1293.4000000000001</v>
      </c>
      <c r="C211" s="50">
        <f>VLOOKUP($A211,'Data Vlaue (Cr)'!$C:$FB,11)*100</f>
        <v>0.72</v>
      </c>
      <c r="D211" s="50">
        <f>VLOOKUP($A211,'Data Vlaue (Cr)'!$C:$FB,143)</f>
        <v>1134.54</v>
      </c>
      <c r="E211" s="50">
        <f>VLOOKUP($A211,'Data Vlaue (Cr)'!$C:$FB,144)</f>
        <v>1477.91</v>
      </c>
      <c r="F211" s="50">
        <f>VLOOKUP($A211,'Data Vlaue (Cr)'!$C:$FB,146)*100</f>
        <v>-23.23</v>
      </c>
      <c r="G211" s="49">
        <f>VLOOKUP($A211,'Data Vlaue (Cr)'!$C:$FB,43)</f>
        <v>505</v>
      </c>
      <c r="H211" s="49">
        <f>VLOOKUP($A211,'Data Vlaue (Cr)'!$C:$FB,44)</f>
        <v>809</v>
      </c>
      <c r="I211" s="49">
        <f>VLOOKUP($A211,'Data Vlaue (Cr)'!$C:$FB,46)*100</f>
        <v>-37.619999999999997</v>
      </c>
      <c r="J211" s="51">
        <f>VLOOKUP($A211,'Data Vlaue (Cr)'!$C:$FB,59)</f>
        <v>332</v>
      </c>
      <c r="K211" s="51">
        <f>VLOOKUP($A211,'Data Vlaue (Cr)'!$C:$FB,60)</f>
        <v>376</v>
      </c>
      <c r="L211" s="51">
        <f>VLOOKUP($A211,'Data Vlaue (Cr)'!$C:$FB,62)*100</f>
        <v>-11.600000000000001</v>
      </c>
      <c r="M211" s="51">
        <f>VLOOKUP($A211,'Data Vlaue (Cr)'!$C:$FB,63)</f>
        <v>281</v>
      </c>
      <c r="N211" s="51">
        <f>VLOOKUP($A211,'Data Vlaue (Cr)'!$C:$FB,64)</f>
        <v>287</v>
      </c>
      <c r="O211" s="51">
        <f>VLOOKUP($A211,'Data Vlaue (Cr)'!$C:$FB,66)*100</f>
        <v>-1.91</v>
      </c>
    </row>
    <row r="212" spans="1:15" x14ac:dyDescent="0.25">
      <c r="A212" s="101" t="str">
        <f>'Data Vlaue (Cr)'!C207</f>
        <v>UNOMINDA</v>
      </c>
      <c r="B212" s="50">
        <f>VLOOKUP($A212,'Data Vlaue (Cr)'!$C:$FB,8)</f>
        <v>1114.9000000000001</v>
      </c>
      <c r="C212" s="50">
        <f>VLOOKUP($A212,'Data Vlaue (Cr)'!$C:$FB,11)*100</f>
        <v>-0.32</v>
      </c>
      <c r="D212" s="50">
        <f>VLOOKUP($A212,'Data Vlaue (Cr)'!$C:$FB,143)</f>
        <v>489.17</v>
      </c>
      <c r="E212" s="50">
        <f>VLOOKUP($A212,'Data Vlaue (Cr)'!$C:$FB,144)</f>
        <v>853.6</v>
      </c>
      <c r="F212" s="50">
        <f>VLOOKUP($A212,'Data Vlaue (Cr)'!$C:$FB,146)*100</f>
        <v>-42.69</v>
      </c>
      <c r="G212" s="49">
        <f>VLOOKUP($A212,'Data Vlaue (Cr)'!$C:$FB,43)</f>
        <v>198</v>
      </c>
      <c r="H212" s="49">
        <f>VLOOKUP($A212,'Data Vlaue (Cr)'!$C:$FB,44)</f>
        <v>315</v>
      </c>
      <c r="I212" s="49">
        <f>VLOOKUP($A212,'Data Vlaue (Cr)'!$C:$FB,46)*100</f>
        <v>-37.26</v>
      </c>
      <c r="J212" s="51">
        <f>VLOOKUP($A212,'Data Vlaue (Cr)'!$C:$FB,59)</f>
        <v>228</v>
      </c>
      <c r="K212" s="51">
        <f>VLOOKUP($A212,'Data Vlaue (Cr)'!$C:$FB,60)</f>
        <v>402</v>
      </c>
      <c r="L212" s="51">
        <f>VLOOKUP($A212,'Data Vlaue (Cr)'!$C:$FB,62)*100</f>
        <v>-43.11</v>
      </c>
      <c r="M212" s="51">
        <f>VLOOKUP($A212,'Data Vlaue (Cr)'!$C:$FB,63)</f>
        <v>52</v>
      </c>
      <c r="N212" s="51">
        <f>VLOOKUP($A212,'Data Vlaue (Cr)'!$C:$FB,64)</f>
        <v>128</v>
      </c>
      <c r="O212" s="51">
        <f>VLOOKUP($A212,'Data Vlaue (Cr)'!$C:$FB,66)*100</f>
        <v>-59.27</v>
      </c>
    </row>
    <row r="213" spans="1:15" x14ac:dyDescent="0.25">
      <c r="A213" s="101" t="str">
        <f>'Data Vlaue (Cr)'!C208</f>
        <v>UPL</v>
      </c>
      <c r="B213" s="50">
        <f>VLOOKUP($A213,'Data Vlaue (Cr)'!$C:$FB,8)</f>
        <v>655</v>
      </c>
      <c r="C213" s="50">
        <f>VLOOKUP($A213,'Data Vlaue (Cr)'!$C:$FB,11)*100</f>
        <v>0.41000000000000003</v>
      </c>
      <c r="D213" s="50">
        <f>VLOOKUP($A213,'Data Vlaue (Cr)'!$C:$FB,143)</f>
        <v>2000.56</v>
      </c>
      <c r="E213" s="50">
        <f>VLOOKUP($A213,'Data Vlaue (Cr)'!$C:$FB,144)</f>
        <v>2268.69</v>
      </c>
      <c r="F213" s="50">
        <f>VLOOKUP($A213,'Data Vlaue (Cr)'!$C:$FB,146)*100</f>
        <v>-11.82</v>
      </c>
      <c r="G213" s="49">
        <f>VLOOKUP($A213,'Data Vlaue (Cr)'!$C:$FB,43)</f>
        <v>982</v>
      </c>
      <c r="H213" s="49">
        <f>VLOOKUP($A213,'Data Vlaue (Cr)'!$C:$FB,44)</f>
        <v>1067</v>
      </c>
      <c r="I213" s="49">
        <f>VLOOKUP($A213,'Data Vlaue (Cr)'!$C:$FB,46)*100</f>
        <v>-7.9600000000000009</v>
      </c>
      <c r="J213" s="51">
        <f>VLOOKUP($A213,'Data Vlaue (Cr)'!$C:$FB,59)</f>
        <v>668</v>
      </c>
      <c r="K213" s="51">
        <f>VLOOKUP($A213,'Data Vlaue (Cr)'!$C:$FB,60)</f>
        <v>830</v>
      </c>
      <c r="L213" s="51">
        <f>VLOOKUP($A213,'Data Vlaue (Cr)'!$C:$FB,62)*100</f>
        <v>-19.48</v>
      </c>
      <c r="M213" s="51">
        <f>VLOOKUP($A213,'Data Vlaue (Cr)'!$C:$FB,63)</f>
        <v>334</v>
      </c>
      <c r="N213" s="51">
        <f>VLOOKUP($A213,'Data Vlaue (Cr)'!$C:$FB,64)</f>
        <v>381</v>
      </c>
      <c r="O213" s="51">
        <f>VLOOKUP($A213,'Data Vlaue (Cr)'!$C:$FB,66)*100</f>
        <v>-12.2</v>
      </c>
    </row>
    <row r="214" spans="1:15" x14ac:dyDescent="0.25">
      <c r="A214" s="101" t="str">
        <f>'Data Vlaue (Cr)'!C209</f>
        <v>VBL</v>
      </c>
      <c r="B214" s="50">
        <f>VLOOKUP($A214,'Data Vlaue (Cr)'!$C:$FB,8)</f>
        <v>531.29999999999995</v>
      </c>
      <c r="C214" s="50">
        <f>VLOOKUP($A214,'Data Vlaue (Cr)'!$C:$FB,11)*100</f>
        <v>0.11</v>
      </c>
      <c r="D214" s="50">
        <f>VLOOKUP($A214,'Data Vlaue (Cr)'!$C:$FB,143)</f>
        <v>1715.32</v>
      </c>
      <c r="E214" s="50">
        <f>VLOOKUP($A214,'Data Vlaue (Cr)'!$C:$FB,144)</f>
        <v>3769.24</v>
      </c>
      <c r="F214" s="50">
        <f>VLOOKUP($A214,'Data Vlaue (Cr)'!$C:$FB,146)*100</f>
        <v>-54.49</v>
      </c>
      <c r="G214" s="49">
        <f>VLOOKUP($A214,'Data Vlaue (Cr)'!$C:$FB,43)</f>
        <v>842</v>
      </c>
      <c r="H214" s="49">
        <f>VLOOKUP($A214,'Data Vlaue (Cr)'!$C:$FB,44)</f>
        <v>1204</v>
      </c>
      <c r="I214" s="49">
        <f>VLOOKUP($A214,'Data Vlaue (Cr)'!$C:$FB,46)*100</f>
        <v>-30.06</v>
      </c>
      <c r="J214" s="51">
        <f>VLOOKUP($A214,'Data Vlaue (Cr)'!$C:$FB,59)</f>
        <v>541</v>
      </c>
      <c r="K214" s="51">
        <f>VLOOKUP($A214,'Data Vlaue (Cr)'!$C:$FB,60)</f>
        <v>1564</v>
      </c>
      <c r="L214" s="51">
        <f>VLOOKUP($A214,'Data Vlaue (Cr)'!$C:$FB,62)*100</f>
        <v>-65.42</v>
      </c>
      <c r="M214" s="51">
        <f>VLOOKUP($A214,'Data Vlaue (Cr)'!$C:$FB,63)</f>
        <v>329</v>
      </c>
      <c r="N214" s="51">
        <f>VLOOKUP($A214,'Data Vlaue (Cr)'!$C:$FB,64)</f>
        <v>977</v>
      </c>
      <c r="O214" s="51">
        <f>VLOOKUP($A214,'Data Vlaue (Cr)'!$C:$FB,66)*100</f>
        <v>-66.28</v>
      </c>
    </row>
    <row r="215" spans="1:15" x14ac:dyDescent="0.25">
      <c r="A215" s="101" t="str">
        <f>'Data Vlaue (Cr)'!C210</f>
        <v>VEDL</v>
      </c>
      <c r="B215" s="50">
        <f>VLOOKUP($A215,'Data Vlaue (Cr)'!$C:$FB,8)</f>
        <v>344.9</v>
      </c>
      <c r="C215" s="50">
        <f>VLOOKUP($A215,'Data Vlaue (Cr)'!$C:$FB,11)*100</f>
        <v>3.73</v>
      </c>
      <c r="D215" s="50">
        <f>VLOOKUP($A215,'Data Vlaue (Cr)'!$C:$FB,143)</f>
        <v>6797.57</v>
      </c>
      <c r="E215" s="50">
        <f>VLOOKUP($A215,'Data Vlaue (Cr)'!$C:$FB,144)</f>
        <v>3649.66</v>
      </c>
      <c r="F215" s="50">
        <f>VLOOKUP($A215,'Data Vlaue (Cr)'!$C:$FB,146)*100</f>
        <v>86.25</v>
      </c>
      <c r="G215" s="49">
        <f>VLOOKUP($A215,'Data Vlaue (Cr)'!$C:$FB,43)</f>
        <v>1306</v>
      </c>
      <c r="H215" s="49">
        <f>VLOOKUP($A215,'Data Vlaue (Cr)'!$C:$FB,44)</f>
        <v>1169</v>
      </c>
      <c r="I215" s="49">
        <f>VLOOKUP($A215,'Data Vlaue (Cr)'!$C:$FB,46)*100</f>
        <v>11.690000000000001</v>
      </c>
      <c r="J215" s="51">
        <f>VLOOKUP($A215,'Data Vlaue (Cr)'!$C:$FB,59)</f>
        <v>3882</v>
      </c>
      <c r="K215" s="51">
        <f>VLOOKUP($A215,'Data Vlaue (Cr)'!$C:$FB,60)</f>
        <v>1665</v>
      </c>
      <c r="L215" s="51">
        <f>VLOOKUP($A215,'Data Vlaue (Cr)'!$C:$FB,62)*100</f>
        <v>133.19</v>
      </c>
      <c r="M215" s="51">
        <f>VLOOKUP($A215,'Data Vlaue (Cr)'!$C:$FB,63)</f>
        <v>1511</v>
      </c>
      <c r="N215" s="51">
        <f>VLOOKUP($A215,'Data Vlaue (Cr)'!$C:$FB,64)</f>
        <v>935</v>
      </c>
      <c r="O215" s="51">
        <f>VLOOKUP($A215,'Data Vlaue (Cr)'!$C:$FB,66)*100</f>
        <v>61.58</v>
      </c>
    </row>
    <row r="216" spans="1:15" x14ac:dyDescent="0.25">
      <c r="A216" s="101" t="str">
        <f>'Data Vlaue (Cr)'!C211</f>
        <v>VMM</v>
      </c>
      <c r="B216" s="50">
        <f>VLOOKUP($A216,'Data Vlaue (Cr)'!$C:$FB,8)</f>
        <v>121.08</v>
      </c>
      <c r="C216" s="50">
        <f>VLOOKUP($A216,'Data Vlaue (Cr)'!$C:$FB,11)*100</f>
        <v>0.02</v>
      </c>
      <c r="D216" s="50">
        <f>VLOOKUP($A216,'Data Vlaue (Cr)'!$C:$FB,143)</f>
        <v>253.41</v>
      </c>
      <c r="E216" s="50">
        <f>VLOOKUP($A216,'Data Vlaue (Cr)'!$C:$FB,144)</f>
        <v>369.57</v>
      </c>
      <c r="F216" s="50">
        <f>VLOOKUP($A216,'Data Vlaue (Cr)'!$C:$FB,146)*100</f>
        <v>-31.430000000000003</v>
      </c>
      <c r="G216" s="49">
        <f>VLOOKUP($A216,'Data Vlaue (Cr)'!$C:$FB,43)</f>
        <v>129</v>
      </c>
      <c r="H216" s="49">
        <f>VLOOKUP($A216,'Data Vlaue (Cr)'!$C:$FB,44)</f>
        <v>252</v>
      </c>
      <c r="I216" s="49">
        <f>VLOOKUP($A216,'Data Vlaue (Cr)'!$C:$FB,46)*100</f>
        <v>-48.72</v>
      </c>
      <c r="J216" s="51">
        <f>VLOOKUP($A216,'Data Vlaue (Cr)'!$C:$FB,59)</f>
        <v>89</v>
      </c>
      <c r="K216" s="51">
        <f>VLOOKUP($A216,'Data Vlaue (Cr)'!$C:$FB,60)</f>
        <v>91</v>
      </c>
      <c r="L216" s="51">
        <f>VLOOKUP($A216,'Data Vlaue (Cr)'!$C:$FB,62)*100</f>
        <v>-1.17</v>
      </c>
      <c r="M216" s="51">
        <f>VLOOKUP($A216,'Data Vlaue (Cr)'!$C:$FB,63)</f>
        <v>33</v>
      </c>
      <c r="N216" s="51">
        <f>VLOOKUP($A216,'Data Vlaue (Cr)'!$C:$FB,64)</f>
        <v>26</v>
      </c>
      <c r="O216" s="51">
        <f>VLOOKUP($A216,'Data Vlaue (Cr)'!$C:$FB,66)*100</f>
        <v>27.500000000000004</v>
      </c>
    </row>
    <row r="217" spans="1:15" x14ac:dyDescent="0.25">
      <c r="A217" s="101" t="str">
        <f>'Data Vlaue (Cr)'!C212</f>
        <v>VOLTAS</v>
      </c>
      <c r="B217" s="50">
        <f>VLOOKUP($A217,'Data Vlaue (Cr)'!$C:$FB,8)</f>
        <v>1271.4000000000001</v>
      </c>
      <c r="C217" s="50">
        <f>VLOOKUP($A217,'Data Vlaue (Cr)'!$C:$FB,11)*100</f>
        <v>-0.98</v>
      </c>
      <c r="D217" s="50">
        <f>VLOOKUP($A217,'Data Vlaue (Cr)'!$C:$FB,143)</f>
        <v>1303.72</v>
      </c>
      <c r="E217" s="50">
        <f>VLOOKUP($A217,'Data Vlaue (Cr)'!$C:$FB,144)</f>
        <v>2777.19</v>
      </c>
      <c r="F217" s="50">
        <f>VLOOKUP($A217,'Data Vlaue (Cr)'!$C:$FB,146)*100</f>
        <v>-53.059999999999995</v>
      </c>
      <c r="G217" s="49">
        <f>VLOOKUP($A217,'Data Vlaue (Cr)'!$C:$FB,43)</f>
        <v>566</v>
      </c>
      <c r="H217" s="49">
        <f>VLOOKUP($A217,'Data Vlaue (Cr)'!$C:$FB,44)</f>
        <v>884</v>
      </c>
      <c r="I217" s="49">
        <f>VLOOKUP($A217,'Data Vlaue (Cr)'!$C:$FB,46)*100</f>
        <v>-35.89</v>
      </c>
      <c r="J217" s="51">
        <f>VLOOKUP($A217,'Data Vlaue (Cr)'!$C:$FB,59)</f>
        <v>445</v>
      </c>
      <c r="K217" s="51">
        <f>VLOOKUP($A217,'Data Vlaue (Cr)'!$C:$FB,60)</f>
        <v>1250</v>
      </c>
      <c r="L217" s="51">
        <f>VLOOKUP($A217,'Data Vlaue (Cr)'!$C:$FB,62)*100</f>
        <v>-64.38000000000001</v>
      </c>
      <c r="M217" s="51">
        <f>VLOOKUP($A217,'Data Vlaue (Cr)'!$C:$FB,63)</f>
        <v>241</v>
      </c>
      <c r="N217" s="51">
        <f>VLOOKUP($A217,'Data Vlaue (Cr)'!$C:$FB,64)</f>
        <v>539</v>
      </c>
      <c r="O217" s="51">
        <f>VLOOKUP($A217,'Data Vlaue (Cr)'!$C:$FB,66)*100</f>
        <v>-55.22</v>
      </c>
    </row>
    <row r="218" spans="1:15" x14ac:dyDescent="0.25">
      <c r="A218" s="101" t="str">
        <f>'Data Vlaue (Cr)'!C213</f>
        <v>WAAREEENER</v>
      </c>
      <c r="B218" s="50">
        <f>VLOOKUP($A218,'Data Vlaue (Cr)'!$C:$FB,8)</f>
        <v>3088.1</v>
      </c>
      <c r="C218" s="50">
        <f>VLOOKUP($A218,'Data Vlaue (Cr)'!$C:$FB,11)*100</f>
        <v>3.4799999999999995</v>
      </c>
      <c r="D218" s="50">
        <f>VLOOKUP($A218,'Data Vlaue (Cr)'!$C:$FB,143)</f>
        <v>6974.55</v>
      </c>
      <c r="E218" s="50">
        <f>VLOOKUP($A218,'Data Vlaue (Cr)'!$C:$FB,144)</f>
        <v>3967.05</v>
      </c>
      <c r="F218" s="50">
        <f>VLOOKUP($A218,'Data Vlaue (Cr)'!$C:$FB,146)*100</f>
        <v>75.81</v>
      </c>
      <c r="G218" s="49">
        <f>VLOOKUP($A218,'Data Vlaue (Cr)'!$C:$FB,43)</f>
        <v>1222</v>
      </c>
      <c r="H218" s="49">
        <f>VLOOKUP($A218,'Data Vlaue (Cr)'!$C:$FB,44)</f>
        <v>1136</v>
      </c>
      <c r="I218" s="49">
        <f>VLOOKUP($A218,'Data Vlaue (Cr)'!$C:$FB,46)*100</f>
        <v>7.5600000000000005</v>
      </c>
      <c r="J218" s="51">
        <f>VLOOKUP($A218,'Data Vlaue (Cr)'!$C:$FB,59)</f>
        <v>4234</v>
      </c>
      <c r="K218" s="51">
        <f>VLOOKUP($A218,'Data Vlaue (Cr)'!$C:$FB,60)</f>
        <v>2258</v>
      </c>
      <c r="L218" s="51">
        <f>VLOOKUP($A218,'Data Vlaue (Cr)'!$C:$FB,62)*100</f>
        <v>87.539999999999992</v>
      </c>
      <c r="M218" s="51">
        <f>VLOOKUP($A218,'Data Vlaue (Cr)'!$C:$FB,63)</f>
        <v>1415</v>
      </c>
      <c r="N218" s="51">
        <f>VLOOKUP($A218,'Data Vlaue (Cr)'!$C:$FB,64)</f>
        <v>573</v>
      </c>
      <c r="O218" s="51">
        <f>VLOOKUP($A218,'Data Vlaue (Cr)'!$C:$FB,66)*100</f>
        <v>146.91</v>
      </c>
    </row>
    <row r="219" spans="1:15" x14ac:dyDescent="0.25">
      <c r="A219" s="101" t="str">
        <f>'Data Vlaue (Cr)'!C214</f>
        <v>WIPRO</v>
      </c>
      <c r="B219" s="50">
        <f>VLOOKUP($A219,'Data Vlaue (Cr)'!$C:$FB,8)</f>
        <v>203.73</v>
      </c>
      <c r="C219" s="50">
        <f>VLOOKUP($A219,'Data Vlaue (Cr)'!$C:$FB,11)*100</f>
        <v>-1.5</v>
      </c>
      <c r="D219" s="50">
        <f>VLOOKUP($A219,'Data Vlaue (Cr)'!$C:$FB,143)</f>
        <v>9284.18</v>
      </c>
      <c r="E219" s="50">
        <f>VLOOKUP($A219,'Data Vlaue (Cr)'!$C:$FB,144)</f>
        <v>14817.64</v>
      </c>
      <c r="F219" s="50">
        <f>VLOOKUP($A219,'Data Vlaue (Cr)'!$C:$FB,146)*100</f>
        <v>-37.340000000000003</v>
      </c>
      <c r="G219" s="49">
        <f>VLOOKUP($A219,'Data Vlaue (Cr)'!$C:$FB,43)</f>
        <v>3293</v>
      </c>
      <c r="H219" s="49">
        <f>VLOOKUP($A219,'Data Vlaue (Cr)'!$C:$FB,44)</f>
        <v>4386</v>
      </c>
      <c r="I219" s="49">
        <f>VLOOKUP($A219,'Data Vlaue (Cr)'!$C:$FB,46)*100</f>
        <v>-24.91</v>
      </c>
      <c r="J219" s="51">
        <f>VLOOKUP($A219,'Data Vlaue (Cr)'!$C:$FB,59)</f>
        <v>3366</v>
      </c>
      <c r="K219" s="51">
        <f>VLOOKUP($A219,'Data Vlaue (Cr)'!$C:$FB,60)</f>
        <v>6175</v>
      </c>
      <c r="L219" s="51">
        <f>VLOOKUP($A219,'Data Vlaue (Cr)'!$C:$FB,62)*100</f>
        <v>-45.5</v>
      </c>
      <c r="M219" s="51">
        <f>VLOOKUP($A219,'Data Vlaue (Cr)'!$C:$FB,63)</f>
        <v>1938</v>
      </c>
      <c r="N219" s="51">
        <f>VLOOKUP($A219,'Data Vlaue (Cr)'!$C:$FB,64)</f>
        <v>2749</v>
      </c>
      <c r="O219" s="51">
        <f>VLOOKUP($A219,'Data Vlaue (Cr)'!$C:$FB,66)*100</f>
        <v>-29.5</v>
      </c>
    </row>
    <row r="220" spans="1:15" x14ac:dyDescent="0.25">
      <c r="A220" s="101" t="str">
        <f>'Data Vlaue (Cr)'!C215</f>
        <v>YESBANK</v>
      </c>
      <c r="B220" s="50">
        <f>VLOOKUP($A220,'Data Vlaue (Cr)'!$C:$FB,8)</f>
        <v>22.83</v>
      </c>
      <c r="C220" s="50">
        <f>VLOOKUP($A220,'Data Vlaue (Cr)'!$C:$FB,11)*100</f>
        <v>2.42</v>
      </c>
      <c r="D220" s="50">
        <f>VLOOKUP($A220,'Data Vlaue (Cr)'!$C:$FB,143)</f>
        <v>2807.93</v>
      </c>
      <c r="E220" s="50">
        <f>VLOOKUP($A220,'Data Vlaue (Cr)'!$C:$FB,144)</f>
        <v>2463.46</v>
      </c>
      <c r="F220" s="50">
        <f>VLOOKUP($A220,'Data Vlaue (Cr)'!$C:$FB,146)*100</f>
        <v>13.98</v>
      </c>
      <c r="G220" s="49">
        <f>VLOOKUP($A220,'Data Vlaue (Cr)'!$C:$FB,43)</f>
        <v>1507</v>
      </c>
      <c r="H220" s="49">
        <f>VLOOKUP($A220,'Data Vlaue (Cr)'!$C:$FB,44)</f>
        <v>1331</v>
      </c>
      <c r="I220" s="49">
        <f>VLOOKUP($A220,'Data Vlaue (Cr)'!$C:$FB,46)*100</f>
        <v>13.23</v>
      </c>
      <c r="J220" s="51">
        <f>VLOOKUP($A220,'Data Vlaue (Cr)'!$C:$FB,59)</f>
        <v>907</v>
      </c>
      <c r="K220" s="51">
        <f>VLOOKUP($A220,'Data Vlaue (Cr)'!$C:$FB,60)</f>
        <v>696</v>
      </c>
      <c r="L220" s="51">
        <f>VLOOKUP($A220,'Data Vlaue (Cr)'!$C:$FB,62)*100</f>
        <v>30.34</v>
      </c>
      <c r="M220" s="51">
        <f>VLOOKUP($A220,'Data Vlaue (Cr)'!$C:$FB,63)</f>
        <v>391</v>
      </c>
      <c r="N220" s="51">
        <f>VLOOKUP($A220,'Data Vlaue (Cr)'!$C:$FB,64)</f>
        <v>486</v>
      </c>
      <c r="O220" s="51">
        <f>VLOOKUP($A220,'Data Vlaue (Cr)'!$C:$FB,66)*100</f>
        <v>-19.68</v>
      </c>
    </row>
    <row r="221" spans="1:15" x14ac:dyDescent="0.25">
      <c r="A221" s="101" t="str">
        <f>'Data Vlaue (Cr)'!C216</f>
        <v>ZYDUSLIFE</v>
      </c>
      <c r="B221" s="50">
        <f>VLOOKUP($A221,'Data Vlaue (Cr)'!$C:$FB,8)</f>
        <v>1079.05</v>
      </c>
      <c r="C221" s="50">
        <f>VLOOKUP($A221,'Data Vlaue (Cr)'!$C:$FB,11)*100</f>
        <v>0.57000000000000006</v>
      </c>
      <c r="D221" s="50">
        <f>VLOOKUP($A221,'Data Vlaue (Cr)'!$C:$FB,143)</f>
        <v>1780.85</v>
      </c>
      <c r="E221" s="50">
        <f>VLOOKUP($A221,'Data Vlaue (Cr)'!$C:$FB,144)</f>
        <v>4227.62</v>
      </c>
      <c r="F221" s="50">
        <f>VLOOKUP($A221,'Data Vlaue (Cr)'!$C:$FB,146)*100</f>
        <v>-57.879999999999995</v>
      </c>
      <c r="G221" s="49">
        <f>VLOOKUP($A221,'Data Vlaue (Cr)'!$C:$FB,43)</f>
        <v>515</v>
      </c>
      <c r="H221" s="49">
        <f>VLOOKUP($A221,'Data Vlaue (Cr)'!$C:$FB,44)</f>
        <v>1042</v>
      </c>
      <c r="I221" s="49">
        <f>VLOOKUP($A221,'Data Vlaue (Cr)'!$C:$FB,46)*100</f>
        <v>-50.519999999999996</v>
      </c>
      <c r="J221" s="51">
        <f>VLOOKUP($A221,'Data Vlaue (Cr)'!$C:$FB,59)</f>
        <v>872</v>
      </c>
      <c r="K221" s="51">
        <f>VLOOKUP($A221,'Data Vlaue (Cr)'!$C:$FB,60)</f>
        <v>2493</v>
      </c>
      <c r="L221" s="51">
        <f>VLOOKUP($A221,'Data Vlaue (Cr)'!$C:$FB,62)*100</f>
        <v>-65.05</v>
      </c>
      <c r="M221" s="51">
        <f>VLOOKUP($A221,'Data Vlaue (Cr)'!$C:$FB,63)</f>
        <v>383</v>
      </c>
      <c r="N221" s="51">
        <f>VLOOKUP($A221,'Data Vlaue (Cr)'!$C:$FB,64)</f>
        <v>725</v>
      </c>
      <c r="O221" s="51">
        <f>VLOOKUP($A221,'Data Vlaue (Cr)'!$C:$FB,66)*100</f>
        <v>-47.089999999999996</v>
      </c>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65856943.76000002</v>
      </c>
      <c r="E232" s="131">
        <f>SUM(E7:E231)</f>
        <v>20257391.110000003</v>
      </c>
      <c r="F232" s="132">
        <f>(D232-E232)/E232</f>
        <v>2.2510081580786547</v>
      </c>
      <c r="G232" s="131">
        <f>SUM(G7:G231)</f>
        <v>234316</v>
      </c>
      <c r="H232" s="131">
        <f>SUM(H7:H231)</f>
        <v>346170</v>
      </c>
      <c r="I232" s="132">
        <f>(G232-H232)/H232</f>
        <v>-0.3231186989051622</v>
      </c>
      <c r="J232" s="131">
        <f>SUM(J7:J231)</f>
        <v>31509389</v>
      </c>
      <c r="K232" s="131">
        <f>SUM(K7:K231)</f>
        <v>10134313</v>
      </c>
      <c r="L232" s="132">
        <f>(J232-K232)/K232</f>
        <v>2.1091785896093795</v>
      </c>
      <c r="M232" s="131">
        <f>SUM(M7:M231)</f>
        <v>34126909</v>
      </c>
      <c r="N232" s="131">
        <f>SUM(N7:N231)</f>
        <v>9785611</v>
      </c>
      <c r="O232" s="132">
        <f>(M232-N232)/N232</f>
        <v>2.4874581668942288</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3"/>
  <sheetViews>
    <sheetView workbookViewId="0">
      <pane ySplit="6" topLeftCell="A191" activePane="bottomLeft" state="frozen"/>
      <selection pane="bottomLeft" activeCell="A7" sqref="A7:A221"/>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2" t="s">
        <v>315</v>
      </c>
      <c r="B3" s="299"/>
      <c r="C3" s="299"/>
      <c r="D3" s="299"/>
      <c r="E3" s="299"/>
      <c r="F3" s="299"/>
      <c r="G3" s="299"/>
      <c r="H3" s="299"/>
      <c r="I3" s="299"/>
      <c r="J3" s="299"/>
      <c r="K3" s="299"/>
      <c r="L3" s="299"/>
      <c r="M3" s="299"/>
      <c r="N3" s="299"/>
      <c r="O3" s="300"/>
    </row>
    <row r="4" spans="1:15" x14ac:dyDescent="0.25">
      <c r="A4" s="303" t="s">
        <v>330</v>
      </c>
      <c r="B4" s="303" t="s">
        <v>308</v>
      </c>
      <c r="C4" s="303"/>
      <c r="D4" s="303" t="s">
        <v>361</v>
      </c>
      <c r="E4" s="303"/>
      <c r="F4" s="303"/>
      <c r="G4" s="303"/>
      <c r="H4" s="303"/>
      <c r="I4" s="303"/>
      <c r="J4" s="303"/>
      <c r="K4" s="303"/>
      <c r="L4" s="303"/>
      <c r="M4" s="303"/>
      <c r="N4" s="303"/>
      <c r="O4" s="303"/>
    </row>
    <row r="5" spans="1:15" x14ac:dyDescent="0.25">
      <c r="A5" s="304"/>
      <c r="B5" s="304" t="s">
        <v>312</v>
      </c>
      <c r="C5" s="304"/>
      <c r="D5" s="304" t="s">
        <v>315</v>
      </c>
      <c r="E5" s="304"/>
      <c r="F5" s="304"/>
      <c r="G5" s="304" t="s">
        <v>362</v>
      </c>
      <c r="H5" s="304"/>
      <c r="I5" s="304"/>
      <c r="J5" s="304" t="s">
        <v>363</v>
      </c>
      <c r="K5" s="304"/>
      <c r="L5" s="304"/>
      <c r="M5" s="304" t="s">
        <v>364</v>
      </c>
      <c r="N5" s="304"/>
      <c r="O5" s="304"/>
    </row>
    <row r="6" spans="1:15" x14ac:dyDescent="0.25">
      <c r="A6" s="34" t="s">
        <v>318</v>
      </c>
      <c r="B6" s="21">
        <f>'Total Value'!B6</f>
        <v>46168</v>
      </c>
      <c r="C6" s="34" t="s">
        <v>328</v>
      </c>
      <c r="D6" s="21">
        <f>B6</f>
        <v>46168</v>
      </c>
      <c r="E6" s="34" t="s">
        <v>322</v>
      </c>
      <c r="F6" s="34" t="s">
        <v>328</v>
      </c>
      <c r="G6" s="21">
        <f>D6</f>
        <v>46168</v>
      </c>
      <c r="H6" s="34" t="s">
        <v>322</v>
      </c>
      <c r="I6" s="34" t="s">
        <v>328</v>
      </c>
      <c r="J6" s="21">
        <f>D6</f>
        <v>46168</v>
      </c>
      <c r="K6" s="34" t="s">
        <v>322</v>
      </c>
      <c r="L6" s="34" t="s">
        <v>328</v>
      </c>
      <c r="M6" s="21">
        <f>D6</f>
        <v>46168</v>
      </c>
      <c r="N6" s="34" t="s">
        <v>322</v>
      </c>
      <c r="O6" s="34" t="s">
        <v>328</v>
      </c>
    </row>
    <row r="7" spans="1:15" x14ac:dyDescent="0.25">
      <c r="A7" s="101" t="str">
        <f>'Data Vlaue (Cr)'!C2</f>
        <v>360ONE</v>
      </c>
      <c r="B7" s="50">
        <f>VLOOKUP($A7,'Data shares'!$C:$FB,7)</f>
        <v>1125.3</v>
      </c>
      <c r="C7" s="50">
        <f>VLOOKUP($A7,'Data shares'!$C:$FB,10)*100</f>
        <v>-1.5</v>
      </c>
      <c r="D7" s="49">
        <f>VLOOKUP($A7,'Data shares'!$C:$FB,66)</f>
        <v>4819500</v>
      </c>
      <c r="E7" s="49">
        <f>VLOOKUP($A7,'Data shares'!$C:$FB,67)</f>
        <v>6725500</v>
      </c>
      <c r="F7" s="50">
        <f>VLOOKUP($A7,'Data shares'!$C:$FB,69)*100</f>
        <v>-28.34</v>
      </c>
      <c r="G7" s="49">
        <f>VLOOKUP($A7,'Data shares'!$C:$FB,42)</f>
        <v>3109000</v>
      </c>
      <c r="H7" s="49">
        <f>VLOOKUP($A7,'Data shares'!$C:$FB,43)</f>
        <v>3534000</v>
      </c>
      <c r="I7" s="50">
        <f>VLOOKUP($A7,'Data shares'!$C:$FB,45)*100</f>
        <v>-12.030000000000001</v>
      </c>
      <c r="J7" s="49">
        <f>VLOOKUP($A7,'Data shares'!$C:$FB,58)</f>
        <v>1099000</v>
      </c>
      <c r="K7" s="49">
        <f>VLOOKUP($A7,'Data shares'!$C:$FB,59)</f>
        <v>1837500</v>
      </c>
      <c r="L7" s="50">
        <f>VLOOKUP($A7,'Data shares'!$C:$FB,61)*100</f>
        <v>-40.19</v>
      </c>
      <c r="M7" s="49">
        <f>VLOOKUP($A7,'Data shares'!$C:$FB,62)</f>
        <v>611500</v>
      </c>
      <c r="N7" s="49">
        <f>VLOOKUP($A7,'Data shares'!$C:$FB,63)</f>
        <v>1354000</v>
      </c>
      <c r="O7" s="140">
        <f>VLOOKUP($A7,'Data shares'!$C:$FB,65)*100</f>
        <v>-54.84</v>
      </c>
    </row>
    <row r="8" spans="1:15" x14ac:dyDescent="0.25">
      <c r="A8" s="101" t="str">
        <f>'Data Vlaue (Cr)'!C3</f>
        <v>ABB</v>
      </c>
      <c r="B8" s="50">
        <f>VLOOKUP($A8,'Data shares'!$C:$FB,7)</f>
        <v>6804</v>
      </c>
      <c r="C8" s="50">
        <f>VLOOKUP($A8,'Data shares'!$C:$FB,10)*100</f>
        <v>0.73</v>
      </c>
      <c r="D8" s="49">
        <f>VLOOKUP($A8,'Data shares'!$C:$FB,66)</f>
        <v>3326000</v>
      </c>
      <c r="E8" s="49">
        <f>VLOOKUP($A8,'Data shares'!$C:$FB,67)</f>
        <v>7660125</v>
      </c>
      <c r="F8" s="50">
        <f>VLOOKUP($A8,'Data shares'!$C:$FB,69)*100</f>
        <v>-56.58</v>
      </c>
      <c r="G8" s="49">
        <f>VLOOKUP($A8,'Data shares'!$C:$FB,42)</f>
        <v>753250</v>
      </c>
      <c r="H8" s="49">
        <f>VLOOKUP($A8,'Data shares'!$C:$FB,43)</f>
        <v>1855375</v>
      </c>
      <c r="I8" s="50">
        <f>VLOOKUP($A8,'Data shares'!$C:$FB,45)*100</f>
        <v>-59.4</v>
      </c>
      <c r="J8" s="49">
        <f>VLOOKUP($A8,'Data shares'!$C:$FB,58)</f>
        <v>1675625</v>
      </c>
      <c r="K8" s="49">
        <f>VLOOKUP($A8,'Data shares'!$C:$FB,59)</f>
        <v>3930375</v>
      </c>
      <c r="L8" s="50">
        <f>VLOOKUP($A8,'Data shares'!$C:$FB,61)*100</f>
        <v>-57.37</v>
      </c>
      <c r="M8" s="49">
        <f>VLOOKUP($A8,'Data shares'!$C:$FB,62)</f>
        <v>897125</v>
      </c>
      <c r="N8" s="49">
        <f>VLOOKUP($A8,'Data shares'!$C:$FB,63)</f>
        <v>1874375</v>
      </c>
      <c r="O8" s="140">
        <f>VLOOKUP($A8,'Data shares'!$C:$FB,65)*100</f>
        <v>-52.14</v>
      </c>
    </row>
    <row r="9" spans="1:15" x14ac:dyDescent="0.25">
      <c r="A9" s="101" t="str">
        <f>'Data Vlaue (Cr)'!C4</f>
        <v>ABCAPITAL</v>
      </c>
      <c r="B9" s="50">
        <f>VLOOKUP($A9,'Data shares'!$C:$FB,7)</f>
        <v>363.05</v>
      </c>
      <c r="C9" s="50">
        <f>VLOOKUP($A9,'Data shares'!$C:$FB,10)*100</f>
        <v>-0.16</v>
      </c>
      <c r="D9" s="49">
        <f>VLOOKUP($A9,'Data shares'!$C:$FB,66)</f>
        <v>32612000</v>
      </c>
      <c r="E9" s="49">
        <f>VLOOKUP($A9,'Data shares'!$C:$FB,67)</f>
        <v>67322700</v>
      </c>
      <c r="F9" s="50">
        <f>VLOOKUP($A9,'Data shares'!$C:$FB,69)*100</f>
        <v>-51.559999999999995</v>
      </c>
      <c r="G9" s="49">
        <f>VLOOKUP($A9,'Data shares'!$C:$FB,42)</f>
        <v>20261600</v>
      </c>
      <c r="H9" s="49">
        <f>VLOOKUP($A9,'Data shares'!$C:$FB,43)</f>
        <v>32497300</v>
      </c>
      <c r="I9" s="50">
        <f>VLOOKUP($A9,'Data shares'!$C:$FB,45)*100</f>
        <v>-37.65</v>
      </c>
      <c r="J9" s="49">
        <f>VLOOKUP($A9,'Data shares'!$C:$FB,58)</f>
        <v>8190200</v>
      </c>
      <c r="K9" s="49">
        <f>VLOOKUP($A9,'Data shares'!$C:$FB,59)</f>
        <v>21216400</v>
      </c>
      <c r="L9" s="50">
        <f>VLOOKUP($A9,'Data shares'!$C:$FB,61)*100</f>
        <v>-61.4</v>
      </c>
      <c r="M9" s="49">
        <f>VLOOKUP($A9,'Data shares'!$C:$FB,62)</f>
        <v>4160200</v>
      </c>
      <c r="N9" s="49">
        <f>VLOOKUP($A9,'Data shares'!$C:$FB,63)</f>
        <v>13609000</v>
      </c>
      <c r="O9" s="140">
        <f>VLOOKUP($A9,'Data shares'!$C:$FB,65)*100</f>
        <v>-69.430000000000007</v>
      </c>
    </row>
    <row r="10" spans="1:15" x14ac:dyDescent="0.25">
      <c r="A10" s="101" t="str">
        <f>'Data Vlaue (Cr)'!C5</f>
        <v>ADANIENSOL</v>
      </c>
      <c r="B10" s="50">
        <f>VLOOKUP($A10,'Data shares'!$C:$FB,7)</f>
        <v>1463.3</v>
      </c>
      <c r="C10" s="50">
        <f>VLOOKUP($A10,'Data shares'!$C:$FB,10)*100</f>
        <v>4.2</v>
      </c>
      <c r="D10" s="49">
        <f>VLOOKUP($A10,'Data shares'!$C:$FB,66)</f>
        <v>30981150</v>
      </c>
      <c r="E10" s="49">
        <f>VLOOKUP($A10,'Data shares'!$C:$FB,67)</f>
        <v>41207400</v>
      </c>
      <c r="F10" s="50">
        <f>VLOOKUP($A10,'Data shares'!$C:$FB,69)*100</f>
        <v>-24.82</v>
      </c>
      <c r="G10" s="49">
        <f>VLOOKUP($A10,'Data shares'!$C:$FB,42)</f>
        <v>13223925</v>
      </c>
      <c r="H10" s="49">
        <f>VLOOKUP($A10,'Data shares'!$C:$FB,43)</f>
        <v>13996125</v>
      </c>
      <c r="I10" s="50">
        <f>VLOOKUP($A10,'Data shares'!$C:$FB,45)*100</f>
        <v>-5.52</v>
      </c>
      <c r="J10" s="49">
        <f>VLOOKUP($A10,'Data shares'!$C:$FB,58)</f>
        <v>13149675</v>
      </c>
      <c r="K10" s="49">
        <f>VLOOKUP($A10,'Data shares'!$C:$FB,59)</f>
        <v>20210850</v>
      </c>
      <c r="L10" s="50">
        <f>VLOOKUP($A10,'Data shares'!$C:$FB,61)*100</f>
        <v>-34.94</v>
      </c>
      <c r="M10" s="49">
        <f>VLOOKUP($A10,'Data shares'!$C:$FB,62)</f>
        <v>4607550</v>
      </c>
      <c r="N10" s="49">
        <f>VLOOKUP($A10,'Data shares'!$C:$FB,63)</f>
        <v>7000425</v>
      </c>
      <c r="O10" s="140">
        <f>VLOOKUP($A10,'Data shares'!$C:$FB,65)*100</f>
        <v>-34.18</v>
      </c>
    </row>
    <row r="11" spans="1:15" x14ac:dyDescent="0.25">
      <c r="A11" s="101" t="str">
        <f>'Data Vlaue (Cr)'!C6</f>
        <v>ADANIENT</v>
      </c>
      <c r="B11" s="50">
        <f>VLOOKUP($A11,'Data shares'!$C:$FB,7)</f>
        <v>2969.3</v>
      </c>
      <c r="C11" s="50">
        <f>VLOOKUP($A11,'Data shares'!$C:$FB,10)*100</f>
        <v>4.2</v>
      </c>
      <c r="D11" s="49">
        <f>VLOOKUP($A11,'Data shares'!$C:$FB,66)</f>
        <v>57575970</v>
      </c>
      <c r="E11" s="49">
        <f>VLOOKUP($A11,'Data shares'!$C:$FB,67)</f>
        <v>83879286</v>
      </c>
      <c r="F11" s="50">
        <f>VLOOKUP($A11,'Data shares'!$C:$FB,69)*100</f>
        <v>-31.36</v>
      </c>
      <c r="G11" s="49">
        <f>VLOOKUP($A11,'Data shares'!$C:$FB,42)</f>
        <v>12914655</v>
      </c>
      <c r="H11" s="49">
        <f>VLOOKUP($A11,'Data shares'!$C:$FB,43)</f>
        <v>15647451</v>
      </c>
      <c r="I11" s="50">
        <f>VLOOKUP($A11,'Data shares'!$C:$FB,45)*100</f>
        <v>-17.46</v>
      </c>
      <c r="J11" s="49">
        <f>VLOOKUP($A11,'Data shares'!$C:$FB,58)</f>
        <v>30523947</v>
      </c>
      <c r="K11" s="49">
        <f>VLOOKUP($A11,'Data shares'!$C:$FB,59)</f>
        <v>50113620</v>
      </c>
      <c r="L11" s="50">
        <f>VLOOKUP($A11,'Data shares'!$C:$FB,61)*100</f>
        <v>-39.090000000000003</v>
      </c>
      <c r="M11" s="49">
        <f>VLOOKUP($A11,'Data shares'!$C:$FB,62)</f>
        <v>14137368</v>
      </c>
      <c r="N11" s="49">
        <f>VLOOKUP($A11,'Data shares'!$C:$FB,63)</f>
        <v>18118215</v>
      </c>
      <c r="O11" s="140">
        <f>VLOOKUP($A11,'Data shares'!$C:$FB,65)*100</f>
        <v>-21.97</v>
      </c>
    </row>
    <row r="12" spans="1:15" x14ac:dyDescent="0.25">
      <c r="A12" s="101" t="str">
        <f>'Data Vlaue (Cr)'!C7</f>
        <v>ADANIGREEN</v>
      </c>
      <c r="B12" s="50">
        <f>VLOOKUP($A12,'Data shares'!$C:$FB,7)</f>
        <v>1457.4</v>
      </c>
      <c r="C12" s="50">
        <f>VLOOKUP($A12,'Data shares'!$C:$FB,10)*100</f>
        <v>3.2800000000000002</v>
      </c>
      <c r="D12" s="49">
        <f>VLOOKUP($A12,'Data shares'!$C:$FB,66)</f>
        <v>46539000</v>
      </c>
      <c r="E12" s="49">
        <f>VLOOKUP($A12,'Data shares'!$C:$FB,67)</f>
        <v>60339600</v>
      </c>
      <c r="F12" s="50">
        <f>VLOOKUP($A12,'Data shares'!$C:$FB,69)*100</f>
        <v>-22.869999999999997</v>
      </c>
      <c r="G12" s="49">
        <f>VLOOKUP($A12,'Data shares'!$C:$FB,42)</f>
        <v>16316400</v>
      </c>
      <c r="H12" s="49">
        <f>VLOOKUP($A12,'Data shares'!$C:$FB,43)</f>
        <v>16501200</v>
      </c>
      <c r="I12" s="50">
        <f>VLOOKUP($A12,'Data shares'!$C:$FB,45)*100</f>
        <v>-1.1199999999999999</v>
      </c>
      <c r="J12" s="49">
        <f>VLOOKUP($A12,'Data shares'!$C:$FB,58)</f>
        <v>22137000</v>
      </c>
      <c r="K12" s="49">
        <f>VLOOKUP($A12,'Data shares'!$C:$FB,59)</f>
        <v>32129400</v>
      </c>
      <c r="L12" s="50">
        <f>VLOOKUP($A12,'Data shares'!$C:$FB,61)*100</f>
        <v>-31.1</v>
      </c>
      <c r="M12" s="49">
        <f>VLOOKUP($A12,'Data shares'!$C:$FB,62)</f>
        <v>8085600</v>
      </c>
      <c r="N12" s="49">
        <f>VLOOKUP($A12,'Data shares'!$C:$FB,63)</f>
        <v>11709000</v>
      </c>
      <c r="O12" s="140">
        <f>VLOOKUP($A12,'Data shares'!$C:$FB,65)*100</f>
        <v>-30.95</v>
      </c>
    </row>
    <row r="13" spans="1:15" x14ac:dyDescent="0.25">
      <c r="A13" s="101" t="str">
        <f>'Data Vlaue (Cr)'!C8</f>
        <v>ADANIPORTS</v>
      </c>
      <c r="B13" s="50">
        <f>VLOOKUP($A13,'Data shares'!$C:$FB,7)</f>
        <v>1811.2</v>
      </c>
      <c r="C13" s="50">
        <f>VLOOKUP($A13,'Data shares'!$C:$FB,10)*100</f>
        <v>0.45999999999999996</v>
      </c>
      <c r="D13" s="49">
        <f>VLOOKUP($A13,'Data shares'!$C:$FB,66)</f>
        <v>23068850</v>
      </c>
      <c r="E13" s="49">
        <f>VLOOKUP($A13,'Data shares'!$C:$FB,67)</f>
        <v>46546200</v>
      </c>
      <c r="F13" s="50">
        <f>VLOOKUP($A13,'Data shares'!$C:$FB,69)*100</f>
        <v>-50.44</v>
      </c>
      <c r="G13" s="49">
        <f>VLOOKUP($A13,'Data shares'!$C:$FB,42)</f>
        <v>6771125</v>
      </c>
      <c r="H13" s="49">
        <f>VLOOKUP($A13,'Data shares'!$C:$FB,43)</f>
        <v>12951350</v>
      </c>
      <c r="I13" s="50">
        <f>VLOOKUP($A13,'Data shares'!$C:$FB,45)*100</f>
        <v>-47.72</v>
      </c>
      <c r="J13" s="49">
        <f>VLOOKUP($A13,'Data shares'!$C:$FB,58)</f>
        <v>11226625</v>
      </c>
      <c r="K13" s="49">
        <f>VLOOKUP($A13,'Data shares'!$C:$FB,59)</f>
        <v>21776375</v>
      </c>
      <c r="L13" s="50">
        <f>VLOOKUP($A13,'Data shares'!$C:$FB,61)*100</f>
        <v>-48.449999999999996</v>
      </c>
      <c r="M13" s="49">
        <f>VLOOKUP($A13,'Data shares'!$C:$FB,62)</f>
        <v>5071100</v>
      </c>
      <c r="N13" s="49">
        <f>VLOOKUP($A13,'Data shares'!$C:$FB,63)</f>
        <v>11818475</v>
      </c>
      <c r="O13" s="140">
        <f>VLOOKUP($A13,'Data shares'!$C:$FB,65)*100</f>
        <v>-57.089999999999996</v>
      </c>
    </row>
    <row r="14" spans="1:15" x14ac:dyDescent="0.25">
      <c r="A14" s="101" t="str">
        <f>'Data Vlaue (Cr)'!C9</f>
        <v>ADANIPOWER</v>
      </c>
      <c r="B14" s="50">
        <f>VLOOKUP($A14,'Data shares'!$C:$FB,7)</f>
        <v>244.53</v>
      </c>
      <c r="C14" s="50">
        <f>VLOOKUP($A14,'Data shares'!$C:$FB,10)*100</f>
        <v>4.78</v>
      </c>
      <c r="D14" s="49">
        <f>VLOOKUP($A14,'Data shares'!$C:$FB,66)</f>
        <v>371720500</v>
      </c>
      <c r="E14" s="49">
        <f>VLOOKUP($A14,'Data shares'!$C:$FB,67)</f>
        <v>449341250</v>
      </c>
      <c r="F14" s="50">
        <f>VLOOKUP($A14,'Data shares'!$C:$FB,69)*100</f>
        <v>-17.27</v>
      </c>
      <c r="G14" s="49">
        <f>VLOOKUP($A14,'Data shares'!$C:$FB,42)</f>
        <v>86314700</v>
      </c>
      <c r="H14" s="49">
        <f>VLOOKUP($A14,'Data shares'!$C:$FB,43)</f>
        <v>109077300</v>
      </c>
      <c r="I14" s="50">
        <f>VLOOKUP($A14,'Data shares'!$C:$FB,45)*100</f>
        <v>-20.87</v>
      </c>
      <c r="J14" s="49">
        <f>VLOOKUP($A14,'Data shares'!$C:$FB,58)</f>
        <v>217249350</v>
      </c>
      <c r="K14" s="49">
        <f>VLOOKUP($A14,'Data shares'!$C:$FB,59)</f>
        <v>263324800</v>
      </c>
      <c r="L14" s="50">
        <f>VLOOKUP($A14,'Data shares'!$C:$FB,61)*100</f>
        <v>-17.5</v>
      </c>
      <c r="M14" s="49">
        <f>VLOOKUP($A14,'Data shares'!$C:$FB,62)</f>
        <v>68156450</v>
      </c>
      <c r="N14" s="49">
        <f>VLOOKUP($A14,'Data shares'!$C:$FB,63)</f>
        <v>76939150</v>
      </c>
      <c r="O14" s="140">
        <f>VLOOKUP($A14,'Data shares'!$C:$FB,65)*100</f>
        <v>-11.42</v>
      </c>
    </row>
    <row r="15" spans="1:15" x14ac:dyDescent="0.25">
      <c r="A15" s="101" t="str">
        <f>'Data Vlaue (Cr)'!C10</f>
        <v>ALKEM</v>
      </c>
      <c r="B15" s="50">
        <f>VLOOKUP($A15,'Data shares'!$C:$FB,7)</f>
        <v>5380</v>
      </c>
      <c r="C15" s="50">
        <f>VLOOKUP($A15,'Data shares'!$C:$FB,10)*100</f>
        <v>-0.38</v>
      </c>
      <c r="D15" s="49">
        <f>VLOOKUP($A15,'Data shares'!$C:$FB,66)</f>
        <v>1604500</v>
      </c>
      <c r="E15" s="49">
        <f>VLOOKUP($A15,'Data shares'!$C:$FB,67)</f>
        <v>1596875</v>
      </c>
      <c r="F15" s="50">
        <f>VLOOKUP($A15,'Data shares'!$C:$FB,69)*100</f>
        <v>0.48</v>
      </c>
      <c r="G15" s="49">
        <f>VLOOKUP($A15,'Data shares'!$C:$FB,42)</f>
        <v>363250</v>
      </c>
      <c r="H15" s="49">
        <f>VLOOKUP($A15,'Data shares'!$C:$FB,43)</f>
        <v>494625</v>
      </c>
      <c r="I15" s="50">
        <f>VLOOKUP($A15,'Data shares'!$C:$FB,45)*100</f>
        <v>-26.56</v>
      </c>
      <c r="J15" s="49">
        <f>VLOOKUP($A15,'Data shares'!$C:$FB,58)</f>
        <v>439750</v>
      </c>
      <c r="K15" s="49">
        <f>VLOOKUP($A15,'Data shares'!$C:$FB,59)</f>
        <v>777500</v>
      </c>
      <c r="L15" s="50">
        <f>VLOOKUP($A15,'Data shares'!$C:$FB,61)*100</f>
        <v>-43.44</v>
      </c>
      <c r="M15" s="49">
        <f>VLOOKUP($A15,'Data shares'!$C:$FB,62)</f>
        <v>801500</v>
      </c>
      <c r="N15" s="49">
        <f>VLOOKUP($A15,'Data shares'!$C:$FB,63)</f>
        <v>324750</v>
      </c>
      <c r="O15" s="140">
        <f>VLOOKUP($A15,'Data shares'!$C:$FB,65)*100</f>
        <v>146.81</v>
      </c>
    </row>
    <row r="16" spans="1:15" x14ac:dyDescent="0.25">
      <c r="A16" s="101" t="str">
        <f>'Data Vlaue (Cr)'!C11</f>
        <v>AMBER</v>
      </c>
      <c r="B16" s="50">
        <f>VLOOKUP($A16,'Data shares'!$C:$FB,7)</f>
        <v>7312</v>
      </c>
      <c r="C16" s="50">
        <f>VLOOKUP($A16,'Data shares'!$C:$FB,10)*100</f>
        <v>-2</v>
      </c>
      <c r="D16" s="49">
        <f>VLOOKUP($A16,'Data shares'!$C:$FB,66)</f>
        <v>7051200</v>
      </c>
      <c r="E16" s="49">
        <f>VLOOKUP($A16,'Data shares'!$C:$FB,67)</f>
        <v>12365100</v>
      </c>
      <c r="F16" s="50">
        <f>VLOOKUP($A16,'Data shares'!$C:$FB,69)*100</f>
        <v>-42.970000000000006</v>
      </c>
      <c r="G16" s="49">
        <f>VLOOKUP($A16,'Data shares'!$C:$FB,42)</f>
        <v>1474400</v>
      </c>
      <c r="H16" s="49">
        <f>VLOOKUP($A16,'Data shares'!$C:$FB,43)</f>
        <v>1716300</v>
      </c>
      <c r="I16" s="50">
        <f>VLOOKUP($A16,'Data shares'!$C:$FB,45)*100</f>
        <v>-14.09</v>
      </c>
      <c r="J16" s="49">
        <f>VLOOKUP($A16,'Data shares'!$C:$FB,58)</f>
        <v>3667300</v>
      </c>
      <c r="K16" s="49">
        <f>VLOOKUP($A16,'Data shares'!$C:$FB,59)</f>
        <v>5972300</v>
      </c>
      <c r="L16" s="50">
        <f>VLOOKUP($A16,'Data shares'!$C:$FB,61)*100</f>
        <v>-38.590000000000003</v>
      </c>
      <c r="M16" s="49">
        <f>VLOOKUP($A16,'Data shares'!$C:$FB,62)</f>
        <v>1909500</v>
      </c>
      <c r="N16" s="49">
        <f>VLOOKUP($A16,'Data shares'!$C:$FB,63)</f>
        <v>4676500</v>
      </c>
      <c r="O16" s="140">
        <f>VLOOKUP($A16,'Data shares'!$C:$FB,65)*100</f>
        <v>-59.17</v>
      </c>
    </row>
    <row r="17" spans="1:15" x14ac:dyDescent="0.25">
      <c r="A17" s="101" t="str">
        <f>'Data Vlaue (Cr)'!C12</f>
        <v>AMBUJACEM</v>
      </c>
      <c r="B17" s="50">
        <f>VLOOKUP($A17,'Data shares'!$C:$FB,7)</f>
        <v>449.7</v>
      </c>
      <c r="C17" s="50">
        <f>VLOOKUP($A17,'Data shares'!$C:$FB,10)*100</f>
        <v>1.7500000000000002</v>
      </c>
      <c r="D17" s="49">
        <f>VLOOKUP($A17,'Data shares'!$C:$FB,66)</f>
        <v>71360100</v>
      </c>
      <c r="E17" s="49">
        <f>VLOOKUP($A17,'Data shares'!$C:$FB,67)</f>
        <v>61493250</v>
      </c>
      <c r="F17" s="50">
        <f>VLOOKUP($A17,'Data shares'!$C:$FB,69)*100</f>
        <v>16.05</v>
      </c>
      <c r="G17" s="49">
        <f>VLOOKUP($A17,'Data shares'!$C:$FB,42)</f>
        <v>28458150</v>
      </c>
      <c r="H17" s="49">
        <f>VLOOKUP($A17,'Data shares'!$C:$FB,43)</f>
        <v>31321500</v>
      </c>
      <c r="I17" s="50">
        <f>VLOOKUP($A17,'Data shares'!$C:$FB,45)*100</f>
        <v>-9.1399999999999988</v>
      </c>
      <c r="J17" s="49">
        <f>VLOOKUP($A17,'Data shares'!$C:$FB,58)</f>
        <v>29805300</v>
      </c>
      <c r="K17" s="49">
        <f>VLOOKUP($A17,'Data shares'!$C:$FB,59)</f>
        <v>19891200</v>
      </c>
      <c r="L17" s="50">
        <f>VLOOKUP($A17,'Data shares'!$C:$FB,61)*100</f>
        <v>49.84</v>
      </c>
      <c r="M17" s="49">
        <f>VLOOKUP($A17,'Data shares'!$C:$FB,62)</f>
        <v>13096650</v>
      </c>
      <c r="N17" s="49">
        <f>VLOOKUP($A17,'Data shares'!$C:$FB,63)</f>
        <v>10280550</v>
      </c>
      <c r="O17" s="140">
        <f>VLOOKUP($A17,'Data shares'!$C:$FB,65)*100</f>
        <v>27.389999999999997</v>
      </c>
    </row>
    <row r="18" spans="1:15" x14ac:dyDescent="0.25">
      <c r="A18" s="101" t="str">
        <f>'Data Vlaue (Cr)'!C13</f>
        <v>ANGELONE</v>
      </c>
      <c r="B18" s="50">
        <f>VLOOKUP($A18,'Data shares'!$C:$FB,7)</f>
        <v>344.45</v>
      </c>
      <c r="C18" s="50">
        <f>VLOOKUP($A18,'Data shares'!$C:$FB,10)*100</f>
        <v>-0.57999999999999996</v>
      </c>
      <c r="D18" s="49">
        <f>VLOOKUP($A18,'Data shares'!$C:$FB,66)</f>
        <v>63477500</v>
      </c>
      <c r="E18" s="49">
        <f>VLOOKUP($A18,'Data shares'!$C:$FB,67)</f>
        <v>117345000</v>
      </c>
      <c r="F18" s="50">
        <f>VLOOKUP($A18,'Data shares'!$C:$FB,69)*100</f>
        <v>-45.910000000000004</v>
      </c>
      <c r="G18" s="49">
        <f>VLOOKUP($A18,'Data shares'!$C:$FB,42)</f>
        <v>20002500</v>
      </c>
      <c r="H18" s="49">
        <f>VLOOKUP($A18,'Data shares'!$C:$FB,43)</f>
        <v>22737500</v>
      </c>
      <c r="I18" s="50">
        <f>VLOOKUP($A18,'Data shares'!$C:$FB,45)*100</f>
        <v>-12.030000000000001</v>
      </c>
      <c r="J18" s="49">
        <f>VLOOKUP($A18,'Data shares'!$C:$FB,58)</f>
        <v>24832500</v>
      </c>
      <c r="K18" s="49">
        <f>VLOOKUP($A18,'Data shares'!$C:$FB,59)</f>
        <v>60000000</v>
      </c>
      <c r="L18" s="50">
        <f>VLOOKUP($A18,'Data shares'!$C:$FB,61)*100</f>
        <v>-58.609999999999992</v>
      </c>
      <c r="M18" s="49">
        <f>VLOOKUP($A18,'Data shares'!$C:$FB,62)</f>
        <v>18642500</v>
      </c>
      <c r="N18" s="49">
        <f>VLOOKUP($A18,'Data shares'!$C:$FB,63)</f>
        <v>34607500</v>
      </c>
      <c r="O18" s="140">
        <f>VLOOKUP($A18,'Data shares'!$C:$FB,65)*100</f>
        <v>-46.129999999999995</v>
      </c>
    </row>
    <row r="19" spans="1:15" x14ac:dyDescent="0.25">
      <c r="A19" s="101" t="str">
        <f>'Data Vlaue (Cr)'!C14</f>
        <v>APLAPOLLO</v>
      </c>
      <c r="B19" s="50">
        <f>VLOOKUP($A19,'Data shares'!$C:$FB,7)</f>
        <v>1874.1</v>
      </c>
      <c r="C19" s="50">
        <f>VLOOKUP($A19,'Data shares'!$C:$FB,10)*100</f>
        <v>-1.29</v>
      </c>
      <c r="D19" s="49">
        <f>VLOOKUP($A19,'Data shares'!$C:$FB,66)</f>
        <v>6525750</v>
      </c>
      <c r="E19" s="49">
        <f>VLOOKUP($A19,'Data shares'!$C:$FB,67)</f>
        <v>6941550</v>
      </c>
      <c r="F19" s="50">
        <f>VLOOKUP($A19,'Data shares'!$C:$FB,69)*100</f>
        <v>-5.99</v>
      </c>
      <c r="G19" s="49">
        <f>VLOOKUP($A19,'Data shares'!$C:$FB,42)</f>
        <v>2444750</v>
      </c>
      <c r="H19" s="49">
        <f>VLOOKUP($A19,'Data shares'!$C:$FB,43)</f>
        <v>2525600</v>
      </c>
      <c r="I19" s="50">
        <f>VLOOKUP($A19,'Data shares'!$C:$FB,45)*100</f>
        <v>-3.2</v>
      </c>
      <c r="J19" s="49">
        <f>VLOOKUP($A19,'Data shares'!$C:$FB,58)</f>
        <v>2174550</v>
      </c>
      <c r="K19" s="49">
        <f>VLOOKUP($A19,'Data shares'!$C:$FB,59)</f>
        <v>3014900</v>
      </c>
      <c r="L19" s="50">
        <f>VLOOKUP($A19,'Data shares'!$C:$FB,61)*100</f>
        <v>-27.87</v>
      </c>
      <c r="M19" s="49">
        <f>VLOOKUP($A19,'Data shares'!$C:$FB,62)</f>
        <v>1906450</v>
      </c>
      <c r="N19" s="49">
        <f>VLOOKUP($A19,'Data shares'!$C:$FB,63)</f>
        <v>1401050</v>
      </c>
      <c r="O19" s="140">
        <f>VLOOKUP($A19,'Data shares'!$C:$FB,65)*100</f>
        <v>36.07</v>
      </c>
    </row>
    <row r="20" spans="1:15" x14ac:dyDescent="0.25">
      <c r="A20" s="101" t="str">
        <f>'Data Vlaue (Cr)'!C15</f>
        <v>APOLLOHOSP</v>
      </c>
      <c r="B20" s="50">
        <f>VLOOKUP($A20,'Data shares'!$C:$FB,7)</f>
        <v>8258.5</v>
      </c>
      <c r="C20" s="50">
        <f>VLOOKUP($A20,'Data shares'!$C:$FB,10)*100</f>
        <v>-1.73</v>
      </c>
      <c r="D20" s="49">
        <f>VLOOKUP($A20,'Data shares'!$C:$FB,66)</f>
        <v>3564000</v>
      </c>
      <c r="E20" s="49">
        <f>VLOOKUP($A20,'Data shares'!$C:$FB,67)</f>
        <v>5913750</v>
      </c>
      <c r="F20" s="50">
        <f>VLOOKUP($A20,'Data shares'!$C:$FB,69)*100</f>
        <v>-39.729999999999997</v>
      </c>
      <c r="G20" s="49">
        <f>VLOOKUP($A20,'Data shares'!$C:$FB,42)</f>
        <v>612625</v>
      </c>
      <c r="H20" s="49">
        <f>VLOOKUP($A20,'Data shares'!$C:$FB,43)</f>
        <v>917750</v>
      </c>
      <c r="I20" s="50">
        <f>VLOOKUP($A20,'Data shares'!$C:$FB,45)*100</f>
        <v>-33.25</v>
      </c>
      <c r="J20" s="49">
        <f>VLOOKUP($A20,'Data shares'!$C:$FB,58)</f>
        <v>1482000</v>
      </c>
      <c r="K20" s="49">
        <f>VLOOKUP($A20,'Data shares'!$C:$FB,59)</f>
        <v>2749875</v>
      </c>
      <c r="L20" s="50">
        <f>VLOOKUP($A20,'Data shares'!$C:$FB,61)*100</f>
        <v>-46.11</v>
      </c>
      <c r="M20" s="49">
        <f>VLOOKUP($A20,'Data shares'!$C:$FB,62)</f>
        <v>1469375</v>
      </c>
      <c r="N20" s="49">
        <f>VLOOKUP($A20,'Data shares'!$C:$FB,63)</f>
        <v>2246125</v>
      </c>
      <c r="O20" s="140">
        <f>VLOOKUP($A20,'Data shares'!$C:$FB,65)*100</f>
        <v>-34.58</v>
      </c>
    </row>
    <row r="21" spans="1:15" x14ac:dyDescent="0.25">
      <c r="A21" s="101" t="str">
        <f>'Data Vlaue (Cr)'!C16</f>
        <v>ASHOKLEY</v>
      </c>
      <c r="B21" s="50">
        <f>VLOOKUP($A21,'Data shares'!$C:$FB,7)</f>
        <v>160.54</v>
      </c>
      <c r="C21" s="50">
        <f>VLOOKUP($A21,'Data shares'!$C:$FB,10)*100</f>
        <v>-2.16</v>
      </c>
      <c r="D21" s="49">
        <f>VLOOKUP($A21,'Data shares'!$C:$FB,66)</f>
        <v>209260000</v>
      </c>
      <c r="E21" s="49">
        <f>VLOOKUP($A21,'Data shares'!$C:$FB,67)</f>
        <v>513735000</v>
      </c>
      <c r="F21" s="50">
        <f>VLOOKUP($A21,'Data shares'!$C:$FB,69)*100</f>
        <v>-59.27</v>
      </c>
      <c r="G21" s="49">
        <f>VLOOKUP($A21,'Data shares'!$C:$FB,42)</f>
        <v>84965000</v>
      </c>
      <c r="H21" s="49">
        <f>VLOOKUP($A21,'Data shares'!$C:$FB,43)</f>
        <v>158585000</v>
      </c>
      <c r="I21" s="50">
        <f>VLOOKUP($A21,'Data shares'!$C:$FB,45)*100</f>
        <v>-46.42</v>
      </c>
      <c r="J21" s="49">
        <f>VLOOKUP($A21,'Data shares'!$C:$FB,58)</f>
        <v>75615000</v>
      </c>
      <c r="K21" s="49">
        <f>VLOOKUP($A21,'Data shares'!$C:$FB,59)</f>
        <v>253875000</v>
      </c>
      <c r="L21" s="50">
        <f>VLOOKUP($A21,'Data shares'!$C:$FB,61)*100</f>
        <v>-70.22</v>
      </c>
      <c r="M21" s="49">
        <f>VLOOKUP($A21,'Data shares'!$C:$FB,62)</f>
        <v>48680000</v>
      </c>
      <c r="N21" s="49">
        <f>VLOOKUP($A21,'Data shares'!$C:$FB,63)</f>
        <v>101275000</v>
      </c>
      <c r="O21" s="140">
        <f>VLOOKUP($A21,'Data shares'!$C:$FB,65)*100</f>
        <v>-51.93</v>
      </c>
    </row>
    <row r="22" spans="1:15" x14ac:dyDescent="0.25">
      <c r="A22" s="101" t="str">
        <f>'Data Vlaue (Cr)'!C17</f>
        <v>ASIANPAINT</v>
      </c>
      <c r="B22" s="50">
        <f>VLOOKUP($A22,'Data shares'!$C:$FB,7)</f>
        <v>2647</v>
      </c>
      <c r="C22" s="50">
        <f>VLOOKUP($A22,'Data shares'!$C:$FB,10)*100</f>
        <v>-0.41000000000000003</v>
      </c>
      <c r="D22" s="49">
        <f>VLOOKUP($A22,'Data shares'!$C:$FB,66)</f>
        <v>13047250</v>
      </c>
      <c r="E22" s="49">
        <f>VLOOKUP($A22,'Data shares'!$C:$FB,67)</f>
        <v>30847250</v>
      </c>
      <c r="F22" s="50">
        <f>VLOOKUP($A22,'Data shares'!$C:$FB,69)*100</f>
        <v>-57.699999999999996</v>
      </c>
      <c r="G22" s="49">
        <f>VLOOKUP($A22,'Data shares'!$C:$FB,42)</f>
        <v>3897500</v>
      </c>
      <c r="H22" s="49">
        <f>VLOOKUP($A22,'Data shares'!$C:$FB,43)</f>
        <v>7166250</v>
      </c>
      <c r="I22" s="50">
        <f>VLOOKUP($A22,'Data shares'!$C:$FB,45)*100</f>
        <v>-45.61</v>
      </c>
      <c r="J22" s="49">
        <f>VLOOKUP($A22,'Data shares'!$C:$FB,58)</f>
        <v>5648500</v>
      </c>
      <c r="K22" s="49">
        <f>VLOOKUP($A22,'Data shares'!$C:$FB,59)</f>
        <v>14796250</v>
      </c>
      <c r="L22" s="50">
        <f>VLOOKUP($A22,'Data shares'!$C:$FB,61)*100</f>
        <v>-61.82</v>
      </c>
      <c r="M22" s="49">
        <f>VLOOKUP($A22,'Data shares'!$C:$FB,62)</f>
        <v>3501250</v>
      </c>
      <c r="N22" s="49">
        <f>VLOOKUP($A22,'Data shares'!$C:$FB,63)</f>
        <v>8884750</v>
      </c>
      <c r="O22" s="140">
        <f>VLOOKUP($A22,'Data shares'!$C:$FB,65)*100</f>
        <v>-60.589999999999996</v>
      </c>
    </row>
    <row r="23" spans="1:15" x14ac:dyDescent="0.25">
      <c r="A23" s="101" t="str">
        <f>'Data Vlaue (Cr)'!C18</f>
        <v>ASTRAL</v>
      </c>
      <c r="B23" s="50">
        <f>VLOOKUP($A23,'Data shares'!$C:$FB,7)</f>
        <v>1578.8</v>
      </c>
      <c r="C23" s="50">
        <f>VLOOKUP($A23,'Data shares'!$C:$FB,10)*100</f>
        <v>1.71</v>
      </c>
      <c r="D23" s="49">
        <f>VLOOKUP($A23,'Data shares'!$C:$FB,66)</f>
        <v>11031300</v>
      </c>
      <c r="E23" s="49">
        <f>VLOOKUP($A23,'Data shares'!$C:$FB,67)</f>
        <v>15293625</v>
      </c>
      <c r="F23" s="50">
        <f>VLOOKUP($A23,'Data shares'!$C:$FB,69)*100</f>
        <v>-27.87</v>
      </c>
      <c r="G23" s="49">
        <f>VLOOKUP($A23,'Data shares'!$C:$FB,42)</f>
        <v>4283150</v>
      </c>
      <c r="H23" s="49">
        <f>VLOOKUP($A23,'Data shares'!$C:$FB,43)</f>
        <v>4659275</v>
      </c>
      <c r="I23" s="50">
        <f>VLOOKUP($A23,'Data shares'!$C:$FB,45)*100</f>
        <v>-8.07</v>
      </c>
      <c r="J23" s="49">
        <f>VLOOKUP($A23,'Data shares'!$C:$FB,58)</f>
        <v>4371975</v>
      </c>
      <c r="K23" s="49">
        <f>VLOOKUP($A23,'Data shares'!$C:$FB,59)</f>
        <v>7347400</v>
      </c>
      <c r="L23" s="50">
        <f>VLOOKUP($A23,'Data shares'!$C:$FB,61)*100</f>
        <v>-40.5</v>
      </c>
      <c r="M23" s="49">
        <f>VLOOKUP($A23,'Data shares'!$C:$FB,62)</f>
        <v>2376175</v>
      </c>
      <c r="N23" s="49">
        <f>VLOOKUP($A23,'Data shares'!$C:$FB,63)</f>
        <v>3286950</v>
      </c>
      <c r="O23" s="140">
        <f>VLOOKUP($A23,'Data shares'!$C:$FB,65)*100</f>
        <v>-27.71</v>
      </c>
    </row>
    <row r="24" spans="1:15" x14ac:dyDescent="0.25">
      <c r="A24" s="101" t="str">
        <f>'Data Vlaue (Cr)'!C19</f>
        <v>AUBANK</v>
      </c>
      <c r="B24" s="50">
        <f>VLOOKUP($A24,'Data shares'!$C:$FB,7)</f>
        <v>1011.8</v>
      </c>
      <c r="C24" s="50">
        <f>VLOOKUP($A24,'Data shares'!$C:$FB,10)*100</f>
        <v>1.25</v>
      </c>
      <c r="D24" s="49">
        <f>VLOOKUP($A24,'Data shares'!$C:$FB,66)</f>
        <v>19299000</v>
      </c>
      <c r="E24" s="49">
        <f>VLOOKUP($A24,'Data shares'!$C:$FB,67)</f>
        <v>40868000</v>
      </c>
      <c r="F24" s="50">
        <f>VLOOKUP($A24,'Data shares'!$C:$FB,69)*100</f>
        <v>-52.78</v>
      </c>
      <c r="G24" s="49">
        <f>VLOOKUP($A24,'Data shares'!$C:$FB,42)</f>
        <v>8974000</v>
      </c>
      <c r="H24" s="49">
        <f>VLOOKUP($A24,'Data shares'!$C:$FB,43)</f>
        <v>19381000</v>
      </c>
      <c r="I24" s="50">
        <f>VLOOKUP($A24,'Data shares'!$C:$FB,45)*100</f>
        <v>-53.7</v>
      </c>
      <c r="J24" s="49">
        <f>VLOOKUP($A24,'Data shares'!$C:$FB,58)</f>
        <v>6265000</v>
      </c>
      <c r="K24" s="49">
        <f>VLOOKUP($A24,'Data shares'!$C:$FB,59)</f>
        <v>14208000</v>
      </c>
      <c r="L24" s="50">
        <f>VLOOKUP($A24,'Data shares'!$C:$FB,61)*100</f>
        <v>-55.910000000000004</v>
      </c>
      <c r="M24" s="49">
        <f>VLOOKUP($A24,'Data shares'!$C:$FB,62)</f>
        <v>4060000</v>
      </c>
      <c r="N24" s="49">
        <f>VLOOKUP($A24,'Data shares'!$C:$FB,63)</f>
        <v>7279000</v>
      </c>
      <c r="O24" s="140">
        <f>VLOOKUP($A24,'Data shares'!$C:$FB,65)*100</f>
        <v>-44.22</v>
      </c>
    </row>
    <row r="25" spans="1:15" x14ac:dyDescent="0.25">
      <c r="A25" s="101" t="str">
        <f>'Data Vlaue (Cr)'!C20</f>
        <v>AUROPHARMA</v>
      </c>
      <c r="B25" s="50">
        <f>VLOOKUP($A25,'Data shares'!$C:$FB,7)</f>
        <v>1461.2</v>
      </c>
      <c r="C25" s="50">
        <f>VLOOKUP($A25,'Data shares'!$C:$FB,10)*100</f>
        <v>0.44999999999999996</v>
      </c>
      <c r="D25" s="49">
        <f>VLOOKUP($A25,'Data shares'!$C:$FB,66)</f>
        <v>11557150</v>
      </c>
      <c r="E25" s="49">
        <f>VLOOKUP($A25,'Data shares'!$C:$FB,67)</f>
        <v>22926200</v>
      </c>
      <c r="F25" s="50">
        <f>VLOOKUP($A25,'Data shares'!$C:$FB,69)*100</f>
        <v>-49.59</v>
      </c>
      <c r="G25" s="49">
        <f>VLOOKUP($A25,'Data shares'!$C:$FB,42)</f>
        <v>4013350</v>
      </c>
      <c r="H25" s="49">
        <f>VLOOKUP($A25,'Data shares'!$C:$FB,43)</f>
        <v>7261650</v>
      </c>
      <c r="I25" s="50">
        <f>VLOOKUP($A25,'Data shares'!$C:$FB,45)*100</f>
        <v>-44.73</v>
      </c>
      <c r="J25" s="49">
        <f>VLOOKUP($A25,'Data shares'!$C:$FB,58)</f>
        <v>4979700</v>
      </c>
      <c r="K25" s="49">
        <f>VLOOKUP($A25,'Data shares'!$C:$FB,59)</f>
        <v>10827300</v>
      </c>
      <c r="L25" s="50">
        <f>VLOOKUP($A25,'Data shares'!$C:$FB,61)*100</f>
        <v>-54.010000000000005</v>
      </c>
      <c r="M25" s="49">
        <f>VLOOKUP($A25,'Data shares'!$C:$FB,62)</f>
        <v>2564100</v>
      </c>
      <c r="N25" s="49">
        <f>VLOOKUP($A25,'Data shares'!$C:$FB,63)</f>
        <v>4837250</v>
      </c>
      <c r="O25" s="140">
        <f>VLOOKUP($A25,'Data shares'!$C:$FB,65)*100</f>
        <v>-46.989999999999995</v>
      </c>
    </row>
    <row r="26" spans="1:15" x14ac:dyDescent="0.25">
      <c r="A26" s="101" t="str">
        <f>'Data Vlaue (Cr)'!C21</f>
        <v>AXISBANK</v>
      </c>
      <c r="B26" s="50">
        <f>VLOOKUP($A26,'Data shares'!$C:$FB,7)</f>
        <v>1299.3</v>
      </c>
      <c r="C26" s="50">
        <f>VLOOKUP($A26,'Data shares'!$C:$FB,10)*100</f>
        <v>-0.91</v>
      </c>
      <c r="D26" s="49">
        <f>VLOOKUP($A26,'Data shares'!$C:$FB,66)</f>
        <v>62730625</v>
      </c>
      <c r="E26" s="49">
        <f>VLOOKUP($A26,'Data shares'!$C:$FB,67)</f>
        <v>120286250</v>
      </c>
      <c r="F26" s="50">
        <f>VLOOKUP($A26,'Data shares'!$C:$FB,69)*100</f>
        <v>-47.85</v>
      </c>
      <c r="G26" s="49">
        <f>VLOOKUP($A26,'Data shares'!$C:$FB,42)</f>
        <v>18715625</v>
      </c>
      <c r="H26" s="49">
        <f>VLOOKUP($A26,'Data shares'!$C:$FB,43)</f>
        <v>22251250</v>
      </c>
      <c r="I26" s="50">
        <f>VLOOKUP($A26,'Data shares'!$C:$FB,45)*100</f>
        <v>-15.89</v>
      </c>
      <c r="J26" s="49">
        <f>VLOOKUP($A26,'Data shares'!$C:$FB,58)</f>
        <v>25051250</v>
      </c>
      <c r="K26" s="49">
        <f>VLOOKUP($A26,'Data shares'!$C:$FB,59)</f>
        <v>70491875</v>
      </c>
      <c r="L26" s="50">
        <f>VLOOKUP($A26,'Data shares'!$C:$FB,61)*100</f>
        <v>-64.459999999999994</v>
      </c>
      <c r="M26" s="49">
        <f>VLOOKUP($A26,'Data shares'!$C:$FB,62)</f>
        <v>18963750</v>
      </c>
      <c r="N26" s="49">
        <f>VLOOKUP($A26,'Data shares'!$C:$FB,63)</f>
        <v>27543125</v>
      </c>
      <c r="O26" s="140">
        <f>VLOOKUP($A26,'Data shares'!$C:$FB,65)*100</f>
        <v>-31.15</v>
      </c>
    </row>
    <row r="27" spans="1:15" x14ac:dyDescent="0.25">
      <c r="A27" s="101" t="str">
        <f>'Data Vlaue (Cr)'!C22</f>
        <v>BAJAJ-AUTO</v>
      </c>
      <c r="B27" s="50">
        <f>VLOOKUP($A27,'Data shares'!$C:$FB,7)</f>
        <v>10593</v>
      </c>
      <c r="C27" s="50">
        <f>VLOOKUP($A27,'Data shares'!$C:$FB,10)*100</f>
        <v>0.97</v>
      </c>
      <c r="D27" s="49">
        <f>VLOOKUP($A27,'Data shares'!$C:$FB,66)</f>
        <v>5704275</v>
      </c>
      <c r="E27" s="49">
        <f>VLOOKUP($A27,'Data shares'!$C:$FB,67)</f>
        <v>12952950</v>
      </c>
      <c r="F27" s="50">
        <f>VLOOKUP($A27,'Data shares'!$C:$FB,69)*100</f>
        <v>-55.96</v>
      </c>
      <c r="G27" s="49">
        <f>VLOOKUP($A27,'Data shares'!$C:$FB,42)</f>
        <v>1305600</v>
      </c>
      <c r="H27" s="49">
        <f>VLOOKUP($A27,'Data shares'!$C:$FB,43)</f>
        <v>1904625</v>
      </c>
      <c r="I27" s="50">
        <f>VLOOKUP($A27,'Data shares'!$C:$FB,45)*100</f>
        <v>-31.45</v>
      </c>
      <c r="J27" s="49">
        <f>VLOOKUP($A27,'Data shares'!$C:$FB,58)</f>
        <v>3198825</v>
      </c>
      <c r="K27" s="49">
        <f>VLOOKUP($A27,'Data shares'!$C:$FB,59)</f>
        <v>6726375</v>
      </c>
      <c r="L27" s="50">
        <f>VLOOKUP($A27,'Data shares'!$C:$FB,61)*100</f>
        <v>-52.44</v>
      </c>
      <c r="M27" s="49">
        <f>VLOOKUP($A27,'Data shares'!$C:$FB,62)</f>
        <v>1199850</v>
      </c>
      <c r="N27" s="49">
        <f>VLOOKUP($A27,'Data shares'!$C:$FB,63)</f>
        <v>4321950</v>
      </c>
      <c r="O27" s="140">
        <f>VLOOKUP($A27,'Data shares'!$C:$FB,65)*100</f>
        <v>-72.240000000000009</v>
      </c>
    </row>
    <row r="28" spans="1:15" x14ac:dyDescent="0.25">
      <c r="A28" s="101" t="str">
        <f>'Data Vlaue (Cr)'!C23</f>
        <v>BAJAJFINSV</v>
      </c>
      <c r="B28" s="50">
        <f>VLOOKUP($A28,'Data shares'!$C:$FB,7)</f>
        <v>1800.7</v>
      </c>
      <c r="C28" s="50">
        <f>VLOOKUP($A28,'Data shares'!$C:$FB,10)*100</f>
        <v>-0.37</v>
      </c>
      <c r="D28" s="49">
        <f>VLOOKUP($A28,'Data shares'!$C:$FB,66)</f>
        <v>8925000</v>
      </c>
      <c r="E28" s="49">
        <f>VLOOKUP($A28,'Data shares'!$C:$FB,67)</f>
        <v>22581500</v>
      </c>
      <c r="F28" s="50">
        <f>VLOOKUP($A28,'Data shares'!$C:$FB,69)*100</f>
        <v>-60.480000000000004</v>
      </c>
      <c r="G28" s="49">
        <f>VLOOKUP($A28,'Data shares'!$C:$FB,42)</f>
        <v>2699000</v>
      </c>
      <c r="H28" s="49">
        <f>VLOOKUP($A28,'Data shares'!$C:$FB,43)</f>
        <v>6387500</v>
      </c>
      <c r="I28" s="50">
        <f>VLOOKUP($A28,'Data shares'!$C:$FB,45)*100</f>
        <v>-57.75</v>
      </c>
      <c r="J28" s="49">
        <f>VLOOKUP($A28,'Data shares'!$C:$FB,58)</f>
        <v>3860750</v>
      </c>
      <c r="K28" s="49">
        <f>VLOOKUP($A28,'Data shares'!$C:$FB,59)</f>
        <v>9537000</v>
      </c>
      <c r="L28" s="50">
        <f>VLOOKUP($A28,'Data shares'!$C:$FB,61)*100</f>
        <v>-59.519999999999996</v>
      </c>
      <c r="M28" s="49">
        <f>VLOOKUP($A28,'Data shares'!$C:$FB,62)</f>
        <v>2365250</v>
      </c>
      <c r="N28" s="49">
        <f>VLOOKUP($A28,'Data shares'!$C:$FB,63)</f>
        <v>6657000</v>
      </c>
      <c r="O28" s="140">
        <f>VLOOKUP($A28,'Data shares'!$C:$FB,65)*100</f>
        <v>-64.47</v>
      </c>
    </row>
    <row r="29" spans="1:15" x14ac:dyDescent="0.25">
      <c r="A29" s="101" t="str">
        <f>'Data Vlaue (Cr)'!C24</f>
        <v>BAJAJHLDNG</v>
      </c>
      <c r="B29" s="50">
        <f>VLOOKUP($A29,'Data shares'!$C:$FB,7)</f>
        <v>10705</v>
      </c>
      <c r="C29" s="50">
        <f>VLOOKUP($A29,'Data shares'!$C:$FB,10)*100</f>
        <v>0.59</v>
      </c>
      <c r="D29" s="49">
        <f>VLOOKUP($A29,'Data shares'!$C:$FB,66)</f>
        <v>459950</v>
      </c>
      <c r="E29" s="49">
        <f>VLOOKUP($A29,'Data shares'!$C:$FB,67)</f>
        <v>729500</v>
      </c>
      <c r="F29" s="50">
        <f>VLOOKUP($A29,'Data shares'!$C:$FB,69)*100</f>
        <v>-36.950000000000003</v>
      </c>
      <c r="G29" s="49">
        <f>VLOOKUP($A29,'Data shares'!$C:$FB,42)</f>
        <v>149050</v>
      </c>
      <c r="H29" s="49">
        <f>VLOOKUP($A29,'Data shares'!$C:$FB,43)</f>
        <v>225150</v>
      </c>
      <c r="I29" s="50">
        <f>VLOOKUP($A29,'Data shares'!$C:$FB,45)*100</f>
        <v>-33.800000000000004</v>
      </c>
      <c r="J29" s="49">
        <f>VLOOKUP($A29,'Data shares'!$C:$FB,58)</f>
        <v>179000</v>
      </c>
      <c r="K29" s="49">
        <f>VLOOKUP($A29,'Data shares'!$C:$FB,59)</f>
        <v>268400</v>
      </c>
      <c r="L29" s="50">
        <f>VLOOKUP($A29,'Data shares'!$C:$FB,61)*100</f>
        <v>-33.31</v>
      </c>
      <c r="M29" s="49">
        <f>VLOOKUP($A29,'Data shares'!$C:$FB,62)</f>
        <v>131900</v>
      </c>
      <c r="N29" s="49">
        <f>VLOOKUP($A29,'Data shares'!$C:$FB,63)</f>
        <v>235950</v>
      </c>
      <c r="O29" s="140">
        <f>VLOOKUP($A29,'Data shares'!$C:$FB,65)*100</f>
        <v>-44.1</v>
      </c>
    </row>
    <row r="30" spans="1:15" x14ac:dyDescent="0.25">
      <c r="A30" s="101" t="str">
        <f>'Data Vlaue (Cr)'!C25</f>
        <v>BAJFINANCE</v>
      </c>
      <c r="B30" s="50">
        <f>VLOOKUP($A30,'Data shares'!$C:$FB,7)</f>
        <v>930.2</v>
      </c>
      <c r="C30" s="50">
        <f>VLOOKUP($A30,'Data shares'!$C:$FB,10)*100</f>
        <v>-1.24</v>
      </c>
      <c r="D30" s="49">
        <f>VLOOKUP($A30,'Data shares'!$C:$FB,66)</f>
        <v>47604000</v>
      </c>
      <c r="E30" s="49">
        <f>VLOOKUP($A30,'Data shares'!$C:$FB,67)</f>
        <v>96652500</v>
      </c>
      <c r="F30" s="50">
        <f>VLOOKUP($A30,'Data shares'!$C:$FB,69)*100</f>
        <v>-50.749999999999993</v>
      </c>
      <c r="G30" s="49">
        <f>VLOOKUP($A30,'Data shares'!$C:$FB,42)</f>
        <v>13065750</v>
      </c>
      <c r="H30" s="49">
        <f>VLOOKUP($A30,'Data shares'!$C:$FB,43)</f>
        <v>33183000</v>
      </c>
      <c r="I30" s="50">
        <f>VLOOKUP($A30,'Data shares'!$C:$FB,45)*100</f>
        <v>-60.629999999999995</v>
      </c>
      <c r="J30" s="49">
        <f>VLOOKUP($A30,'Data shares'!$C:$FB,58)</f>
        <v>22325250</v>
      </c>
      <c r="K30" s="49">
        <f>VLOOKUP($A30,'Data shares'!$C:$FB,59)</f>
        <v>41637750</v>
      </c>
      <c r="L30" s="50">
        <f>VLOOKUP($A30,'Data shares'!$C:$FB,61)*100</f>
        <v>-46.379999999999995</v>
      </c>
      <c r="M30" s="49">
        <f>VLOOKUP($A30,'Data shares'!$C:$FB,62)</f>
        <v>12213000</v>
      </c>
      <c r="N30" s="49">
        <f>VLOOKUP($A30,'Data shares'!$C:$FB,63)</f>
        <v>21831750</v>
      </c>
      <c r="O30" s="140">
        <f>VLOOKUP($A30,'Data shares'!$C:$FB,65)*100</f>
        <v>-44.06</v>
      </c>
    </row>
    <row r="31" spans="1:15" x14ac:dyDescent="0.25">
      <c r="A31" s="101" t="str">
        <f>'Data Vlaue (Cr)'!C26</f>
        <v>BANDHANBNK</v>
      </c>
      <c r="B31" s="50">
        <f>VLOOKUP($A31,'Data shares'!$C:$FB,7)</f>
        <v>200.4</v>
      </c>
      <c r="C31" s="50">
        <f>VLOOKUP($A31,'Data shares'!$C:$FB,10)*100</f>
        <v>1.7399999999999998</v>
      </c>
      <c r="D31" s="49">
        <f>VLOOKUP($A31,'Data shares'!$C:$FB,66)</f>
        <v>139982400</v>
      </c>
      <c r="E31" s="49">
        <f>VLOOKUP($A31,'Data shares'!$C:$FB,67)</f>
        <v>123429600</v>
      </c>
      <c r="F31" s="50">
        <f>VLOOKUP($A31,'Data shares'!$C:$FB,69)*100</f>
        <v>13.41</v>
      </c>
      <c r="G31" s="49">
        <f>VLOOKUP($A31,'Data shares'!$C:$FB,42)</f>
        <v>48600000</v>
      </c>
      <c r="H31" s="49">
        <f>VLOOKUP($A31,'Data shares'!$C:$FB,43)</f>
        <v>69836400</v>
      </c>
      <c r="I31" s="50">
        <f>VLOOKUP($A31,'Data shares'!$C:$FB,45)*100</f>
        <v>-30.409999999999997</v>
      </c>
      <c r="J31" s="49">
        <f>VLOOKUP($A31,'Data shares'!$C:$FB,58)</f>
        <v>68781600</v>
      </c>
      <c r="K31" s="49">
        <f>VLOOKUP($A31,'Data shares'!$C:$FB,59)</f>
        <v>38905200</v>
      </c>
      <c r="L31" s="50">
        <f>VLOOKUP($A31,'Data shares'!$C:$FB,61)*100</f>
        <v>76.790000000000006</v>
      </c>
      <c r="M31" s="49">
        <f>VLOOKUP($A31,'Data shares'!$C:$FB,62)</f>
        <v>22600800</v>
      </c>
      <c r="N31" s="49">
        <f>VLOOKUP($A31,'Data shares'!$C:$FB,63)</f>
        <v>14688000</v>
      </c>
      <c r="O31" s="140">
        <f>VLOOKUP($A31,'Data shares'!$C:$FB,65)*100</f>
        <v>53.87</v>
      </c>
    </row>
    <row r="32" spans="1:15" x14ac:dyDescent="0.25">
      <c r="A32" s="101" t="str">
        <f>'Data Vlaue (Cr)'!C27</f>
        <v>BANKBARODA</v>
      </c>
      <c r="B32" s="50">
        <f>VLOOKUP($A32,'Data shares'!$C:$FB,7)</f>
        <v>270.55</v>
      </c>
      <c r="C32" s="50">
        <f>VLOOKUP($A32,'Data shares'!$C:$FB,10)*100</f>
        <v>-0.62</v>
      </c>
      <c r="D32" s="49">
        <f>VLOOKUP($A32,'Data shares'!$C:$FB,66)</f>
        <v>91213200</v>
      </c>
      <c r="E32" s="49">
        <f>VLOOKUP($A32,'Data shares'!$C:$FB,67)</f>
        <v>164016450</v>
      </c>
      <c r="F32" s="50">
        <f>VLOOKUP($A32,'Data shares'!$C:$FB,69)*100</f>
        <v>-44.39</v>
      </c>
      <c r="G32" s="49">
        <f>VLOOKUP($A32,'Data shares'!$C:$FB,42)</f>
        <v>41028975</v>
      </c>
      <c r="H32" s="49">
        <f>VLOOKUP($A32,'Data shares'!$C:$FB,43)</f>
        <v>72832500</v>
      </c>
      <c r="I32" s="50">
        <f>VLOOKUP($A32,'Data shares'!$C:$FB,45)*100</f>
        <v>-43.669999999999995</v>
      </c>
      <c r="J32" s="49">
        <f>VLOOKUP($A32,'Data shares'!$C:$FB,58)</f>
        <v>31955625</v>
      </c>
      <c r="K32" s="49">
        <f>VLOOKUP($A32,'Data shares'!$C:$FB,59)</f>
        <v>59213700</v>
      </c>
      <c r="L32" s="50">
        <f>VLOOKUP($A32,'Data shares'!$C:$FB,61)*100</f>
        <v>-46.03</v>
      </c>
      <c r="M32" s="49">
        <f>VLOOKUP($A32,'Data shares'!$C:$FB,62)</f>
        <v>18228600</v>
      </c>
      <c r="N32" s="49">
        <f>VLOOKUP($A32,'Data shares'!$C:$FB,63)</f>
        <v>31970250</v>
      </c>
      <c r="O32" s="140">
        <f>VLOOKUP($A32,'Data shares'!$C:$FB,65)*100</f>
        <v>-42.980000000000004</v>
      </c>
    </row>
    <row r="33" spans="1:15" x14ac:dyDescent="0.25">
      <c r="A33" s="101" t="str">
        <f>'Data Vlaue (Cr)'!C28</f>
        <v>BANKINDIA</v>
      </c>
      <c r="B33" s="50">
        <f>VLOOKUP($A33,'Data shares'!$C:$FB,7)</f>
        <v>144.99</v>
      </c>
      <c r="C33" s="50">
        <f>VLOOKUP($A33,'Data shares'!$C:$FB,10)*100</f>
        <v>-0.70000000000000007</v>
      </c>
      <c r="D33" s="49">
        <f>VLOOKUP($A33,'Data shares'!$C:$FB,66)</f>
        <v>71786000</v>
      </c>
      <c r="E33" s="49">
        <f>VLOOKUP($A33,'Data shares'!$C:$FB,67)</f>
        <v>125918000</v>
      </c>
      <c r="F33" s="50">
        <f>VLOOKUP($A33,'Data shares'!$C:$FB,69)*100</f>
        <v>-42.99</v>
      </c>
      <c r="G33" s="49">
        <f>VLOOKUP($A33,'Data shares'!$C:$FB,42)</f>
        <v>38105600</v>
      </c>
      <c r="H33" s="49">
        <f>VLOOKUP($A33,'Data shares'!$C:$FB,43)</f>
        <v>55229200</v>
      </c>
      <c r="I33" s="50">
        <f>VLOOKUP($A33,'Data shares'!$C:$FB,45)*100</f>
        <v>-31</v>
      </c>
      <c r="J33" s="49">
        <f>VLOOKUP($A33,'Data shares'!$C:$FB,58)</f>
        <v>22276800</v>
      </c>
      <c r="K33" s="49">
        <f>VLOOKUP($A33,'Data shares'!$C:$FB,59)</f>
        <v>50918400</v>
      </c>
      <c r="L33" s="50">
        <f>VLOOKUP($A33,'Data shares'!$C:$FB,61)*100</f>
        <v>-56.25</v>
      </c>
      <c r="M33" s="49">
        <f>VLOOKUP($A33,'Data shares'!$C:$FB,62)</f>
        <v>11403600</v>
      </c>
      <c r="N33" s="49">
        <f>VLOOKUP($A33,'Data shares'!$C:$FB,63)</f>
        <v>19770400</v>
      </c>
      <c r="O33" s="140">
        <f>VLOOKUP($A33,'Data shares'!$C:$FB,65)*100</f>
        <v>-42.32</v>
      </c>
    </row>
    <row r="34" spans="1:15" x14ac:dyDescent="0.25">
      <c r="A34" s="101" t="str">
        <f>'Data Vlaue (Cr)'!C29</f>
        <v>BANKNIFTY</v>
      </c>
      <c r="B34" s="50">
        <f>VLOOKUP($A34,'Data shares'!$C:$FB,7)</f>
        <v>55092.9</v>
      </c>
      <c r="C34" s="50">
        <f>VLOOKUP($A34,'Data shares'!$C:$FB,10)*100</f>
        <v>-0.36</v>
      </c>
      <c r="D34" s="49">
        <f>VLOOKUP($A34,'Data shares'!$C:$FB,66)</f>
        <v>2661727410</v>
      </c>
      <c r="E34" s="49">
        <f>VLOOKUP($A34,'Data shares'!$C:$FB,67)</f>
        <v>465838230</v>
      </c>
      <c r="F34" s="50">
        <f>VLOOKUP($A34,'Data shares'!$C:$FB,69)*100</f>
        <v>471.38</v>
      </c>
      <c r="G34" s="49">
        <f>VLOOKUP($A34,'Data shares'!$C:$FB,42)</f>
        <v>1841640</v>
      </c>
      <c r="H34" s="49">
        <f>VLOOKUP($A34,'Data shares'!$C:$FB,43)</f>
        <v>2149290</v>
      </c>
      <c r="I34" s="50">
        <f>VLOOKUP($A34,'Data shares'!$C:$FB,45)*100</f>
        <v>-14.31</v>
      </c>
      <c r="J34" s="49">
        <f>VLOOKUP($A34,'Data shares'!$C:$FB,58)</f>
        <v>1330368150</v>
      </c>
      <c r="K34" s="49">
        <f>VLOOKUP($A34,'Data shares'!$C:$FB,59)</f>
        <v>246051000</v>
      </c>
      <c r="L34" s="50">
        <f>VLOOKUP($A34,'Data shares'!$C:$FB,61)*100</f>
        <v>440.69000000000005</v>
      </c>
      <c r="M34" s="49">
        <f>VLOOKUP($A34,'Data shares'!$C:$FB,62)</f>
        <v>1329517620</v>
      </c>
      <c r="N34" s="49">
        <f>VLOOKUP($A34,'Data shares'!$C:$FB,63)</f>
        <v>217637940</v>
      </c>
      <c r="O34" s="140">
        <f>VLOOKUP($A34,'Data shares'!$C:$FB,65)*100</f>
        <v>510.89000000000004</v>
      </c>
    </row>
    <row r="35" spans="1:15" x14ac:dyDescent="0.25">
      <c r="A35" s="101" t="str">
        <f>'Data Vlaue (Cr)'!C30</f>
        <v>BDL</v>
      </c>
      <c r="B35" s="50">
        <f>VLOOKUP($A35,'Data shares'!$C:$FB,7)</f>
        <v>1329.9</v>
      </c>
      <c r="C35" s="50">
        <f>VLOOKUP($A35,'Data shares'!$C:$FB,10)*100</f>
        <v>0.28999999999999998</v>
      </c>
      <c r="D35" s="49">
        <f>VLOOKUP($A35,'Data shares'!$C:$FB,66)</f>
        <v>6822200</v>
      </c>
      <c r="E35" s="49">
        <f>VLOOKUP($A35,'Data shares'!$C:$FB,67)</f>
        <v>8856750</v>
      </c>
      <c r="F35" s="50">
        <f>VLOOKUP($A35,'Data shares'!$C:$FB,69)*100</f>
        <v>-22.97</v>
      </c>
      <c r="G35" s="49">
        <f>VLOOKUP($A35,'Data shares'!$C:$FB,42)</f>
        <v>2244550</v>
      </c>
      <c r="H35" s="49">
        <f>VLOOKUP($A35,'Data shares'!$C:$FB,43)</f>
        <v>3446800</v>
      </c>
      <c r="I35" s="50">
        <f>VLOOKUP($A35,'Data shares'!$C:$FB,45)*100</f>
        <v>-34.880000000000003</v>
      </c>
      <c r="J35" s="49">
        <f>VLOOKUP($A35,'Data shares'!$C:$FB,58)</f>
        <v>3527650</v>
      </c>
      <c r="K35" s="49">
        <f>VLOOKUP($A35,'Data shares'!$C:$FB,59)</f>
        <v>3988600</v>
      </c>
      <c r="L35" s="50">
        <f>VLOOKUP($A35,'Data shares'!$C:$FB,61)*100</f>
        <v>-11.559999999999999</v>
      </c>
      <c r="M35" s="49">
        <f>VLOOKUP($A35,'Data shares'!$C:$FB,62)</f>
        <v>1050000</v>
      </c>
      <c r="N35" s="49">
        <f>VLOOKUP($A35,'Data shares'!$C:$FB,63)</f>
        <v>1421350</v>
      </c>
      <c r="O35" s="140">
        <f>VLOOKUP($A35,'Data shares'!$C:$FB,65)*100</f>
        <v>-26.13</v>
      </c>
    </row>
    <row r="36" spans="1:15" x14ac:dyDescent="0.25">
      <c r="A36" s="101" t="str">
        <f>'Data Vlaue (Cr)'!C31</f>
        <v>BEL</v>
      </c>
      <c r="B36" s="50">
        <f>VLOOKUP($A36,'Data shares'!$C:$FB,7)</f>
        <v>420.1</v>
      </c>
      <c r="C36" s="50">
        <f>VLOOKUP($A36,'Data shares'!$C:$FB,10)*100</f>
        <v>-0.41000000000000003</v>
      </c>
      <c r="D36" s="49">
        <f>VLOOKUP($A36,'Data shares'!$C:$FB,66)</f>
        <v>125075100</v>
      </c>
      <c r="E36" s="49">
        <f>VLOOKUP($A36,'Data shares'!$C:$FB,67)</f>
        <v>155275125</v>
      </c>
      <c r="F36" s="50">
        <f>VLOOKUP($A36,'Data shares'!$C:$FB,69)*100</f>
        <v>-19.45</v>
      </c>
      <c r="G36" s="49">
        <f>VLOOKUP($A36,'Data shares'!$C:$FB,42)</f>
        <v>48033900</v>
      </c>
      <c r="H36" s="49">
        <f>VLOOKUP($A36,'Data shares'!$C:$FB,43)</f>
        <v>60489825</v>
      </c>
      <c r="I36" s="50">
        <f>VLOOKUP($A36,'Data shares'!$C:$FB,45)*100</f>
        <v>-20.59</v>
      </c>
      <c r="J36" s="49">
        <f>VLOOKUP($A36,'Data shares'!$C:$FB,58)</f>
        <v>53226600</v>
      </c>
      <c r="K36" s="49">
        <f>VLOOKUP($A36,'Data shares'!$C:$FB,59)</f>
        <v>67393950</v>
      </c>
      <c r="L36" s="50">
        <f>VLOOKUP($A36,'Data shares'!$C:$FB,61)*100</f>
        <v>-21.02</v>
      </c>
      <c r="M36" s="49">
        <f>VLOOKUP($A36,'Data shares'!$C:$FB,62)</f>
        <v>23814600</v>
      </c>
      <c r="N36" s="49">
        <f>VLOOKUP($A36,'Data shares'!$C:$FB,63)</f>
        <v>27391350</v>
      </c>
      <c r="O36" s="140">
        <f>VLOOKUP($A36,'Data shares'!$C:$FB,65)*100</f>
        <v>-13.059999999999999</v>
      </c>
    </row>
    <row r="37" spans="1:15" x14ac:dyDescent="0.25">
      <c r="A37" s="101" t="str">
        <f>'Data Vlaue (Cr)'!C32</f>
        <v>BHARATFORG</v>
      </c>
      <c r="B37" s="50">
        <f>VLOOKUP($A37,'Data shares'!$C:$FB,7)</f>
        <v>1930.4</v>
      </c>
      <c r="C37" s="50">
        <f>VLOOKUP($A37,'Data shares'!$C:$FB,10)*100</f>
        <v>0.63</v>
      </c>
      <c r="D37" s="49">
        <f>VLOOKUP($A37,'Data shares'!$C:$FB,66)</f>
        <v>8079000</v>
      </c>
      <c r="E37" s="49">
        <f>VLOOKUP($A37,'Data shares'!$C:$FB,67)</f>
        <v>13660000</v>
      </c>
      <c r="F37" s="50">
        <f>VLOOKUP($A37,'Data shares'!$C:$FB,69)*100</f>
        <v>-40.86</v>
      </c>
      <c r="G37" s="49">
        <f>VLOOKUP($A37,'Data shares'!$C:$FB,42)</f>
        <v>2313500</v>
      </c>
      <c r="H37" s="49">
        <f>VLOOKUP($A37,'Data shares'!$C:$FB,43)</f>
        <v>4224000</v>
      </c>
      <c r="I37" s="50">
        <f>VLOOKUP($A37,'Data shares'!$C:$FB,45)*100</f>
        <v>-45.23</v>
      </c>
      <c r="J37" s="49">
        <f>VLOOKUP($A37,'Data shares'!$C:$FB,58)</f>
        <v>4570000</v>
      </c>
      <c r="K37" s="49">
        <f>VLOOKUP($A37,'Data shares'!$C:$FB,59)</f>
        <v>6938500</v>
      </c>
      <c r="L37" s="50">
        <f>VLOOKUP($A37,'Data shares'!$C:$FB,61)*100</f>
        <v>-34.14</v>
      </c>
      <c r="M37" s="49">
        <f>VLOOKUP($A37,'Data shares'!$C:$FB,62)</f>
        <v>1195500</v>
      </c>
      <c r="N37" s="49">
        <f>VLOOKUP($A37,'Data shares'!$C:$FB,63)</f>
        <v>2497500</v>
      </c>
      <c r="O37" s="140">
        <f>VLOOKUP($A37,'Data shares'!$C:$FB,65)*100</f>
        <v>-52.129999999999995</v>
      </c>
    </row>
    <row r="38" spans="1:15" x14ac:dyDescent="0.25">
      <c r="A38" s="101" t="str">
        <f>'Data Vlaue (Cr)'!C33</f>
        <v>BHARTIARTL</v>
      </c>
      <c r="B38" s="50">
        <f>VLOOKUP($A38,'Data shares'!$C:$FB,7)</f>
        <v>1846.9</v>
      </c>
      <c r="C38" s="50">
        <f>VLOOKUP($A38,'Data shares'!$C:$FB,10)*100</f>
        <v>-1.49</v>
      </c>
      <c r="D38" s="49">
        <f>VLOOKUP($A38,'Data shares'!$C:$FB,66)</f>
        <v>37203900</v>
      </c>
      <c r="E38" s="49">
        <f>VLOOKUP($A38,'Data shares'!$C:$FB,67)</f>
        <v>70868100</v>
      </c>
      <c r="F38" s="50">
        <f>VLOOKUP($A38,'Data shares'!$C:$FB,69)*100</f>
        <v>-47.5</v>
      </c>
      <c r="G38" s="49">
        <f>VLOOKUP($A38,'Data shares'!$C:$FB,42)</f>
        <v>12887700</v>
      </c>
      <c r="H38" s="49">
        <f>VLOOKUP($A38,'Data shares'!$C:$FB,43)</f>
        <v>24945100</v>
      </c>
      <c r="I38" s="50">
        <f>VLOOKUP($A38,'Data shares'!$C:$FB,45)*100</f>
        <v>-48.339999999999996</v>
      </c>
      <c r="J38" s="49">
        <f>VLOOKUP($A38,'Data shares'!$C:$FB,58)</f>
        <v>15633675</v>
      </c>
      <c r="K38" s="49">
        <f>VLOOKUP($A38,'Data shares'!$C:$FB,59)</f>
        <v>29494650</v>
      </c>
      <c r="L38" s="50">
        <f>VLOOKUP($A38,'Data shares'!$C:$FB,61)*100</f>
        <v>-46.989999999999995</v>
      </c>
      <c r="M38" s="49">
        <f>VLOOKUP($A38,'Data shares'!$C:$FB,62)</f>
        <v>8682525</v>
      </c>
      <c r="N38" s="49">
        <f>VLOOKUP($A38,'Data shares'!$C:$FB,63)</f>
        <v>16428350</v>
      </c>
      <c r="O38" s="140">
        <f>VLOOKUP($A38,'Data shares'!$C:$FB,65)*100</f>
        <v>-47.15</v>
      </c>
    </row>
    <row r="39" spans="1:15" x14ac:dyDescent="0.25">
      <c r="A39" s="101" t="str">
        <f>'Data Vlaue (Cr)'!C34</f>
        <v>BHEL</v>
      </c>
      <c r="B39" s="50">
        <f>VLOOKUP($A39,'Data shares'!$C:$FB,7)</f>
        <v>417.75</v>
      </c>
      <c r="C39" s="50">
        <f>VLOOKUP($A39,'Data shares'!$C:$FB,10)*100</f>
        <v>-0.38999999999999996</v>
      </c>
      <c r="D39" s="49">
        <f>VLOOKUP($A39,'Data shares'!$C:$FB,66)</f>
        <v>137844000</v>
      </c>
      <c r="E39" s="49">
        <f>VLOOKUP($A39,'Data shares'!$C:$FB,67)</f>
        <v>194764500</v>
      </c>
      <c r="F39" s="50">
        <f>VLOOKUP($A39,'Data shares'!$C:$FB,69)*100</f>
        <v>-29.23</v>
      </c>
      <c r="G39" s="49">
        <f>VLOOKUP($A39,'Data shares'!$C:$FB,42)</f>
        <v>53568375</v>
      </c>
      <c r="H39" s="49">
        <f>VLOOKUP($A39,'Data shares'!$C:$FB,43)</f>
        <v>59884125</v>
      </c>
      <c r="I39" s="50">
        <f>VLOOKUP($A39,'Data shares'!$C:$FB,45)*100</f>
        <v>-10.549999999999999</v>
      </c>
      <c r="J39" s="49">
        <f>VLOOKUP($A39,'Data shares'!$C:$FB,58)</f>
        <v>55631625</v>
      </c>
      <c r="K39" s="49">
        <f>VLOOKUP($A39,'Data shares'!$C:$FB,59)</f>
        <v>92218875</v>
      </c>
      <c r="L39" s="50">
        <f>VLOOKUP($A39,'Data shares'!$C:$FB,61)*100</f>
        <v>-39.67</v>
      </c>
      <c r="M39" s="49">
        <f>VLOOKUP($A39,'Data shares'!$C:$FB,62)</f>
        <v>28644000</v>
      </c>
      <c r="N39" s="49">
        <f>VLOOKUP($A39,'Data shares'!$C:$FB,63)</f>
        <v>42661500</v>
      </c>
      <c r="O39" s="140">
        <f>VLOOKUP($A39,'Data shares'!$C:$FB,65)*100</f>
        <v>-32.86</v>
      </c>
    </row>
    <row r="40" spans="1:15" x14ac:dyDescent="0.25">
      <c r="A40" s="101" t="str">
        <f>'Data Vlaue (Cr)'!C35</f>
        <v>BIOCON</v>
      </c>
      <c r="B40" s="50">
        <f>VLOOKUP($A40,'Data shares'!$C:$FB,7)</f>
        <v>436.15</v>
      </c>
      <c r="C40" s="50">
        <f>VLOOKUP($A40,'Data shares'!$C:$FB,10)*100</f>
        <v>1.4200000000000002</v>
      </c>
      <c r="D40" s="49">
        <f>VLOOKUP($A40,'Data shares'!$C:$FB,66)</f>
        <v>70587500</v>
      </c>
      <c r="E40" s="49">
        <f>VLOOKUP($A40,'Data shares'!$C:$FB,67)</f>
        <v>72215000</v>
      </c>
      <c r="F40" s="50">
        <f>VLOOKUP($A40,'Data shares'!$C:$FB,69)*100</f>
        <v>-2.25</v>
      </c>
      <c r="G40" s="49">
        <f>VLOOKUP($A40,'Data shares'!$C:$FB,42)</f>
        <v>20912500</v>
      </c>
      <c r="H40" s="49">
        <f>VLOOKUP($A40,'Data shares'!$C:$FB,43)</f>
        <v>25295000</v>
      </c>
      <c r="I40" s="50">
        <f>VLOOKUP($A40,'Data shares'!$C:$FB,45)*100</f>
        <v>-17.330000000000002</v>
      </c>
      <c r="J40" s="49">
        <f>VLOOKUP($A40,'Data shares'!$C:$FB,58)</f>
        <v>36957500</v>
      </c>
      <c r="K40" s="49">
        <f>VLOOKUP($A40,'Data shares'!$C:$FB,59)</f>
        <v>29495000</v>
      </c>
      <c r="L40" s="50">
        <f>VLOOKUP($A40,'Data shares'!$C:$FB,61)*100</f>
        <v>25.3</v>
      </c>
      <c r="M40" s="49">
        <f>VLOOKUP($A40,'Data shares'!$C:$FB,62)</f>
        <v>12717500</v>
      </c>
      <c r="N40" s="49">
        <f>VLOOKUP($A40,'Data shares'!$C:$FB,63)</f>
        <v>17425000</v>
      </c>
      <c r="O40" s="140">
        <f>VLOOKUP($A40,'Data shares'!$C:$FB,65)*100</f>
        <v>-27.02</v>
      </c>
    </row>
    <row r="41" spans="1:15" x14ac:dyDescent="0.25">
      <c r="A41" s="101" t="str">
        <f>'Data Vlaue (Cr)'!C36</f>
        <v>BLUESTARCO</v>
      </c>
      <c r="B41" s="50">
        <f>VLOOKUP($A41,'Data shares'!$C:$FB,7)</f>
        <v>1640.9</v>
      </c>
      <c r="C41" s="50">
        <f>VLOOKUP($A41,'Data shares'!$C:$FB,10)*100</f>
        <v>-0.69</v>
      </c>
      <c r="D41" s="49">
        <f>VLOOKUP($A41,'Data shares'!$C:$FB,66)</f>
        <v>3946475</v>
      </c>
      <c r="E41" s="49">
        <f>VLOOKUP($A41,'Data shares'!$C:$FB,67)</f>
        <v>5271500</v>
      </c>
      <c r="F41" s="50">
        <f>VLOOKUP($A41,'Data shares'!$C:$FB,69)*100</f>
        <v>-25.14</v>
      </c>
      <c r="G41" s="49">
        <f>VLOOKUP($A41,'Data shares'!$C:$FB,42)</f>
        <v>1455675</v>
      </c>
      <c r="H41" s="49">
        <f>VLOOKUP($A41,'Data shares'!$C:$FB,43)</f>
        <v>2430675</v>
      </c>
      <c r="I41" s="50">
        <f>VLOOKUP($A41,'Data shares'!$C:$FB,45)*100</f>
        <v>-40.11</v>
      </c>
      <c r="J41" s="49">
        <f>VLOOKUP($A41,'Data shares'!$C:$FB,58)</f>
        <v>1451450</v>
      </c>
      <c r="K41" s="49">
        <f>VLOOKUP($A41,'Data shares'!$C:$FB,59)</f>
        <v>1719250</v>
      </c>
      <c r="L41" s="50">
        <f>VLOOKUP($A41,'Data shares'!$C:$FB,61)*100</f>
        <v>-15.58</v>
      </c>
      <c r="M41" s="49">
        <f>VLOOKUP($A41,'Data shares'!$C:$FB,62)</f>
        <v>1039350</v>
      </c>
      <c r="N41" s="49">
        <f>VLOOKUP($A41,'Data shares'!$C:$FB,63)</f>
        <v>1121575</v>
      </c>
      <c r="O41" s="140">
        <f>VLOOKUP($A41,'Data shares'!$C:$FB,65)*100</f>
        <v>-7.33</v>
      </c>
    </row>
    <row r="42" spans="1:15" x14ac:dyDescent="0.25">
      <c r="A42" s="101" t="str">
        <f>'Data Vlaue (Cr)'!C37</f>
        <v>BOSCHLTD</v>
      </c>
      <c r="B42" s="50">
        <f>VLOOKUP($A42,'Data shares'!$C:$FB,7)</f>
        <v>35835</v>
      </c>
      <c r="C42" s="50">
        <f>VLOOKUP($A42,'Data shares'!$C:$FB,10)*100</f>
        <v>-1.31</v>
      </c>
      <c r="D42" s="49">
        <f>VLOOKUP($A42,'Data shares'!$C:$FB,66)</f>
        <v>781050</v>
      </c>
      <c r="E42" s="49">
        <f>VLOOKUP($A42,'Data shares'!$C:$FB,67)</f>
        <v>2204200</v>
      </c>
      <c r="F42" s="50">
        <f>VLOOKUP($A42,'Data shares'!$C:$FB,69)*100</f>
        <v>-64.570000000000007</v>
      </c>
      <c r="G42" s="49">
        <f>VLOOKUP($A42,'Data shares'!$C:$FB,42)</f>
        <v>90650</v>
      </c>
      <c r="H42" s="49">
        <f>VLOOKUP($A42,'Data shares'!$C:$FB,43)</f>
        <v>193025</v>
      </c>
      <c r="I42" s="50">
        <f>VLOOKUP($A42,'Data shares'!$C:$FB,45)*100</f>
        <v>-53.04</v>
      </c>
      <c r="J42" s="49">
        <f>VLOOKUP($A42,'Data shares'!$C:$FB,58)</f>
        <v>516175</v>
      </c>
      <c r="K42" s="49">
        <f>VLOOKUP($A42,'Data shares'!$C:$FB,59)</f>
        <v>1411925</v>
      </c>
      <c r="L42" s="50">
        <f>VLOOKUP($A42,'Data shares'!$C:$FB,61)*100</f>
        <v>-63.44</v>
      </c>
      <c r="M42" s="49">
        <f>VLOOKUP($A42,'Data shares'!$C:$FB,62)</f>
        <v>174225</v>
      </c>
      <c r="N42" s="49">
        <f>VLOOKUP($A42,'Data shares'!$C:$FB,63)</f>
        <v>599250</v>
      </c>
      <c r="O42" s="140">
        <f>VLOOKUP($A42,'Data shares'!$C:$FB,65)*100</f>
        <v>-70.930000000000007</v>
      </c>
    </row>
    <row r="43" spans="1:15" x14ac:dyDescent="0.25">
      <c r="A43" s="101" t="str">
        <f>'Data Vlaue (Cr)'!C38</f>
        <v>BPCL</v>
      </c>
      <c r="B43" s="50">
        <f>VLOOKUP($A43,'Data shares'!$C:$FB,7)</f>
        <v>304.60000000000002</v>
      </c>
      <c r="C43" s="50">
        <f>VLOOKUP($A43,'Data shares'!$C:$FB,10)*100</f>
        <v>-1.18</v>
      </c>
      <c r="D43" s="49">
        <f>VLOOKUP($A43,'Data shares'!$C:$FB,66)</f>
        <v>48089275</v>
      </c>
      <c r="E43" s="49">
        <f>VLOOKUP($A43,'Data shares'!$C:$FB,67)</f>
        <v>157411450</v>
      </c>
      <c r="F43" s="50">
        <f>VLOOKUP($A43,'Data shares'!$C:$FB,69)*100</f>
        <v>-69.45</v>
      </c>
      <c r="G43" s="49">
        <f>VLOOKUP($A43,'Data shares'!$C:$FB,42)</f>
        <v>12399050</v>
      </c>
      <c r="H43" s="49">
        <f>VLOOKUP($A43,'Data shares'!$C:$FB,43)</f>
        <v>36239275</v>
      </c>
      <c r="I43" s="50">
        <f>VLOOKUP($A43,'Data shares'!$C:$FB,45)*100</f>
        <v>-65.790000000000006</v>
      </c>
      <c r="J43" s="49">
        <f>VLOOKUP($A43,'Data shares'!$C:$FB,58)</f>
        <v>22957400</v>
      </c>
      <c r="K43" s="49">
        <f>VLOOKUP($A43,'Data shares'!$C:$FB,59)</f>
        <v>85450350</v>
      </c>
      <c r="L43" s="50">
        <f>VLOOKUP($A43,'Data shares'!$C:$FB,61)*100</f>
        <v>-73.13</v>
      </c>
      <c r="M43" s="49">
        <f>VLOOKUP($A43,'Data shares'!$C:$FB,62)</f>
        <v>12732825</v>
      </c>
      <c r="N43" s="49">
        <f>VLOOKUP($A43,'Data shares'!$C:$FB,63)</f>
        <v>35721825</v>
      </c>
      <c r="O43" s="140">
        <f>VLOOKUP($A43,'Data shares'!$C:$FB,65)*100</f>
        <v>-64.36</v>
      </c>
    </row>
    <row r="44" spans="1:15" x14ac:dyDescent="0.25">
      <c r="A44" s="101" t="str">
        <f>'Data Vlaue (Cr)'!C39</f>
        <v>BRITANNIA</v>
      </c>
      <c r="B44" s="50">
        <f>VLOOKUP($A44,'Data shares'!$C:$FB,7)</f>
        <v>5338</v>
      </c>
      <c r="C44" s="50">
        <f>VLOOKUP($A44,'Data shares'!$C:$FB,10)*100</f>
        <v>0.21</v>
      </c>
      <c r="D44" s="49">
        <f>VLOOKUP($A44,'Data shares'!$C:$FB,66)</f>
        <v>2875875</v>
      </c>
      <c r="E44" s="49">
        <f>VLOOKUP($A44,'Data shares'!$C:$FB,67)</f>
        <v>4554875</v>
      </c>
      <c r="F44" s="50">
        <f>VLOOKUP($A44,'Data shares'!$C:$FB,69)*100</f>
        <v>-36.86</v>
      </c>
      <c r="G44" s="49">
        <f>VLOOKUP($A44,'Data shares'!$C:$FB,42)</f>
        <v>1022500</v>
      </c>
      <c r="H44" s="49">
        <f>VLOOKUP($A44,'Data shares'!$C:$FB,43)</f>
        <v>1904125</v>
      </c>
      <c r="I44" s="50">
        <f>VLOOKUP($A44,'Data shares'!$C:$FB,45)*100</f>
        <v>-46.300000000000004</v>
      </c>
      <c r="J44" s="49">
        <f>VLOOKUP($A44,'Data shares'!$C:$FB,58)</f>
        <v>1260500</v>
      </c>
      <c r="K44" s="49">
        <f>VLOOKUP($A44,'Data shares'!$C:$FB,59)</f>
        <v>1831000</v>
      </c>
      <c r="L44" s="50">
        <f>VLOOKUP($A44,'Data shares'!$C:$FB,61)*100</f>
        <v>-31.16</v>
      </c>
      <c r="M44" s="49">
        <f>VLOOKUP($A44,'Data shares'!$C:$FB,62)</f>
        <v>592875</v>
      </c>
      <c r="N44" s="49">
        <f>VLOOKUP($A44,'Data shares'!$C:$FB,63)</f>
        <v>819750</v>
      </c>
      <c r="O44" s="140">
        <f>VLOOKUP($A44,'Data shares'!$C:$FB,65)*100</f>
        <v>-27.68</v>
      </c>
    </row>
    <row r="45" spans="1:15" x14ac:dyDescent="0.25">
      <c r="A45" s="101" t="str">
        <f>'Data Vlaue (Cr)'!C40</f>
        <v>BSE</v>
      </c>
      <c r="B45" s="50">
        <f>VLOOKUP($A45,'Data shares'!$C:$FB,7)</f>
        <v>4403.3</v>
      </c>
      <c r="C45" s="50">
        <f>VLOOKUP($A45,'Data shares'!$C:$FB,10)*100</f>
        <v>2.6100000000000003</v>
      </c>
      <c r="D45" s="49">
        <f>VLOOKUP($A45,'Data shares'!$C:$FB,66)</f>
        <v>39546750</v>
      </c>
      <c r="E45" s="49">
        <f>VLOOKUP($A45,'Data shares'!$C:$FB,67)</f>
        <v>48124125</v>
      </c>
      <c r="F45" s="50">
        <f>VLOOKUP($A45,'Data shares'!$C:$FB,69)*100</f>
        <v>-17.82</v>
      </c>
      <c r="G45" s="49">
        <f>VLOOKUP($A45,'Data shares'!$C:$FB,42)</f>
        <v>6581625</v>
      </c>
      <c r="H45" s="49">
        <f>VLOOKUP($A45,'Data shares'!$C:$FB,43)</f>
        <v>5451375</v>
      </c>
      <c r="I45" s="50">
        <f>VLOOKUP($A45,'Data shares'!$C:$FB,45)*100</f>
        <v>20.73</v>
      </c>
      <c r="J45" s="49">
        <f>VLOOKUP($A45,'Data shares'!$C:$FB,58)</f>
        <v>18846000</v>
      </c>
      <c r="K45" s="49">
        <f>VLOOKUP($A45,'Data shares'!$C:$FB,59)</f>
        <v>22834500</v>
      </c>
      <c r="L45" s="50">
        <f>VLOOKUP($A45,'Data shares'!$C:$FB,61)*100</f>
        <v>-17.47</v>
      </c>
      <c r="M45" s="49">
        <f>VLOOKUP($A45,'Data shares'!$C:$FB,62)</f>
        <v>14119125</v>
      </c>
      <c r="N45" s="49">
        <f>VLOOKUP($A45,'Data shares'!$C:$FB,63)</f>
        <v>19838250</v>
      </c>
      <c r="O45" s="140">
        <f>VLOOKUP($A45,'Data shares'!$C:$FB,65)*100</f>
        <v>-28.83</v>
      </c>
    </row>
    <row r="46" spans="1:15" x14ac:dyDescent="0.25">
      <c r="A46" s="101" t="str">
        <f>'Data Vlaue (Cr)'!C41</f>
        <v>CAMS</v>
      </c>
      <c r="B46" s="50">
        <f>VLOOKUP($A46,'Data shares'!$C:$FB,7)</f>
        <v>773.15</v>
      </c>
      <c r="C46" s="50">
        <f>VLOOKUP($A46,'Data shares'!$C:$FB,10)*100</f>
        <v>0.44999999999999996</v>
      </c>
      <c r="D46" s="49">
        <f>VLOOKUP($A46,'Data shares'!$C:$FB,66)</f>
        <v>5742000</v>
      </c>
      <c r="E46" s="49">
        <f>VLOOKUP($A46,'Data shares'!$C:$FB,67)</f>
        <v>11669250</v>
      </c>
      <c r="F46" s="50">
        <f>VLOOKUP($A46,'Data shares'!$C:$FB,69)*100</f>
        <v>-50.79</v>
      </c>
      <c r="G46" s="49">
        <f>VLOOKUP($A46,'Data shares'!$C:$FB,42)</f>
        <v>3087750</v>
      </c>
      <c r="H46" s="49">
        <f>VLOOKUP($A46,'Data shares'!$C:$FB,43)</f>
        <v>5781000</v>
      </c>
      <c r="I46" s="50">
        <f>VLOOKUP($A46,'Data shares'!$C:$FB,45)*100</f>
        <v>-46.589999999999996</v>
      </c>
      <c r="J46" s="49">
        <f>VLOOKUP($A46,'Data shares'!$C:$FB,58)</f>
        <v>1895250</v>
      </c>
      <c r="K46" s="49">
        <f>VLOOKUP($A46,'Data shares'!$C:$FB,59)</f>
        <v>3775500</v>
      </c>
      <c r="L46" s="50">
        <f>VLOOKUP($A46,'Data shares'!$C:$FB,61)*100</f>
        <v>-49.8</v>
      </c>
      <c r="M46" s="49">
        <f>VLOOKUP($A46,'Data shares'!$C:$FB,62)</f>
        <v>759000</v>
      </c>
      <c r="N46" s="49">
        <f>VLOOKUP($A46,'Data shares'!$C:$FB,63)</f>
        <v>2112750</v>
      </c>
      <c r="O46" s="140">
        <f>VLOOKUP($A46,'Data shares'!$C:$FB,65)*100</f>
        <v>-64.08</v>
      </c>
    </row>
    <row r="47" spans="1:15" x14ac:dyDescent="0.25">
      <c r="A47" s="101" t="str">
        <f>'Data Vlaue (Cr)'!C42</f>
        <v>CANBK</v>
      </c>
      <c r="B47" s="50">
        <f>VLOOKUP($A47,'Data shares'!$C:$FB,7)</f>
        <v>133.15</v>
      </c>
      <c r="C47" s="50">
        <f>VLOOKUP($A47,'Data shares'!$C:$FB,10)*100</f>
        <v>-0.41000000000000003</v>
      </c>
      <c r="D47" s="49">
        <f>VLOOKUP($A47,'Data shares'!$C:$FB,66)</f>
        <v>236594250</v>
      </c>
      <c r="E47" s="49">
        <f>VLOOKUP($A47,'Data shares'!$C:$FB,67)</f>
        <v>382684500</v>
      </c>
      <c r="F47" s="50">
        <f>VLOOKUP($A47,'Data shares'!$C:$FB,69)*100</f>
        <v>-38.18</v>
      </c>
      <c r="G47" s="49">
        <f>VLOOKUP($A47,'Data shares'!$C:$FB,42)</f>
        <v>116667000</v>
      </c>
      <c r="H47" s="49">
        <f>VLOOKUP($A47,'Data shares'!$C:$FB,43)</f>
        <v>141621750</v>
      </c>
      <c r="I47" s="50">
        <f>VLOOKUP($A47,'Data shares'!$C:$FB,45)*100</f>
        <v>-17.62</v>
      </c>
      <c r="J47" s="49">
        <f>VLOOKUP($A47,'Data shares'!$C:$FB,58)</f>
        <v>74918250</v>
      </c>
      <c r="K47" s="49">
        <f>VLOOKUP($A47,'Data shares'!$C:$FB,59)</f>
        <v>140751000</v>
      </c>
      <c r="L47" s="50">
        <f>VLOOKUP($A47,'Data shares'!$C:$FB,61)*100</f>
        <v>-46.77</v>
      </c>
      <c r="M47" s="49">
        <f>VLOOKUP($A47,'Data shares'!$C:$FB,62)</f>
        <v>45009000</v>
      </c>
      <c r="N47" s="49">
        <f>VLOOKUP($A47,'Data shares'!$C:$FB,63)</f>
        <v>100311750</v>
      </c>
      <c r="O47" s="140">
        <f>VLOOKUP($A47,'Data shares'!$C:$FB,65)*100</f>
        <v>-55.13</v>
      </c>
    </row>
    <row r="48" spans="1:15" x14ac:dyDescent="0.25">
      <c r="A48" s="101" t="str">
        <f>'Data Vlaue (Cr)'!C43</f>
        <v>CDSL</v>
      </c>
      <c r="B48" s="50">
        <f>VLOOKUP($A48,'Data shares'!$C:$FB,7)</f>
        <v>1226.3</v>
      </c>
      <c r="C48" s="50">
        <f>VLOOKUP($A48,'Data shares'!$C:$FB,10)*100</f>
        <v>0.73</v>
      </c>
      <c r="D48" s="49">
        <f>VLOOKUP($A48,'Data shares'!$C:$FB,66)</f>
        <v>17403525</v>
      </c>
      <c r="E48" s="49">
        <f>VLOOKUP($A48,'Data shares'!$C:$FB,67)</f>
        <v>28333750</v>
      </c>
      <c r="F48" s="50">
        <f>VLOOKUP($A48,'Data shares'!$C:$FB,69)*100</f>
        <v>-38.58</v>
      </c>
      <c r="G48" s="49">
        <f>VLOOKUP($A48,'Data shares'!$C:$FB,42)</f>
        <v>7457025</v>
      </c>
      <c r="H48" s="49">
        <f>VLOOKUP($A48,'Data shares'!$C:$FB,43)</f>
        <v>9282450</v>
      </c>
      <c r="I48" s="50">
        <f>VLOOKUP($A48,'Data shares'!$C:$FB,45)*100</f>
        <v>-19.670000000000002</v>
      </c>
      <c r="J48" s="49">
        <f>VLOOKUP($A48,'Data shares'!$C:$FB,58)</f>
        <v>6637175</v>
      </c>
      <c r="K48" s="49">
        <f>VLOOKUP($A48,'Data shares'!$C:$FB,59)</f>
        <v>13187425</v>
      </c>
      <c r="L48" s="50">
        <f>VLOOKUP($A48,'Data shares'!$C:$FB,61)*100</f>
        <v>-49.669999999999995</v>
      </c>
      <c r="M48" s="49">
        <f>VLOOKUP($A48,'Data shares'!$C:$FB,62)</f>
        <v>3309325</v>
      </c>
      <c r="N48" s="49">
        <f>VLOOKUP($A48,'Data shares'!$C:$FB,63)</f>
        <v>5863875</v>
      </c>
      <c r="O48" s="140">
        <f>VLOOKUP($A48,'Data shares'!$C:$FB,65)*100</f>
        <v>-43.56</v>
      </c>
    </row>
    <row r="49" spans="1:15" x14ac:dyDescent="0.25">
      <c r="A49" s="101" t="str">
        <f>'Data Vlaue (Cr)'!C44</f>
        <v>CGPOWER</v>
      </c>
      <c r="B49" s="50">
        <f>VLOOKUP($A49,'Data shares'!$C:$FB,7)</f>
        <v>879.15</v>
      </c>
      <c r="C49" s="50">
        <f>VLOOKUP($A49,'Data shares'!$C:$FB,10)*100</f>
        <v>1.3</v>
      </c>
      <c r="D49" s="49">
        <f>VLOOKUP($A49,'Data shares'!$C:$FB,66)</f>
        <v>18516400</v>
      </c>
      <c r="E49" s="49">
        <f>VLOOKUP($A49,'Data shares'!$C:$FB,67)</f>
        <v>25964100</v>
      </c>
      <c r="F49" s="50">
        <f>VLOOKUP($A49,'Data shares'!$C:$FB,69)*100</f>
        <v>-28.68</v>
      </c>
      <c r="G49" s="49">
        <f>VLOOKUP($A49,'Data shares'!$C:$FB,42)</f>
        <v>6821250</v>
      </c>
      <c r="H49" s="49">
        <f>VLOOKUP($A49,'Data shares'!$C:$FB,43)</f>
        <v>10196600</v>
      </c>
      <c r="I49" s="50">
        <f>VLOOKUP($A49,'Data shares'!$C:$FB,45)*100</f>
        <v>-33.1</v>
      </c>
      <c r="J49" s="49">
        <f>VLOOKUP($A49,'Data shares'!$C:$FB,58)</f>
        <v>9388250</v>
      </c>
      <c r="K49" s="49">
        <f>VLOOKUP($A49,'Data shares'!$C:$FB,59)</f>
        <v>11163900</v>
      </c>
      <c r="L49" s="50">
        <f>VLOOKUP($A49,'Data shares'!$C:$FB,61)*100</f>
        <v>-15.909999999999998</v>
      </c>
      <c r="M49" s="49">
        <f>VLOOKUP($A49,'Data shares'!$C:$FB,62)</f>
        <v>2306900</v>
      </c>
      <c r="N49" s="49">
        <f>VLOOKUP($A49,'Data shares'!$C:$FB,63)</f>
        <v>4603600</v>
      </c>
      <c r="O49" s="140">
        <f>VLOOKUP($A49,'Data shares'!$C:$FB,65)*100</f>
        <v>-49.89</v>
      </c>
    </row>
    <row r="50" spans="1:15" x14ac:dyDescent="0.25">
      <c r="A50" s="101" t="str">
        <f>'Data Vlaue (Cr)'!C45</f>
        <v>CHOLAFIN</v>
      </c>
      <c r="B50" s="50">
        <f>VLOOKUP($A50,'Data shares'!$C:$FB,7)</f>
        <v>1567.3</v>
      </c>
      <c r="C50" s="50">
        <f>VLOOKUP($A50,'Data shares'!$C:$FB,10)*100</f>
        <v>-1.49</v>
      </c>
      <c r="D50" s="49">
        <f>VLOOKUP($A50,'Data shares'!$C:$FB,66)</f>
        <v>10230625</v>
      </c>
      <c r="E50" s="49">
        <f>VLOOKUP($A50,'Data shares'!$C:$FB,67)</f>
        <v>27162500</v>
      </c>
      <c r="F50" s="50">
        <f>VLOOKUP($A50,'Data shares'!$C:$FB,69)*100</f>
        <v>-62.339999999999996</v>
      </c>
      <c r="G50" s="49">
        <f>VLOOKUP($A50,'Data shares'!$C:$FB,42)</f>
        <v>3543125</v>
      </c>
      <c r="H50" s="49">
        <f>VLOOKUP($A50,'Data shares'!$C:$FB,43)</f>
        <v>11630000</v>
      </c>
      <c r="I50" s="50">
        <f>VLOOKUP($A50,'Data shares'!$C:$FB,45)*100</f>
        <v>-69.53</v>
      </c>
      <c r="J50" s="49">
        <f>VLOOKUP($A50,'Data shares'!$C:$FB,58)</f>
        <v>2918125</v>
      </c>
      <c r="K50" s="49">
        <f>VLOOKUP($A50,'Data shares'!$C:$FB,59)</f>
        <v>10390000</v>
      </c>
      <c r="L50" s="50">
        <f>VLOOKUP($A50,'Data shares'!$C:$FB,61)*100</f>
        <v>-71.91</v>
      </c>
      <c r="M50" s="49">
        <f>VLOOKUP($A50,'Data shares'!$C:$FB,62)</f>
        <v>3769375</v>
      </c>
      <c r="N50" s="49">
        <f>VLOOKUP($A50,'Data shares'!$C:$FB,63)</f>
        <v>5142500</v>
      </c>
      <c r="O50" s="140">
        <f>VLOOKUP($A50,'Data shares'!$C:$FB,65)*100</f>
        <v>-26.700000000000003</v>
      </c>
    </row>
    <row r="51" spans="1:15" x14ac:dyDescent="0.25">
      <c r="A51" s="101" t="str">
        <f>'Data Vlaue (Cr)'!C46</f>
        <v>CIPLA</v>
      </c>
      <c r="B51" s="50">
        <f>VLOOKUP($A51,'Data shares'!$C:$FB,7)</f>
        <v>1417.5</v>
      </c>
      <c r="C51" s="50">
        <f>VLOOKUP($A51,'Data shares'!$C:$FB,10)*100</f>
        <v>0.25</v>
      </c>
      <c r="D51" s="49">
        <f>VLOOKUP($A51,'Data shares'!$C:$FB,66)</f>
        <v>14256000</v>
      </c>
      <c r="E51" s="49">
        <f>VLOOKUP($A51,'Data shares'!$C:$FB,67)</f>
        <v>27815250</v>
      </c>
      <c r="F51" s="50">
        <f>VLOOKUP($A51,'Data shares'!$C:$FB,69)*100</f>
        <v>-48.75</v>
      </c>
      <c r="G51" s="49">
        <f>VLOOKUP($A51,'Data shares'!$C:$FB,42)</f>
        <v>3591375</v>
      </c>
      <c r="H51" s="49">
        <f>VLOOKUP($A51,'Data shares'!$C:$FB,43)</f>
        <v>7600125</v>
      </c>
      <c r="I51" s="50">
        <f>VLOOKUP($A51,'Data shares'!$C:$FB,45)*100</f>
        <v>-52.75</v>
      </c>
      <c r="J51" s="49">
        <f>VLOOKUP($A51,'Data shares'!$C:$FB,58)</f>
        <v>6247875</v>
      </c>
      <c r="K51" s="49">
        <f>VLOOKUP($A51,'Data shares'!$C:$FB,59)</f>
        <v>13416375</v>
      </c>
      <c r="L51" s="50">
        <f>VLOOKUP($A51,'Data shares'!$C:$FB,61)*100</f>
        <v>-53.43</v>
      </c>
      <c r="M51" s="49">
        <f>VLOOKUP($A51,'Data shares'!$C:$FB,62)</f>
        <v>4416750</v>
      </c>
      <c r="N51" s="49">
        <f>VLOOKUP($A51,'Data shares'!$C:$FB,63)</f>
        <v>6798750</v>
      </c>
      <c r="O51" s="140">
        <f>VLOOKUP($A51,'Data shares'!$C:$FB,65)*100</f>
        <v>-35.04</v>
      </c>
    </row>
    <row r="52" spans="1:15" x14ac:dyDescent="0.25">
      <c r="A52" s="101" t="str">
        <f>'Data Vlaue (Cr)'!C47</f>
        <v>COALINDIA</v>
      </c>
      <c r="B52" s="50">
        <f>VLOOKUP($A52,'Data shares'!$C:$FB,7)</f>
        <v>458.15</v>
      </c>
      <c r="C52" s="50">
        <f>VLOOKUP($A52,'Data shares'!$C:$FB,10)*100</f>
        <v>0.03</v>
      </c>
      <c r="D52" s="49">
        <f>VLOOKUP($A52,'Data shares'!$C:$FB,66)</f>
        <v>209709000</v>
      </c>
      <c r="E52" s="49">
        <f>VLOOKUP($A52,'Data shares'!$C:$FB,67)</f>
        <v>96545250</v>
      </c>
      <c r="F52" s="50">
        <f>VLOOKUP($A52,'Data shares'!$C:$FB,69)*100</f>
        <v>117.21</v>
      </c>
      <c r="G52" s="49">
        <f>VLOOKUP($A52,'Data shares'!$C:$FB,42)</f>
        <v>44535150</v>
      </c>
      <c r="H52" s="49">
        <f>VLOOKUP($A52,'Data shares'!$C:$FB,43)</f>
        <v>36910350</v>
      </c>
      <c r="I52" s="50">
        <f>VLOOKUP($A52,'Data shares'!$C:$FB,45)*100</f>
        <v>20.66</v>
      </c>
      <c r="J52" s="49">
        <f>VLOOKUP($A52,'Data shares'!$C:$FB,58)</f>
        <v>99900000</v>
      </c>
      <c r="K52" s="49">
        <f>VLOOKUP($A52,'Data shares'!$C:$FB,59)</f>
        <v>31710150</v>
      </c>
      <c r="L52" s="50">
        <f>VLOOKUP($A52,'Data shares'!$C:$FB,61)*100</f>
        <v>215.04</v>
      </c>
      <c r="M52" s="49">
        <f>VLOOKUP($A52,'Data shares'!$C:$FB,62)</f>
        <v>65273850</v>
      </c>
      <c r="N52" s="49">
        <f>VLOOKUP($A52,'Data shares'!$C:$FB,63)</f>
        <v>27924750</v>
      </c>
      <c r="O52" s="140">
        <f>VLOOKUP($A52,'Data shares'!$C:$FB,65)*100</f>
        <v>133.75</v>
      </c>
    </row>
    <row r="53" spans="1:15" x14ac:dyDescent="0.25">
      <c r="A53" s="101" t="str">
        <f>'Data Vlaue (Cr)'!C48</f>
        <v>COCHINSHIP</v>
      </c>
      <c r="B53" s="50">
        <f>VLOOKUP($A53,'Data shares'!$C:$FB,7)</f>
        <v>1526.2</v>
      </c>
      <c r="C53" s="50">
        <f>VLOOKUP($A53,'Data shares'!$C:$FB,10)*100</f>
        <v>-0.18</v>
      </c>
      <c r="D53" s="49">
        <f>VLOOKUP($A53,'Data shares'!$C:$FB,66)</f>
        <v>4875200</v>
      </c>
      <c r="E53" s="49">
        <f>VLOOKUP($A53,'Data shares'!$C:$FB,67)</f>
        <v>5309200</v>
      </c>
      <c r="F53" s="50">
        <f>VLOOKUP($A53,'Data shares'!$C:$FB,69)*100</f>
        <v>-8.17</v>
      </c>
      <c r="G53" s="49">
        <f>VLOOKUP($A53,'Data shares'!$C:$FB,42)</f>
        <v>2328800</v>
      </c>
      <c r="H53" s="49">
        <f>VLOOKUP($A53,'Data shares'!$C:$FB,43)</f>
        <v>2803200</v>
      </c>
      <c r="I53" s="50">
        <f>VLOOKUP($A53,'Data shares'!$C:$FB,45)*100</f>
        <v>-16.919999999999998</v>
      </c>
      <c r="J53" s="49">
        <f>VLOOKUP($A53,'Data shares'!$C:$FB,58)</f>
        <v>1764800</v>
      </c>
      <c r="K53" s="49">
        <f>VLOOKUP($A53,'Data shares'!$C:$FB,59)</f>
        <v>1714400</v>
      </c>
      <c r="L53" s="50">
        <f>VLOOKUP($A53,'Data shares'!$C:$FB,61)*100</f>
        <v>2.94</v>
      </c>
      <c r="M53" s="49">
        <f>VLOOKUP($A53,'Data shares'!$C:$FB,62)</f>
        <v>781600</v>
      </c>
      <c r="N53" s="49">
        <f>VLOOKUP($A53,'Data shares'!$C:$FB,63)</f>
        <v>791600</v>
      </c>
      <c r="O53" s="140">
        <f>VLOOKUP($A53,'Data shares'!$C:$FB,65)*100</f>
        <v>-1.26</v>
      </c>
    </row>
    <row r="54" spans="1:15" x14ac:dyDescent="0.25">
      <c r="A54" s="101" t="str">
        <f>'Data Vlaue (Cr)'!C49</f>
        <v>COFORGE</v>
      </c>
      <c r="B54" s="50">
        <f>VLOOKUP($A54,'Data shares'!$C:$FB,7)</f>
        <v>1422.8</v>
      </c>
      <c r="C54" s="50">
        <f>VLOOKUP($A54,'Data shares'!$C:$FB,10)*100</f>
        <v>1.77</v>
      </c>
      <c r="D54" s="49">
        <f>VLOOKUP($A54,'Data shares'!$C:$FB,66)</f>
        <v>22863375</v>
      </c>
      <c r="E54" s="49">
        <f>VLOOKUP($A54,'Data shares'!$C:$FB,67)</f>
        <v>42708000</v>
      </c>
      <c r="F54" s="50">
        <f>VLOOKUP($A54,'Data shares'!$C:$FB,69)*100</f>
        <v>-46.47</v>
      </c>
      <c r="G54" s="49">
        <f>VLOOKUP($A54,'Data shares'!$C:$FB,42)</f>
        <v>6038625</v>
      </c>
      <c r="H54" s="49">
        <f>VLOOKUP($A54,'Data shares'!$C:$FB,43)</f>
        <v>11037375</v>
      </c>
      <c r="I54" s="50">
        <f>VLOOKUP($A54,'Data shares'!$C:$FB,45)*100</f>
        <v>-45.29</v>
      </c>
      <c r="J54" s="49">
        <f>VLOOKUP($A54,'Data shares'!$C:$FB,58)</f>
        <v>11111625</v>
      </c>
      <c r="K54" s="49">
        <f>VLOOKUP($A54,'Data shares'!$C:$FB,59)</f>
        <v>20701875</v>
      </c>
      <c r="L54" s="50">
        <f>VLOOKUP($A54,'Data shares'!$C:$FB,61)*100</f>
        <v>-46.33</v>
      </c>
      <c r="M54" s="49">
        <f>VLOOKUP($A54,'Data shares'!$C:$FB,62)</f>
        <v>5713125</v>
      </c>
      <c r="N54" s="49">
        <f>VLOOKUP($A54,'Data shares'!$C:$FB,63)</f>
        <v>10968750</v>
      </c>
      <c r="O54" s="140">
        <f>VLOOKUP($A54,'Data shares'!$C:$FB,65)*100</f>
        <v>-47.910000000000004</v>
      </c>
    </row>
    <row r="55" spans="1:15" x14ac:dyDescent="0.25">
      <c r="A55" s="101" t="str">
        <f>'Data Vlaue (Cr)'!C50</f>
        <v>COLPAL</v>
      </c>
      <c r="B55" s="50">
        <f>VLOOKUP($A55,'Data shares'!$C:$FB,7)</f>
        <v>2077.1</v>
      </c>
      <c r="C55" s="50">
        <f>VLOOKUP($A55,'Data shares'!$C:$FB,10)*100</f>
        <v>-0.95</v>
      </c>
      <c r="D55" s="49">
        <f>VLOOKUP($A55,'Data shares'!$C:$FB,66)</f>
        <v>8379000</v>
      </c>
      <c r="E55" s="49">
        <f>VLOOKUP($A55,'Data shares'!$C:$FB,67)</f>
        <v>28669050</v>
      </c>
      <c r="F55" s="50">
        <f>VLOOKUP($A55,'Data shares'!$C:$FB,69)*100</f>
        <v>-70.77</v>
      </c>
      <c r="G55" s="49">
        <f>VLOOKUP($A55,'Data shares'!$C:$FB,42)</f>
        <v>2385675</v>
      </c>
      <c r="H55" s="49">
        <f>VLOOKUP($A55,'Data shares'!$C:$FB,43)</f>
        <v>5718375</v>
      </c>
      <c r="I55" s="50">
        <f>VLOOKUP($A55,'Data shares'!$C:$FB,45)*100</f>
        <v>-58.28</v>
      </c>
      <c r="J55" s="49">
        <f>VLOOKUP($A55,'Data shares'!$C:$FB,58)</f>
        <v>3861000</v>
      </c>
      <c r="K55" s="49">
        <f>VLOOKUP($A55,'Data shares'!$C:$FB,59)</f>
        <v>12626100</v>
      </c>
      <c r="L55" s="50">
        <f>VLOOKUP($A55,'Data shares'!$C:$FB,61)*100</f>
        <v>-69.42</v>
      </c>
      <c r="M55" s="49">
        <f>VLOOKUP($A55,'Data shares'!$C:$FB,62)</f>
        <v>2132325</v>
      </c>
      <c r="N55" s="49">
        <f>VLOOKUP($A55,'Data shares'!$C:$FB,63)</f>
        <v>10324575</v>
      </c>
      <c r="O55" s="140">
        <f>VLOOKUP($A55,'Data shares'!$C:$FB,65)*100</f>
        <v>-79.349999999999994</v>
      </c>
    </row>
    <row r="56" spans="1:15" x14ac:dyDescent="0.25">
      <c r="A56" s="101" t="str">
        <f>'Data Vlaue (Cr)'!C51</f>
        <v>CONCOR</v>
      </c>
      <c r="B56" s="50">
        <f>VLOOKUP($A56,'Data shares'!$C:$FB,7)</f>
        <v>475.9</v>
      </c>
      <c r="C56" s="50">
        <f>VLOOKUP($A56,'Data shares'!$C:$FB,10)*100</f>
        <v>-7.06</v>
      </c>
      <c r="D56" s="49">
        <f>VLOOKUP($A56,'Data shares'!$C:$FB,66)</f>
        <v>78946250</v>
      </c>
      <c r="E56" s="49">
        <f>VLOOKUP($A56,'Data shares'!$C:$FB,67)</f>
        <v>30945000</v>
      </c>
      <c r="F56" s="50">
        <f>VLOOKUP($A56,'Data shares'!$C:$FB,69)*100</f>
        <v>155.12</v>
      </c>
      <c r="G56" s="49">
        <f>VLOOKUP($A56,'Data shares'!$C:$FB,42)</f>
        <v>19417500</v>
      </c>
      <c r="H56" s="49">
        <f>VLOOKUP($A56,'Data shares'!$C:$FB,43)</f>
        <v>14071250</v>
      </c>
      <c r="I56" s="50">
        <f>VLOOKUP($A56,'Data shares'!$C:$FB,45)*100</f>
        <v>37.99</v>
      </c>
      <c r="J56" s="49">
        <f>VLOOKUP($A56,'Data shares'!$C:$FB,58)</f>
        <v>32650000</v>
      </c>
      <c r="K56" s="49">
        <f>VLOOKUP($A56,'Data shares'!$C:$FB,59)</f>
        <v>9723750</v>
      </c>
      <c r="L56" s="50">
        <f>VLOOKUP($A56,'Data shares'!$C:$FB,61)*100</f>
        <v>235.78</v>
      </c>
      <c r="M56" s="49">
        <f>VLOOKUP($A56,'Data shares'!$C:$FB,62)</f>
        <v>26878750</v>
      </c>
      <c r="N56" s="49">
        <f>VLOOKUP($A56,'Data shares'!$C:$FB,63)</f>
        <v>7150000</v>
      </c>
      <c r="O56" s="140">
        <f>VLOOKUP($A56,'Data shares'!$C:$FB,65)*100</f>
        <v>275.93</v>
      </c>
    </row>
    <row r="57" spans="1:15" x14ac:dyDescent="0.25">
      <c r="A57" s="101" t="str">
        <f>'Data Vlaue (Cr)'!C52</f>
        <v>CROMPTON</v>
      </c>
      <c r="B57" s="50">
        <f>VLOOKUP($A57,'Data shares'!$C:$FB,7)</f>
        <v>289.05</v>
      </c>
      <c r="C57" s="50">
        <f>VLOOKUP($A57,'Data shares'!$C:$FB,10)*100</f>
        <v>-1.52</v>
      </c>
      <c r="D57" s="49">
        <f>VLOOKUP($A57,'Data shares'!$C:$FB,66)</f>
        <v>34972200</v>
      </c>
      <c r="E57" s="49">
        <f>VLOOKUP($A57,'Data shares'!$C:$FB,67)</f>
        <v>49581000</v>
      </c>
      <c r="F57" s="50">
        <f>VLOOKUP($A57,'Data shares'!$C:$FB,69)*100</f>
        <v>-29.459999999999997</v>
      </c>
      <c r="G57" s="49">
        <f>VLOOKUP($A57,'Data shares'!$C:$FB,42)</f>
        <v>18612000</v>
      </c>
      <c r="H57" s="49">
        <f>VLOOKUP($A57,'Data shares'!$C:$FB,43)</f>
        <v>28717200</v>
      </c>
      <c r="I57" s="50">
        <f>VLOOKUP($A57,'Data shares'!$C:$FB,45)*100</f>
        <v>-35.19</v>
      </c>
      <c r="J57" s="49">
        <f>VLOOKUP($A57,'Data shares'!$C:$FB,58)</f>
        <v>11061000</v>
      </c>
      <c r="K57" s="49">
        <f>VLOOKUP($A57,'Data shares'!$C:$FB,59)</f>
        <v>14459400</v>
      </c>
      <c r="L57" s="50">
        <f>VLOOKUP($A57,'Data shares'!$C:$FB,61)*100</f>
        <v>-23.5</v>
      </c>
      <c r="M57" s="49">
        <f>VLOOKUP($A57,'Data shares'!$C:$FB,62)</f>
        <v>5299200</v>
      </c>
      <c r="N57" s="49">
        <f>VLOOKUP($A57,'Data shares'!$C:$FB,63)</f>
        <v>6404400</v>
      </c>
      <c r="O57" s="140">
        <f>VLOOKUP($A57,'Data shares'!$C:$FB,65)*100</f>
        <v>-17.260000000000002</v>
      </c>
    </row>
    <row r="58" spans="1:15" x14ac:dyDescent="0.25">
      <c r="A58" s="101" t="str">
        <f>'Data Vlaue (Cr)'!C53</f>
        <v>CUMMINSIND</v>
      </c>
      <c r="B58" s="50">
        <f>VLOOKUP($A58,'Data shares'!$C:$FB,7)</f>
        <v>5418.5</v>
      </c>
      <c r="C58" s="50">
        <f>VLOOKUP($A58,'Data shares'!$C:$FB,10)*100</f>
        <v>0.67999999999999994</v>
      </c>
      <c r="D58" s="49">
        <f>VLOOKUP($A58,'Data shares'!$C:$FB,66)</f>
        <v>3562000</v>
      </c>
      <c r="E58" s="49">
        <f>VLOOKUP($A58,'Data shares'!$C:$FB,67)</f>
        <v>4527000</v>
      </c>
      <c r="F58" s="50">
        <f>VLOOKUP($A58,'Data shares'!$C:$FB,69)*100</f>
        <v>-21.32</v>
      </c>
      <c r="G58" s="49">
        <f>VLOOKUP($A58,'Data shares'!$C:$FB,42)</f>
        <v>1278800</v>
      </c>
      <c r="H58" s="49">
        <f>VLOOKUP($A58,'Data shares'!$C:$FB,43)</f>
        <v>2216400</v>
      </c>
      <c r="I58" s="50">
        <f>VLOOKUP($A58,'Data shares'!$C:$FB,45)*100</f>
        <v>-42.3</v>
      </c>
      <c r="J58" s="49">
        <f>VLOOKUP($A58,'Data shares'!$C:$FB,58)</f>
        <v>1373400</v>
      </c>
      <c r="K58" s="49">
        <f>VLOOKUP($A58,'Data shares'!$C:$FB,59)</f>
        <v>1464600</v>
      </c>
      <c r="L58" s="50">
        <f>VLOOKUP($A58,'Data shares'!$C:$FB,61)*100</f>
        <v>-6.23</v>
      </c>
      <c r="M58" s="49">
        <f>VLOOKUP($A58,'Data shares'!$C:$FB,62)</f>
        <v>909800</v>
      </c>
      <c r="N58" s="49">
        <f>VLOOKUP($A58,'Data shares'!$C:$FB,63)</f>
        <v>846000</v>
      </c>
      <c r="O58" s="140">
        <f>VLOOKUP($A58,'Data shares'!$C:$FB,65)*100</f>
        <v>7.5399999999999991</v>
      </c>
    </row>
    <row r="59" spans="1:15" x14ac:dyDescent="0.25">
      <c r="A59" s="101" t="str">
        <f>'Data Vlaue (Cr)'!C54</f>
        <v>DABUR</v>
      </c>
      <c r="B59" s="50">
        <f>VLOOKUP($A59,'Data shares'!$C:$FB,7)</f>
        <v>447.6</v>
      </c>
      <c r="C59" s="50">
        <f>VLOOKUP($A59,'Data shares'!$C:$FB,10)*100</f>
        <v>0.09</v>
      </c>
      <c r="D59" s="49">
        <f>VLOOKUP($A59,'Data shares'!$C:$FB,66)</f>
        <v>15545000</v>
      </c>
      <c r="E59" s="49">
        <f>VLOOKUP($A59,'Data shares'!$C:$FB,67)</f>
        <v>26571250</v>
      </c>
      <c r="F59" s="50">
        <f>VLOOKUP($A59,'Data shares'!$C:$FB,69)*100</f>
        <v>-41.5</v>
      </c>
      <c r="G59" s="49">
        <f>VLOOKUP($A59,'Data shares'!$C:$FB,42)</f>
        <v>7285000</v>
      </c>
      <c r="H59" s="49">
        <f>VLOOKUP($A59,'Data shares'!$C:$FB,43)</f>
        <v>14976250</v>
      </c>
      <c r="I59" s="50">
        <f>VLOOKUP($A59,'Data shares'!$C:$FB,45)*100</f>
        <v>-51.359999999999992</v>
      </c>
      <c r="J59" s="49">
        <f>VLOOKUP($A59,'Data shares'!$C:$FB,58)</f>
        <v>4606250</v>
      </c>
      <c r="K59" s="49">
        <f>VLOOKUP($A59,'Data shares'!$C:$FB,59)</f>
        <v>7987500</v>
      </c>
      <c r="L59" s="50">
        <f>VLOOKUP($A59,'Data shares'!$C:$FB,61)*100</f>
        <v>-42.33</v>
      </c>
      <c r="M59" s="49">
        <f>VLOOKUP($A59,'Data shares'!$C:$FB,62)</f>
        <v>3653750</v>
      </c>
      <c r="N59" s="49">
        <f>VLOOKUP($A59,'Data shares'!$C:$FB,63)</f>
        <v>3607500</v>
      </c>
      <c r="O59" s="140">
        <f>VLOOKUP($A59,'Data shares'!$C:$FB,65)*100</f>
        <v>1.28</v>
      </c>
    </row>
    <row r="60" spans="1:15" x14ac:dyDescent="0.25">
      <c r="A60" s="101" t="str">
        <f>'Data Vlaue (Cr)'!C55</f>
        <v>DALBHARAT</v>
      </c>
      <c r="B60" s="50">
        <f>VLOOKUP($A60,'Data shares'!$C:$FB,7)</f>
        <v>1785.6</v>
      </c>
      <c r="C60" s="50">
        <f>VLOOKUP($A60,'Data shares'!$C:$FB,10)*100</f>
        <v>-2.0299999999999998</v>
      </c>
      <c r="D60" s="49">
        <f>VLOOKUP($A60,'Data shares'!$C:$FB,66)</f>
        <v>3508700</v>
      </c>
      <c r="E60" s="49">
        <f>VLOOKUP($A60,'Data shares'!$C:$FB,67)</f>
        <v>9289475</v>
      </c>
      <c r="F60" s="50">
        <f>VLOOKUP($A60,'Data shares'!$C:$FB,69)*100</f>
        <v>-62.23</v>
      </c>
      <c r="G60" s="49">
        <f>VLOOKUP($A60,'Data shares'!$C:$FB,42)</f>
        <v>1238250</v>
      </c>
      <c r="H60" s="49">
        <f>VLOOKUP($A60,'Data shares'!$C:$FB,43)</f>
        <v>3920150</v>
      </c>
      <c r="I60" s="50">
        <f>VLOOKUP($A60,'Data shares'!$C:$FB,45)*100</f>
        <v>-68.410000000000011</v>
      </c>
      <c r="J60" s="49">
        <f>VLOOKUP($A60,'Data shares'!$C:$FB,58)</f>
        <v>1505075</v>
      </c>
      <c r="K60" s="49">
        <f>VLOOKUP($A60,'Data shares'!$C:$FB,59)</f>
        <v>3665025</v>
      </c>
      <c r="L60" s="50">
        <f>VLOOKUP($A60,'Data shares'!$C:$FB,61)*100</f>
        <v>-58.930000000000007</v>
      </c>
      <c r="M60" s="49">
        <f>VLOOKUP($A60,'Data shares'!$C:$FB,62)</f>
        <v>765375</v>
      </c>
      <c r="N60" s="49">
        <f>VLOOKUP($A60,'Data shares'!$C:$FB,63)</f>
        <v>1704300</v>
      </c>
      <c r="O60" s="140">
        <f>VLOOKUP($A60,'Data shares'!$C:$FB,65)*100</f>
        <v>-55.089999999999996</v>
      </c>
    </row>
    <row r="61" spans="1:15" x14ac:dyDescent="0.25">
      <c r="A61" s="101" t="str">
        <f>'Data Vlaue (Cr)'!C56</f>
        <v>DELHIVERY</v>
      </c>
      <c r="B61" s="50">
        <f>VLOOKUP($A61,'Data shares'!$C:$FB,7)</f>
        <v>463.5</v>
      </c>
      <c r="C61" s="50">
        <f>VLOOKUP($A61,'Data shares'!$C:$FB,10)*100</f>
        <v>1.77</v>
      </c>
      <c r="D61" s="49">
        <f>VLOOKUP($A61,'Data shares'!$C:$FB,66)</f>
        <v>22225325</v>
      </c>
      <c r="E61" s="49">
        <f>VLOOKUP($A61,'Data shares'!$C:$FB,67)</f>
        <v>35912025</v>
      </c>
      <c r="F61" s="50">
        <f>VLOOKUP($A61,'Data shares'!$C:$FB,69)*100</f>
        <v>-38.11</v>
      </c>
      <c r="G61" s="49">
        <f>VLOOKUP($A61,'Data shares'!$C:$FB,42)</f>
        <v>10785850</v>
      </c>
      <c r="H61" s="49">
        <f>VLOOKUP($A61,'Data shares'!$C:$FB,43)</f>
        <v>19866050</v>
      </c>
      <c r="I61" s="50">
        <f>VLOOKUP($A61,'Data shares'!$C:$FB,45)*100</f>
        <v>-45.71</v>
      </c>
      <c r="J61" s="49">
        <f>VLOOKUP($A61,'Data shares'!$C:$FB,58)</f>
        <v>8140225</v>
      </c>
      <c r="K61" s="49">
        <f>VLOOKUP($A61,'Data shares'!$C:$FB,59)</f>
        <v>11070125</v>
      </c>
      <c r="L61" s="50">
        <f>VLOOKUP($A61,'Data shares'!$C:$FB,61)*100</f>
        <v>-26.47</v>
      </c>
      <c r="M61" s="49">
        <f>VLOOKUP($A61,'Data shares'!$C:$FB,62)</f>
        <v>3299250</v>
      </c>
      <c r="N61" s="49">
        <f>VLOOKUP($A61,'Data shares'!$C:$FB,63)</f>
        <v>4975850</v>
      </c>
      <c r="O61" s="140">
        <f>VLOOKUP($A61,'Data shares'!$C:$FB,65)*100</f>
        <v>-33.69</v>
      </c>
    </row>
    <row r="62" spans="1:15" x14ac:dyDescent="0.25">
      <c r="A62" s="101" t="str">
        <f>'Data Vlaue (Cr)'!C57</f>
        <v>DIVISLAB</v>
      </c>
      <c r="B62" s="50">
        <f>VLOOKUP($A62,'Data shares'!$C:$FB,7)</f>
        <v>6753</v>
      </c>
      <c r="C62" s="50">
        <f>VLOOKUP($A62,'Data shares'!$C:$FB,10)*100</f>
        <v>-0.05</v>
      </c>
      <c r="D62" s="49">
        <f>VLOOKUP($A62,'Data shares'!$C:$FB,66)</f>
        <v>4204600</v>
      </c>
      <c r="E62" s="49">
        <f>VLOOKUP($A62,'Data shares'!$C:$FB,67)</f>
        <v>13992600</v>
      </c>
      <c r="F62" s="50">
        <f>VLOOKUP($A62,'Data shares'!$C:$FB,69)*100</f>
        <v>-69.95</v>
      </c>
      <c r="G62" s="49">
        <f>VLOOKUP($A62,'Data shares'!$C:$FB,42)</f>
        <v>722500</v>
      </c>
      <c r="H62" s="49">
        <f>VLOOKUP($A62,'Data shares'!$C:$FB,43)</f>
        <v>2662800</v>
      </c>
      <c r="I62" s="50">
        <f>VLOOKUP($A62,'Data shares'!$C:$FB,45)*100</f>
        <v>-72.87</v>
      </c>
      <c r="J62" s="49">
        <f>VLOOKUP($A62,'Data shares'!$C:$FB,58)</f>
        <v>1925700</v>
      </c>
      <c r="K62" s="49">
        <f>VLOOKUP($A62,'Data shares'!$C:$FB,59)</f>
        <v>6546000</v>
      </c>
      <c r="L62" s="50">
        <f>VLOOKUP($A62,'Data shares'!$C:$FB,61)*100</f>
        <v>-70.58</v>
      </c>
      <c r="M62" s="49">
        <f>VLOOKUP($A62,'Data shares'!$C:$FB,62)</f>
        <v>1556400</v>
      </c>
      <c r="N62" s="49">
        <f>VLOOKUP($A62,'Data shares'!$C:$FB,63)</f>
        <v>4783800</v>
      </c>
      <c r="O62" s="140">
        <f>VLOOKUP($A62,'Data shares'!$C:$FB,65)*100</f>
        <v>-67.47</v>
      </c>
    </row>
    <row r="63" spans="1:15" x14ac:dyDescent="0.25">
      <c r="A63" s="101" t="str">
        <f>'Data Vlaue (Cr)'!C58</f>
        <v>DIXON</v>
      </c>
      <c r="B63" s="50">
        <f>VLOOKUP($A63,'Data shares'!$C:$FB,7)</f>
        <v>11673</v>
      </c>
      <c r="C63" s="50">
        <f>VLOOKUP($A63,'Data shares'!$C:$FB,10)*100</f>
        <v>-1.28</v>
      </c>
      <c r="D63" s="49">
        <f>VLOOKUP($A63,'Data shares'!$C:$FB,66)</f>
        <v>6789550</v>
      </c>
      <c r="E63" s="49">
        <f>VLOOKUP($A63,'Data shares'!$C:$FB,67)</f>
        <v>15923500</v>
      </c>
      <c r="F63" s="50">
        <f>VLOOKUP($A63,'Data shares'!$C:$FB,69)*100</f>
        <v>-57.36</v>
      </c>
      <c r="G63" s="49">
        <f>VLOOKUP($A63,'Data shares'!$C:$FB,42)</f>
        <v>892800</v>
      </c>
      <c r="H63" s="49">
        <f>VLOOKUP($A63,'Data shares'!$C:$FB,43)</f>
        <v>1565750</v>
      </c>
      <c r="I63" s="50">
        <f>VLOOKUP($A63,'Data shares'!$C:$FB,45)*100</f>
        <v>-42.980000000000004</v>
      </c>
      <c r="J63" s="49">
        <f>VLOOKUP($A63,'Data shares'!$C:$FB,58)</f>
        <v>3425950</v>
      </c>
      <c r="K63" s="49">
        <f>VLOOKUP($A63,'Data shares'!$C:$FB,59)</f>
        <v>9670850</v>
      </c>
      <c r="L63" s="50">
        <f>VLOOKUP($A63,'Data shares'!$C:$FB,61)*100</f>
        <v>-64.570000000000007</v>
      </c>
      <c r="M63" s="49">
        <f>VLOOKUP($A63,'Data shares'!$C:$FB,62)</f>
        <v>2470800</v>
      </c>
      <c r="N63" s="49">
        <f>VLOOKUP($A63,'Data shares'!$C:$FB,63)</f>
        <v>4686900</v>
      </c>
      <c r="O63" s="140">
        <f>VLOOKUP($A63,'Data shares'!$C:$FB,65)*100</f>
        <v>-47.28</v>
      </c>
    </row>
    <row r="64" spans="1:15" x14ac:dyDescent="0.25">
      <c r="A64" s="101" t="str">
        <f>'Data Vlaue (Cr)'!C59</f>
        <v>DLF</v>
      </c>
      <c r="B64" s="50">
        <f>VLOOKUP($A64,'Data shares'!$C:$FB,7)</f>
        <v>589.79999999999995</v>
      </c>
      <c r="C64" s="50">
        <f>VLOOKUP($A64,'Data shares'!$C:$FB,10)*100</f>
        <v>-0.42</v>
      </c>
      <c r="D64" s="49">
        <f>VLOOKUP($A64,'Data shares'!$C:$FB,66)</f>
        <v>30380625</v>
      </c>
      <c r="E64" s="49">
        <f>VLOOKUP($A64,'Data shares'!$C:$FB,67)</f>
        <v>40780575</v>
      </c>
      <c r="F64" s="50">
        <f>VLOOKUP($A64,'Data shares'!$C:$FB,69)*100</f>
        <v>-25.5</v>
      </c>
      <c r="G64" s="49">
        <f>VLOOKUP($A64,'Data shares'!$C:$FB,42)</f>
        <v>14048100</v>
      </c>
      <c r="H64" s="49">
        <f>VLOOKUP($A64,'Data shares'!$C:$FB,43)</f>
        <v>22430925</v>
      </c>
      <c r="I64" s="50">
        <f>VLOOKUP($A64,'Data shares'!$C:$FB,45)*100</f>
        <v>-37.369999999999997</v>
      </c>
      <c r="J64" s="49">
        <f>VLOOKUP($A64,'Data shares'!$C:$FB,58)</f>
        <v>10542675</v>
      </c>
      <c r="K64" s="49">
        <f>VLOOKUP($A64,'Data shares'!$C:$FB,59)</f>
        <v>11554125</v>
      </c>
      <c r="L64" s="50">
        <f>VLOOKUP($A64,'Data shares'!$C:$FB,61)*100</f>
        <v>-8.75</v>
      </c>
      <c r="M64" s="49">
        <f>VLOOKUP($A64,'Data shares'!$C:$FB,62)</f>
        <v>5789850</v>
      </c>
      <c r="N64" s="49">
        <f>VLOOKUP($A64,'Data shares'!$C:$FB,63)</f>
        <v>6795525</v>
      </c>
      <c r="O64" s="140">
        <f>VLOOKUP($A64,'Data shares'!$C:$FB,65)*100</f>
        <v>-14.799999999999999</v>
      </c>
    </row>
    <row r="65" spans="1:15" x14ac:dyDescent="0.25">
      <c r="A65" s="101" t="str">
        <f>'Data Vlaue (Cr)'!C60</f>
        <v>DMART</v>
      </c>
      <c r="B65" s="50">
        <f>VLOOKUP($A65,'Data shares'!$C:$FB,7)</f>
        <v>4103.6000000000004</v>
      </c>
      <c r="C65" s="50">
        <f>VLOOKUP($A65,'Data shares'!$C:$FB,10)*100</f>
        <v>0.16</v>
      </c>
      <c r="D65" s="49">
        <f>VLOOKUP($A65,'Data shares'!$C:$FB,66)</f>
        <v>4625550</v>
      </c>
      <c r="E65" s="49">
        <f>VLOOKUP($A65,'Data shares'!$C:$FB,67)</f>
        <v>5505300</v>
      </c>
      <c r="F65" s="50">
        <f>VLOOKUP($A65,'Data shares'!$C:$FB,69)*100</f>
        <v>-15.98</v>
      </c>
      <c r="G65" s="49">
        <f>VLOOKUP($A65,'Data shares'!$C:$FB,42)</f>
        <v>1137900</v>
      </c>
      <c r="H65" s="49">
        <f>VLOOKUP($A65,'Data shares'!$C:$FB,43)</f>
        <v>1543050</v>
      </c>
      <c r="I65" s="50">
        <f>VLOOKUP($A65,'Data shares'!$C:$FB,45)*100</f>
        <v>-26.26</v>
      </c>
      <c r="J65" s="49">
        <f>VLOOKUP($A65,'Data shares'!$C:$FB,58)</f>
        <v>2376900</v>
      </c>
      <c r="K65" s="49">
        <f>VLOOKUP($A65,'Data shares'!$C:$FB,59)</f>
        <v>2869500</v>
      </c>
      <c r="L65" s="50">
        <f>VLOOKUP($A65,'Data shares'!$C:$FB,61)*100</f>
        <v>-17.169999999999998</v>
      </c>
      <c r="M65" s="49">
        <f>VLOOKUP($A65,'Data shares'!$C:$FB,62)</f>
        <v>1110750</v>
      </c>
      <c r="N65" s="49">
        <f>VLOOKUP($A65,'Data shares'!$C:$FB,63)</f>
        <v>1092750</v>
      </c>
      <c r="O65" s="140">
        <f>VLOOKUP($A65,'Data shares'!$C:$FB,65)*100</f>
        <v>1.6500000000000001</v>
      </c>
    </row>
    <row r="66" spans="1:15" x14ac:dyDescent="0.25">
      <c r="A66" s="101" t="str">
        <f>'Data Vlaue (Cr)'!C61</f>
        <v>DRREDDY</v>
      </c>
      <c r="B66" s="50">
        <f>VLOOKUP($A66,'Data shares'!$C:$FB,7)</f>
        <v>1327.9</v>
      </c>
      <c r="C66" s="50">
        <f>VLOOKUP($A66,'Data shares'!$C:$FB,10)*100</f>
        <v>-0.26</v>
      </c>
      <c r="D66" s="49">
        <f>VLOOKUP($A66,'Data shares'!$C:$FB,66)</f>
        <v>21683750</v>
      </c>
      <c r="E66" s="49">
        <f>VLOOKUP($A66,'Data shares'!$C:$FB,67)</f>
        <v>36713750</v>
      </c>
      <c r="F66" s="50">
        <f>VLOOKUP($A66,'Data shares'!$C:$FB,69)*100</f>
        <v>-40.94</v>
      </c>
      <c r="G66" s="49">
        <f>VLOOKUP($A66,'Data shares'!$C:$FB,42)</f>
        <v>7668125</v>
      </c>
      <c r="H66" s="49">
        <f>VLOOKUP($A66,'Data shares'!$C:$FB,43)</f>
        <v>10256250</v>
      </c>
      <c r="I66" s="50">
        <f>VLOOKUP($A66,'Data shares'!$C:$FB,45)*100</f>
        <v>-25.230000000000004</v>
      </c>
      <c r="J66" s="49">
        <f>VLOOKUP($A66,'Data shares'!$C:$FB,58)</f>
        <v>8716250</v>
      </c>
      <c r="K66" s="49">
        <f>VLOOKUP($A66,'Data shares'!$C:$FB,59)</f>
        <v>16862500</v>
      </c>
      <c r="L66" s="50">
        <f>VLOOKUP($A66,'Data shares'!$C:$FB,61)*100</f>
        <v>-48.309999999999995</v>
      </c>
      <c r="M66" s="49">
        <f>VLOOKUP($A66,'Data shares'!$C:$FB,62)</f>
        <v>5299375</v>
      </c>
      <c r="N66" s="49">
        <f>VLOOKUP($A66,'Data shares'!$C:$FB,63)</f>
        <v>9595000</v>
      </c>
      <c r="O66" s="140">
        <f>VLOOKUP($A66,'Data shares'!$C:$FB,65)*100</f>
        <v>-44.769999999999996</v>
      </c>
    </row>
    <row r="67" spans="1:15" x14ac:dyDescent="0.25">
      <c r="A67" s="101" t="str">
        <f>'Data Vlaue (Cr)'!C62</f>
        <v>EICHERMOT</v>
      </c>
      <c r="B67" s="50">
        <f>VLOOKUP($A67,'Data shares'!$C:$FB,7)</f>
        <v>7376</v>
      </c>
      <c r="C67" s="50">
        <f>VLOOKUP($A67,'Data shares'!$C:$FB,10)*100</f>
        <v>-0.51</v>
      </c>
      <c r="D67" s="49">
        <f>VLOOKUP($A67,'Data shares'!$C:$FB,66)</f>
        <v>7580800</v>
      </c>
      <c r="E67" s="49">
        <f>VLOOKUP($A67,'Data shares'!$C:$FB,67)</f>
        <v>30354800</v>
      </c>
      <c r="F67" s="50">
        <f>VLOOKUP($A67,'Data shares'!$C:$FB,69)*100</f>
        <v>-75.03</v>
      </c>
      <c r="G67" s="49">
        <f>VLOOKUP($A67,'Data shares'!$C:$FB,42)</f>
        <v>631200</v>
      </c>
      <c r="H67" s="49">
        <f>VLOOKUP($A67,'Data shares'!$C:$FB,43)</f>
        <v>2999400</v>
      </c>
      <c r="I67" s="50">
        <f>VLOOKUP($A67,'Data shares'!$C:$FB,45)*100</f>
        <v>-78.959999999999994</v>
      </c>
      <c r="J67" s="49">
        <f>VLOOKUP($A67,'Data shares'!$C:$FB,58)</f>
        <v>4902800</v>
      </c>
      <c r="K67" s="49">
        <f>VLOOKUP($A67,'Data shares'!$C:$FB,59)</f>
        <v>19366000</v>
      </c>
      <c r="L67" s="50">
        <f>VLOOKUP($A67,'Data shares'!$C:$FB,61)*100</f>
        <v>-74.680000000000007</v>
      </c>
      <c r="M67" s="49">
        <f>VLOOKUP($A67,'Data shares'!$C:$FB,62)</f>
        <v>2046800</v>
      </c>
      <c r="N67" s="49">
        <f>VLOOKUP($A67,'Data shares'!$C:$FB,63)</f>
        <v>7989400</v>
      </c>
      <c r="O67" s="140">
        <f>VLOOKUP($A67,'Data shares'!$C:$FB,65)*100</f>
        <v>-74.38</v>
      </c>
    </row>
    <row r="68" spans="1:15" x14ac:dyDescent="0.25">
      <c r="A68" s="101" t="str">
        <f>'Data Vlaue (Cr)'!C63</f>
        <v>ETERNAL</v>
      </c>
      <c r="B68" s="50">
        <f>VLOOKUP($A68,'Data shares'!$C:$FB,7)</f>
        <v>250.17</v>
      </c>
      <c r="C68" s="50">
        <f>VLOOKUP($A68,'Data shares'!$C:$FB,10)*100</f>
        <v>1.01</v>
      </c>
      <c r="D68" s="49">
        <f>VLOOKUP($A68,'Data shares'!$C:$FB,66)</f>
        <v>227574125</v>
      </c>
      <c r="E68" s="49">
        <f>VLOOKUP($A68,'Data shares'!$C:$FB,67)</f>
        <v>273932850</v>
      </c>
      <c r="F68" s="50">
        <f>VLOOKUP($A68,'Data shares'!$C:$FB,69)*100</f>
        <v>-16.919999999999998</v>
      </c>
      <c r="G68" s="49">
        <f>VLOOKUP($A68,'Data shares'!$C:$FB,42)</f>
        <v>96173075</v>
      </c>
      <c r="H68" s="49">
        <f>VLOOKUP($A68,'Data shares'!$C:$FB,43)</f>
        <v>113017125</v>
      </c>
      <c r="I68" s="50">
        <f>VLOOKUP($A68,'Data shares'!$C:$FB,45)*100</f>
        <v>-14.899999999999999</v>
      </c>
      <c r="J68" s="49">
        <f>VLOOKUP($A68,'Data shares'!$C:$FB,58)</f>
        <v>84865300</v>
      </c>
      <c r="K68" s="49">
        <f>VLOOKUP($A68,'Data shares'!$C:$FB,59)</f>
        <v>98328900</v>
      </c>
      <c r="L68" s="50">
        <f>VLOOKUP($A68,'Data shares'!$C:$FB,61)*100</f>
        <v>-13.69</v>
      </c>
      <c r="M68" s="49">
        <f>VLOOKUP($A68,'Data shares'!$C:$FB,62)</f>
        <v>46535750</v>
      </c>
      <c r="N68" s="49">
        <f>VLOOKUP($A68,'Data shares'!$C:$FB,63)</f>
        <v>62586825</v>
      </c>
      <c r="O68" s="140">
        <f>VLOOKUP($A68,'Data shares'!$C:$FB,65)*100</f>
        <v>-25.650000000000002</v>
      </c>
    </row>
    <row r="69" spans="1:15" x14ac:dyDescent="0.25">
      <c r="A69" s="101" t="str">
        <f>'Data Vlaue (Cr)'!C64</f>
        <v>EXIDEIND</v>
      </c>
      <c r="B69" s="50">
        <f>VLOOKUP($A69,'Data shares'!$C:$FB,7)</f>
        <v>366.25</v>
      </c>
      <c r="C69" s="50">
        <f>VLOOKUP($A69,'Data shares'!$C:$FB,10)*100</f>
        <v>5.7799999999999994</v>
      </c>
      <c r="D69" s="49">
        <f>VLOOKUP($A69,'Data shares'!$C:$FB,66)</f>
        <v>64323000</v>
      </c>
      <c r="E69" s="49">
        <f>VLOOKUP($A69,'Data shares'!$C:$FB,67)</f>
        <v>29608200</v>
      </c>
      <c r="F69" s="50">
        <f>VLOOKUP($A69,'Data shares'!$C:$FB,69)*100</f>
        <v>117.25000000000001</v>
      </c>
      <c r="G69" s="49">
        <f>VLOOKUP($A69,'Data shares'!$C:$FB,42)</f>
        <v>20527200</v>
      </c>
      <c r="H69" s="49">
        <f>VLOOKUP($A69,'Data shares'!$C:$FB,43)</f>
        <v>12394800</v>
      </c>
      <c r="I69" s="50">
        <f>VLOOKUP($A69,'Data shares'!$C:$FB,45)*100</f>
        <v>65.61</v>
      </c>
      <c r="J69" s="49">
        <f>VLOOKUP($A69,'Data shares'!$C:$FB,58)</f>
        <v>34041600</v>
      </c>
      <c r="K69" s="49">
        <f>VLOOKUP($A69,'Data shares'!$C:$FB,59)</f>
        <v>11476800</v>
      </c>
      <c r="L69" s="50">
        <f>VLOOKUP($A69,'Data shares'!$C:$FB,61)*100</f>
        <v>196.60999999999999</v>
      </c>
      <c r="M69" s="49">
        <f>VLOOKUP($A69,'Data shares'!$C:$FB,62)</f>
        <v>9754200</v>
      </c>
      <c r="N69" s="49">
        <f>VLOOKUP($A69,'Data shares'!$C:$FB,63)</f>
        <v>5736600</v>
      </c>
      <c r="O69" s="140">
        <f>VLOOKUP($A69,'Data shares'!$C:$FB,65)*100</f>
        <v>70.03</v>
      </c>
    </row>
    <row r="70" spans="1:15" x14ac:dyDescent="0.25">
      <c r="A70" s="101" t="str">
        <f>'Data Vlaue (Cr)'!C65</f>
        <v>FEDERALBNK</v>
      </c>
      <c r="B70" s="50">
        <f>VLOOKUP($A70,'Data shares'!$C:$FB,7)</f>
        <v>290.2</v>
      </c>
      <c r="C70" s="50">
        <f>VLOOKUP($A70,'Data shares'!$C:$FB,10)*100</f>
        <v>0.33</v>
      </c>
      <c r="D70" s="49">
        <f>VLOOKUP($A70,'Data shares'!$C:$FB,66)</f>
        <v>61937500</v>
      </c>
      <c r="E70" s="49">
        <f>VLOOKUP($A70,'Data shares'!$C:$FB,67)</f>
        <v>93445000</v>
      </c>
      <c r="F70" s="50">
        <f>VLOOKUP($A70,'Data shares'!$C:$FB,69)*100</f>
        <v>-33.72</v>
      </c>
      <c r="G70" s="49">
        <f>VLOOKUP($A70,'Data shares'!$C:$FB,42)</f>
        <v>28367500</v>
      </c>
      <c r="H70" s="49">
        <f>VLOOKUP($A70,'Data shares'!$C:$FB,43)</f>
        <v>49550000</v>
      </c>
      <c r="I70" s="50">
        <f>VLOOKUP($A70,'Data shares'!$C:$FB,45)*100</f>
        <v>-42.75</v>
      </c>
      <c r="J70" s="49">
        <f>VLOOKUP($A70,'Data shares'!$C:$FB,58)</f>
        <v>22457500</v>
      </c>
      <c r="K70" s="49">
        <f>VLOOKUP($A70,'Data shares'!$C:$FB,59)</f>
        <v>29905000</v>
      </c>
      <c r="L70" s="50">
        <f>VLOOKUP($A70,'Data shares'!$C:$FB,61)*100</f>
        <v>-24.9</v>
      </c>
      <c r="M70" s="49">
        <f>VLOOKUP($A70,'Data shares'!$C:$FB,62)</f>
        <v>11112500</v>
      </c>
      <c r="N70" s="49">
        <f>VLOOKUP($A70,'Data shares'!$C:$FB,63)</f>
        <v>13990000</v>
      </c>
      <c r="O70" s="140">
        <f>VLOOKUP($A70,'Data shares'!$C:$FB,65)*100</f>
        <v>-20.57</v>
      </c>
    </row>
    <row r="71" spans="1:15" x14ac:dyDescent="0.25">
      <c r="A71" s="101" t="str">
        <f>'Data Vlaue (Cr)'!C66</f>
        <v>FINNIFTY</v>
      </c>
      <c r="B71" s="50">
        <f>VLOOKUP($A71,'Data shares'!$C:$FB,7)</f>
        <v>25932.25</v>
      </c>
      <c r="C71" s="50">
        <f>VLOOKUP($A71,'Data shares'!$C:$FB,10)*100</f>
        <v>-0.65</v>
      </c>
      <c r="D71" s="49">
        <f>VLOOKUP($A71,'Data shares'!$C:$FB,66)</f>
        <v>167187960</v>
      </c>
      <c r="E71" s="49">
        <f>VLOOKUP($A71,'Data shares'!$C:$FB,67)</f>
        <v>19117200</v>
      </c>
      <c r="F71" s="50">
        <f>VLOOKUP($A71,'Data shares'!$C:$FB,69)*100</f>
        <v>774.54</v>
      </c>
      <c r="G71" s="49">
        <f>VLOOKUP($A71,'Data shares'!$C:$FB,42)</f>
        <v>38220</v>
      </c>
      <c r="H71" s="49">
        <f>VLOOKUP($A71,'Data shares'!$C:$FB,43)</f>
        <v>30780</v>
      </c>
      <c r="I71" s="50">
        <f>VLOOKUP($A71,'Data shares'!$C:$FB,45)*100</f>
        <v>24.169999999999998</v>
      </c>
      <c r="J71" s="49">
        <f>VLOOKUP($A71,'Data shares'!$C:$FB,58)</f>
        <v>78467040</v>
      </c>
      <c r="K71" s="49">
        <f>VLOOKUP($A71,'Data shares'!$C:$FB,59)</f>
        <v>9640800</v>
      </c>
      <c r="L71" s="50">
        <f>VLOOKUP($A71,'Data shares'!$C:$FB,61)*100</f>
        <v>713.91</v>
      </c>
      <c r="M71" s="49">
        <f>VLOOKUP($A71,'Data shares'!$C:$FB,62)</f>
        <v>88682700</v>
      </c>
      <c r="N71" s="49">
        <f>VLOOKUP($A71,'Data shares'!$C:$FB,63)</f>
        <v>9445620</v>
      </c>
      <c r="O71" s="140">
        <f>VLOOKUP($A71,'Data shares'!$C:$FB,65)*100</f>
        <v>838.88</v>
      </c>
    </row>
    <row r="72" spans="1:15" x14ac:dyDescent="0.25">
      <c r="A72" s="101" t="str">
        <f>'Data Vlaue (Cr)'!C67</f>
        <v>FORCEMOT</v>
      </c>
      <c r="B72" s="50">
        <f>VLOOKUP($A72,'Data shares'!$C:$FB,7)</f>
        <v>19833</v>
      </c>
      <c r="C72" s="50">
        <f>VLOOKUP($A72,'Data shares'!$C:$FB,10)*100</f>
        <v>-1.8800000000000001</v>
      </c>
      <c r="D72" s="49">
        <f>VLOOKUP($A72,'Data shares'!$C:$FB,66)</f>
        <v>634300</v>
      </c>
      <c r="E72" s="49">
        <f>VLOOKUP($A72,'Data shares'!$C:$FB,67)</f>
        <v>2847075</v>
      </c>
      <c r="F72" s="50">
        <f>VLOOKUP($A72,'Data shares'!$C:$FB,69)*100</f>
        <v>-77.72</v>
      </c>
      <c r="G72" s="49">
        <f>VLOOKUP($A72,'Data shares'!$C:$FB,42)</f>
        <v>104225</v>
      </c>
      <c r="H72" s="49">
        <f>VLOOKUP($A72,'Data shares'!$C:$FB,43)</f>
        <v>203475</v>
      </c>
      <c r="I72" s="50">
        <f>VLOOKUP($A72,'Data shares'!$C:$FB,45)*100</f>
        <v>-48.78</v>
      </c>
      <c r="J72" s="49">
        <f>VLOOKUP($A72,'Data shares'!$C:$FB,58)</f>
        <v>433150</v>
      </c>
      <c r="K72" s="49">
        <f>VLOOKUP($A72,'Data shares'!$C:$FB,59)</f>
        <v>2047175</v>
      </c>
      <c r="L72" s="50">
        <f>VLOOKUP($A72,'Data shares'!$C:$FB,61)*100</f>
        <v>-78.84</v>
      </c>
      <c r="M72" s="49">
        <f>VLOOKUP($A72,'Data shares'!$C:$FB,62)</f>
        <v>96925</v>
      </c>
      <c r="N72" s="49">
        <f>VLOOKUP($A72,'Data shares'!$C:$FB,63)</f>
        <v>596425</v>
      </c>
      <c r="O72" s="140">
        <f>VLOOKUP($A72,'Data shares'!$C:$FB,65)*100</f>
        <v>-83.75</v>
      </c>
    </row>
    <row r="73" spans="1:15" x14ac:dyDescent="0.25">
      <c r="A73" s="101" t="str">
        <f>'Data Vlaue (Cr)'!C68</f>
        <v>FORTIS</v>
      </c>
      <c r="B73" s="50">
        <f>VLOOKUP($A73,'Data shares'!$C:$FB,7)</f>
        <v>966.6</v>
      </c>
      <c r="C73" s="50">
        <f>VLOOKUP($A73,'Data shares'!$C:$FB,10)*100</f>
        <v>-0.38999999999999996</v>
      </c>
      <c r="D73" s="49">
        <f>VLOOKUP($A73,'Data shares'!$C:$FB,66)</f>
        <v>6658800</v>
      </c>
      <c r="E73" s="49">
        <f>VLOOKUP($A73,'Data shares'!$C:$FB,67)</f>
        <v>26250800</v>
      </c>
      <c r="F73" s="50">
        <f>VLOOKUP($A73,'Data shares'!$C:$FB,69)*100</f>
        <v>-74.63</v>
      </c>
      <c r="G73" s="49">
        <f>VLOOKUP($A73,'Data shares'!$C:$FB,42)</f>
        <v>2467600</v>
      </c>
      <c r="H73" s="49">
        <f>VLOOKUP($A73,'Data shares'!$C:$FB,43)</f>
        <v>5617200</v>
      </c>
      <c r="I73" s="50">
        <f>VLOOKUP($A73,'Data shares'!$C:$FB,45)*100</f>
        <v>-56.07</v>
      </c>
      <c r="J73" s="49">
        <f>VLOOKUP($A73,'Data shares'!$C:$FB,58)</f>
        <v>2926400</v>
      </c>
      <c r="K73" s="49">
        <f>VLOOKUP($A73,'Data shares'!$C:$FB,59)</f>
        <v>14266200</v>
      </c>
      <c r="L73" s="50">
        <f>VLOOKUP($A73,'Data shares'!$C:$FB,61)*100</f>
        <v>-79.490000000000009</v>
      </c>
      <c r="M73" s="49">
        <f>VLOOKUP($A73,'Data shares'!$C:$FB,62)</f>
        <v>1264800</v>
      </c>
      <c r="N73" s="49">
        <f>VLOOKUP($A73,'Data shares'!$C:$FB,63)</f>
        <v>6367400</v>
      </c>
      <c r="O73" s="140">
        <f>VLOOKUP($A73,'Data shares'!$C:$FB,65)*100</f>
        <v>-80.14</v>
      </c>
    </row>
    <row r="74" spans="1:15" x14ac:dyDescent="0.25">
      <c r="A74" s="101" t="str">
        <f>'Data Vlaue (Cr)'!C69</f>
        <v>GAIL</v>
      </c>
      <c r="B74" s="50">
        <f>VLOOKUP($A74,'Data shares'!$C:$FB,7)</f>
        <v>167.63</v>
      </c>
      <c r="C74" s="50">
        <f>VLOOKUP($A74,'Data shares'!$C:$FB,10)*100</f>
        <v>-0.62</v>
      </c>
      <c r="D74" s="49">
        <f>VLOOKUP($A74,'Data shares'!$C:$FB,66)</f>
        <v>92124900</v>
      </c>
      <c r="E74" s="49">
        <f>VLOOKUP($A74,'Data shares'!$C:$FB,67)</f>
        <v>369050850</v>
      </c>
      <c r="F74" s="50">
        <f>VLOOKUP($A74,'Data shares'!$C:$FB,69)*100</f>
        <v>-75.039999999999992</v>
      </c>
      <c r="G74" s="49">
        <f>VLOOKUP($A74,'Data shares'!$C:$FB,42)</f>
        <v>30331350</v>
      </c>
      <c r="H74" s="49">
        <f>VLOOKUP($A74,'Data shares'!$C:$FB,43)</f>
        <v>77433300</v>
      </c>
      <c r="I74" s="50">
        <f>VLOOKUP($A74,'Data shares'!$C:$FB,45)*100</f>
        <v>-60.83</v>
      </c>
      <c r="J74" s="49">
        <f>VLOOKUP($A74,'Data shares'!$C:$FB,58)</f>
        <v>35881650</v>
      </c>
      <c r="K74" s="49">
        <f>VLOOKUP($A74,'Data shares'!$C:$FB,59)</f>
        <v>202554450</v>
      </c>
      <c r="L74" s="50">
        <f>VLOOKUP($A74,'Data shares'!$C:$FB,61)*100</f>
        <v>-82.289999999999992</v>
      </c>
      <c r="M74" s="49">
        <f>VLOOKUP($A74,'Data shares'!$C:$FB,62)</f>
        <v>25911900</v>
      </c>
      <c r="N74" s="49">
        <f>VLOOKUP($A74,'Data shares'!$C:$FB,63)</f>
        <v>89063100</v>
      </c>
      <c r="O74" s="140">
        <f>VLOOKUP($A74,'Data shares'!$C:$FB,65)*100</f>
        <v>-70.91</v>
      </c>
    </row>
    <row r="75" spans="1:15" x14ac:dyDescent="0.25">
      <c r="A75" s="101" t="str">
        <f>'Data Vlaue (Cr)'!C70</f>
        <v>GLENMARK</v>
      </c>
      <c r="B75" s="50">
        <f>VLOOKUP($A75,'Data shares'!$C:$FB,7)</f>
        <v>2351.4</v>
      </c>
      <c r="C75" s="50">
        <f>VLOOKUP($A75,'Data shares'!$C:$FB,10)*100</f>
        <v>0.62</v>
      </c>
      <c r="D75" s="49">
        <f>VLOOKUP($A75,'Data shares'!$C:$FB,66)</f>
        <v>10188000</v>
      </c>
      <c r="E75" s="49">
        <f>VLOOKUP($A75,'Data shares'!$C:$FB,67)</f>
        <v>28813500</v>
      </c>
      <c r="F75" s="50">
        <f>VLOOKUP($A75,'Data shares'!$C:$FB,69)*100</f>
        <v>-64.64</v>
      </c>
      <c r="G75" s="49">
        <f>VLOOKUP($A75,'Data shares'!$C:$FB,42)</f>
        <v>2823000</v>
      </c>
      <c r="H75" s="49">
        <f>VLOOKUP($A75,'Data shares'!$C:$FB,43)</f>
        <v>8200500</v>
      </c>
      <c r="I75" s="50">
        <f>VLOOKUP($A75,'Data shares'!$C:$FB,45)*100</f>
        <v>-65.58</v>
      </c>
      <c r="J75" s="49">
        <f>VLOOKUP($A75,'Data shares'!$C:$FB,58)</f>
        <v>4385250</v>
      </c>
      <c r="K75" s="49">
        <f>VLOOKUP($A75,'Data shares'!$C:$FB,59)</f>
        <v>13891125</v>
      </c>
      <c r="L75" s="50">
        <f>VLOOKUP($A75,'Data shares'!$C:$FB,61)*100</f>
        <v>-68.430000000000007</v>
      </c>
      <c r="M75" s="49">
        <f>VLOOKUP($A75,'Data shares'!$C:$FB,62)</f>
        <v>2979750</v>
      </c>
      <c r="N75" s="49">
        <f>VLOOKUP($A75,'Data shares'!$C:$FB,63)</f>
        <v>6721875</v>
      </c>
      <c r="O75" s="140">
        <f>VLOOKUP($A75,'Data shares'!$C:$FB,65)*100</f>
        <v>-55.669999999999995</v>
      </c>
    </row>
    <row r="76" spans="1:15" x14ac:dyDescent="0.25">
      <c r="A76" s="101" t="str">
        <f>'Data Vlaue (Cr)'!C71</f>
        <v>GMRAIRPORT</v>
      </c>
      <c r="B76" s="50">
        <f>VLOOKUP($A76,'Data shares'!$C:$FB,7)</f>
        <v>96.23</v>
      </c>
      <c r="C76" s="50">
        <f>VLOOKUP($A76,'Data shares'!$C:$FB,10)*100</f>
        <v>-0.69</v>
      </c>
      <c r="D76" s="49">
        <f>VLOOKUP($A76,'Data shares'!$C:$FB,66)</f>
        <v>108914625</v>
      </c>
      <c r="E76" s="49">
        <f>VLOOKUP($A76,'Data shares'!$C:$FB,67)</f>
        <v>111662775</v>
      </c>
      <c r="F76" s="50">
        <f>VLOOKUP($A76,'Data shares'!$C:$FB,69)*100</f>
        <v>-2.46</v>
      </c>
      <c r="G76" s="49">
        <f>VLOOKUP($A76,'Data shares'!$C:$FB,42)</f>
        <v>55130400</v>
      </c>
      <c r="H76" s="49">
        <f>VLOOKUP($A76,'Data shares'!$C:$FB,43)</f>
        <v>62342550</v>
      </c>
      <c r="I76" s="50">
        <f>VLOOKUP($A76,'Data shares'!$C:$FB,45)*100</f>
        <v>-11.57</v>
      </c>
      <c r="J76" s="49">
        <f>VLOOKUP($A76,'Data shares'!$C:$FB,58)</f>
        <v>39722625</v>
      </c>
      <c r="K76" s="49">
        <f>VLOOKUP($A76,'Data shares'!$C:$FB,59)</f>
        <v>33438150</v>
      </c>
      <c r="L76" s="50">
        <f>VLOOKUP($A76,'Data shares'!$C:$FB,61)*100</f>
        <v>18.790000000000003</v>
      </c>
      <c r="M76" s="49">
        <f>VLOOKUP($A76,'Data shares'!$C:$FB,62)</f>
        <v>14061600</v>
      </c>
      <c r="N76" s="49">
        <f>VLOOKUP($A76,'Data shares'!$C:$FB,63)</f>
        <v>15882075</v>
      </c>
      <c r="O76" s="140">
        <f>VLOOKUP($A76,'Data shares'!$C:$FB,65)*100</f>
        <v>-11.459999999999999</v>
      </c>
    </row>
    <row r="77" spans="1:15" x14ac:dyDescent="0.25">
      <c r="A77" s="101" t="str">
        <f>'Data Vlaue (Cr)'!C72</f>
        <v>GODFRYPHLP</v>
      </c>
      <c r="B77" s="50">
        <f>VLOOKUP($A77,'Data shares'!$C:$FB,7)</f>
        <v>2298.4</v>
      </c>
      <c r="C77" s="50">
        <f>VLOOKUP($A77,'Data shares'!$C:$FB,10)*100</f>
        <v>-0.96</v>
      </c>
      <c r="D77" s="49">
        <f>VLOOKUP($A77,'Data shares'!$C:$FB,66)</f>
        <v>5966950</v>
      </c>
      <c r="E77" s="49">
        <f>VLOOKUP($A77,'Data shares'!$C:$FB,67)</f>
        <v>8840425</v>
      </c>
      <c r="F77" s="50">
        <f>VLOOKUP($A77,'Data shares'!$C:$FB,69)*100</f>
        <v>-32.5</v>
      </c>
      <c r="G77" s="49">
        <f>VLOOKUP($A77,'Data shares'!$C:$FB,42)</f>
        <v>1590875</v>
      </c>
      <c r="H77" s="49">
        <f>VLOOKUP($A77,'Data shares'!$C:$FB,43)</f>
        <v>2388925</v>
      </c>
      <c r="I77" s="50">
        <f>VLOOKUP($A77,'Data shares'!$C:$FB,45)*100</f>
        <v>-33.410000000000004</v>
      </c>
      <c r="J77" s="49">
        <f>VLOOKUP($A77,'Data shares'!$C:$FB,58)</f>
        <v>2833325</v>
      </c>
      <c r="K77" s="49">
        <f>VLOOKUP($A77,'Data shares'!$C:$FB,59)</f>
        <v>4994825</v>
      </c>
      <c r="L77" s="50">
        <f>VLOOKUP($A77,'Data shares'!$C:$FB,61)*100</f>
        <v>-43.269999999999996</v>
      </c>
      <c r="M77" s="49">
        <f>VLOOKUP($A77,'Data shares'!$C:$FB,62)</f>
        <v>1542750</v>
      </c>
      <c r="N77" s="49">
        <f>VLOOKUP($A77,'Data shares'!$C:$FB,63)</f>
        <v>1456675</v>
      </c>
      <c r="O77" s="140">
        <f>VLOOKUP($A77,'Data shares'!$C:$FB,65)*100</f>
        <v>5.91</v>
      </c>
    </row>
    <row r="78" spans="1:15" x14ac:dyDescent="0.25">
      <c r="A78" s="101" t="str">
        <f>'Data Vlaue (Cr)'!C73</f>
        <v>GODREJCP</v>
      </c>
      <c r="B78" s="50">
        <f>VLOOKUP($A78,'Data shares'!$C:$FB,7)</f>
        <v>1031.8</v>
      </c>
      <c r="C78" s="50">
        <f>VLOOKUP($A78,'Data shares'!$C:$FB,10)*100</f>
        <v>1.1199999999999999</v>
      </c>
      <c r="D78" s="49">
        <f>VLOOKUP($A78,'Data shares'!$C:$FB,66)</f>
        <v>6682000</v>
      </c>
      <c r="E78" s="49">
        <f>VLOOKUP($A78,'Data shares'!$C:$FB,67)</f>
        <v>14110000</v>
      </c>
      <c r="F78" s="50">
        <f>VLOOKUP($A78,'Data shares'!$C:$FB,69)*100</f>
        <v>-52.64</v>
      </c>
      <c r="G78" s="49">
        <f>VLOOKUP($A78,'Data shares'!$C:$FB,42)</f>
        <v>3312000</v>
      </c>
      <c r="H78" s="49">
        <f>VLOOKUP($A78,'Data shares'!$C:$FB,43)</f>
        <v>7732500</v>
      </c>
      <c r="I78" s="50">
        <f>VLOOKUP($A78,'Data shares'!$C:$FB,45)*100</f>
        <v>-57.17</v>
      </c>
      <c r="J78" s="49">
        <f>VLOOKUP($A78,'Data shares'!$C:$FB,58)</f>
        <v>2045500</v>
      </c>
      <c r="K78" s="49">
        <f>VLOOKUP($A78,'Data shares'!$C:$FB,59)</f>
        <v>4397000</v>
      </c>
      <c r="L78" s="50">
        <f>VLOOKUP($A78,'Data shares'!$C:$FB,61)*100</f>
        <v>-53.480000000000004</v>
      </c>
      <c r="M78" s="49">
        <f>VLOOKUP($A78,'Data shares'!$C:$FB,62)</f>
        <v>1324500</v>
      </c>
      <c r="N78" s="49">
        <f>VLOOKUP($A78,'Data shares'!$C:$FB,63)</f>
        <v>1980500</v>
      </c>
      <c r="O78" s="140">
        <f>VLOOKUP($A78,'Data shares'!$C:$FB,65)*100</f>
        <v>-33.119999999999997</v>
      </c>
    </row>
    <row r="79" spans="1:15" x14ac:dyDescent="0.25">
      <c r="A79" s="101" t="str">
        <f>'Data Vlaue (Cr)'!C74</f>
        <v>GODREJPROP</v>
      </c>
      <c r="B79" s="50">
        <f>VLOOKUP($A79,'Data shares'!$C:$FB,7)</f>
        <v>1760.2</v>
      </c>
      <c r="C79" s="50">
        <f>VLOOKUP($A79,'Data shares'!$C:$FB,10)*100</f>
        <v>-0.4</v>
      </c>
      <c r="D79" s="49">
        <f>VLOOKUP($A79,'Data shares'!$C:$FB,66)</f>
        <v>7513550</v>
      </c>
      <c r="E79" s="49">
        <f>VLOOKUP($A79,'Data shares'!$C:$FB,67)</f>
        <v>12365925</v>
      </c>
      <c r="F79" s="50">
        <f>VLOOKUP($A79,'Data shares'!$C:$FB,69)*100</f>
        <v>-39.24</v>
      </c>
      <c r="G79" s="49">
        <f>VLOOKUP($A79,'Data shares'!$C:$FB,42)</f>
        <v>2772825</v>
      </c>
      <c r="H79" s="49">
        <f>VLOOKUP($A79,'Data shares'!$C:$FB,43)</f>
        <v>4958800</v>
      </c>
      <c r="I79" s="50">
        <f>VLOOKUP($A79,'Data shares'!$C:$FB,45)*100</f>
        <v>-44.080000000000005</v>
      </c>
      <c r="J79" s="49">
        <f>VLOOKUP($A79,'Data shares'!$C:$FB,58)</f>
        <v>2873200</v>
      </c>
      <c r="K79" s="49">
        <f>VLOOKUP($A79,'Data shares'!$C:$FB,59)</f>
        <v>4286425</v>
      </c>
      <c r="L79" s="50">
        <f>VLOOKUP($A79,'Data shares'!$C:$FB,61)*100</f>
        <v>-32.97</v>
      </c>
      <c r="M79" s="49">
        <f>VLOOKUP($A79,'Data shares'!$C:$FB,62)</f>
        <v>1867525</v>
      </c>
      <c r="N79" s="49">
        <f>VLOOKUP($A79,'Data shares'!$C:$FB,63)</f>
        <v>3120700</v>
      </c>
      <c r="O79" s="140">
        <f>VLOOKUP($A79,'Data shares'!$C:$FB,65)*100</f>
        <v>-40.160000000000004</v>
      </c>
    </row>
    <row r="80" spans="1:15" x14ac:dyDescent="0.25">
      <c r="A80" s="101" t="str">
        <f>'Data Vlaue (Cr)'!C75</f>
        <v>GRASIM</v>
      </c>
      <c r="B80" s="50">
        <f>VLOOKUP($A80,'Data shares'!$C:$FB,7)</f>
        <v>3165</v>
      </c>
      <c r="C80" s="50">
        <f>VLOOKUP($A80,'Data shares'!$C:$FB,10)*100</f>
        <v>-0.21</v>
      </c>
      <c r="D80" s="49">
        <f>VLOOKUP($A80,'Data shares'!$C:$FB,66)</f>
        <v>9102750</v>
      </c>
      <c r="E80" s="49">
        <f>VLOOKUP($A80,'Data shares'!$C:$FB,67)</f>
        <v>14635250</v>
      </c>
      <c r="F80" s="50">
        <f>VLOOKUP($A80,'Data shares'!$C:$FB,69)*100</f>
        <v>-37.799999999999997</v>
      </c>
      <c r="G80" s="49">
        <f>VLOOKUP($A80,'Data shares'!$C:$FB,42)</f>
        <v>3198250</v>
      </c>
      <c r="H80" s="49">
        <f>VLOOKUP($A80,'Data shares'!$C:$FB,43)</f>
        <v>5794250</v>
      </c>
      <c r="I80" s="50">
        <f>VLOOKUP($A80,'Data shares'!$C:$FB,45)*100</f>
        <v>-44.800000000000004</v>
      </c>
      <c r="J80" s="49">
        <f>VLOOKUP($A80,'Data shares'!$C:$FB,58)</f>
        <v>3437250</v>
      </c>
      <c r="K80" s="49">
        <f>VLOOKUP($A80,'Data shares'!$C:$FB,59)</f>
        <v>4812500</v>
      </c>
      <c r="L80" s="50">
        <f>VLOOKUP($A80,'Data shares'!$C:$FB,61)*100</f>
        <v>-28.58</v>
      </c>
      <c r="M80" s="49">
        <f>VLOOKUP($A80,'Data shares'!$C:$FB,62)</f>
        <v>2467250</v>
      </c>
      <c r="N80" s="49">
        <f>VLOOKUP($A80,'Data shares'!$C:$FB,63)</f>
        <v>4028500</v>
      </c>
      <c r="O80" s="140">
        <f>VLOOKUP($A80,'Data shares'!$C:$FB,65)*100</f>
        <v>-38.76</v>
      </c>
    </row>
    <row r="81" spans="1:15" x14ac:dyDescent="0.25">
      <c r="A81" s="101" t="str">
        <f>'Data Vlaue (Cr)'!C76</f>
        <v>HAL</v>
      </c>
      <c r="B81" s="50">
        <f>VLOOKUP($A81,'Data shares'!$C:$FB,7)</f>
        <v>4427.7</v>
      </c>
      <c r="C81" s="50">
        <f>VLOOKUP($A81,'Data shares'!$C:$FB,10)*100</f>
        <v>0.04</v>
      </c>
      <c r="D81" s="49">
        <f>VLOOKUP($A81,'Data shares'!$C:$FB,66)</f>
        <v>9536850</v>
      </c>
      <c r="E81" s="49">
        <f>VLOOKUP($A81,'Data shares'!$C:$FB,67)</f>
        <v>16068300</v>
      </c>
      <c r="F81" s="50">
        <f>VLOOKUP($A81,'Data shares'!$C:$FB,69)*100</f>
        <v>-40.65</v>
      </c>
      <c r="G81" s="49">
        <f>VLOOKUP($A81,'Data shares'!$C:$FB,42)</f>
        <v>3371400</v>
      </c>
      <c r="H81" s="49">
        <f>VLOOKUP($A81,'Data shares'!$C:$FB,43)</f>
        <v>3509700</v>
      </c>
      <c r="I81" s="50">
        <f>VLOOKUP($A81,'Data shares'!$C:$FB,45)*100</f>
        <v>-3.94</v>
      </c>
      <c r="J81" s="49">
        <f>VLOOKUP($A81,'Data shares'!$C:$FB,58)</f>
        <v>3947850</v>
      </c>
      <c r="K81" s="49">
        <f>VLOOKUP($A81,'Data shares'!$C:$FB,59)</f>
        <v>8536800</v>
      </c>
      <c r="L81" s="50">
        <f>VLOOKUP($A81,'Data shares'!$C:$FB,61)*100</f>
        <v>-53.75</v>
      </c>
      <c r="M81" s="49">
        <f>VLOOKUP($A81,'Data shares'!$C:$FB,62)</f>
        <v>2217600</v>
      </c>
      <c r="N81" s="49">
        <f>VLOOKUP($A81,'Data shares'!$C:$FB,63)</f>
        <v>4021800</v>
      </c>
      <c r="O81" s="140">
        <f>VLOOKUP($A81,'Data shares'!$C:$FB,65)*100</f>
        <v>-44.86</v>
      </c>
    </row>
    <row r="82" spans="1:15" x14ac:dyDescent="0.25">
      <c r="A82" s="101" t="str">
        <f>'Data Vlaue (Cr)'!C77</f>
        <v>HAVELLS</v>
      </c>
      <c r="B82" s="50">
        <f>VLOOKUP($A82,'Data shares'!$C:$FB,7)</f>
        <v>1201</v>
      </c>
      <c r="C82" s="50">
        <f>VLOOKUP($A82,'Data shares'!$C:$FB,10)*100</f>
        <v>-0.22999999999999998</v>
      </c>
      <c r="D82" s="49">
        <f>VLOOKUP($A82,'Data shares'!$C:$FB,66)</f>
        <v>10769500</v>
      </c>
      <c r="E82" s="49">
        <f>VLOOKUP($A82,'Data shares'!$C:$FB,67)</f>
        <v>8173000</v>
      </c>
      <c r="F82" s="50">
        <f>VLOOKUP($A82,'Data shares'!$C:$FB,69)*100</f>
        <v>31.77</v>
      </c>
      <c r="G82" s="49">
        <f>VLOOKUP($A82,'Data shares'!$C:$FB,42)</f>
        <v>5337500</v>
      </c>
      <c r="H82" s="49">
        <f>VLOOKUP($A82,'Data shares'!$C:$FB,43)</f>
        <v>4568000</v>
      </c>
      <c r="I82" s="50">
        <f>VLOOKUP($A82,'Data shares'!$C:$FB,45)*100</f>
        <v>16.850000000000001</v>
      </c>
      <c r="J82" s="49">
        <f>VLOOKUP($A82,'Data shares'!$C:$FB,58)</f>
        <v>2295500</v>
      </c>
      <c r="K82" s="49">
        <f>VLOOKUP($A82,'Data shares'!$C:$FB,59)</f>
        <v>2605000</v>
      </c>
      <c r="L82" s="50">
        <f>VLOOKUP($A82,'Data shares'!$C:$FB,61)*100</f>
        <v>-11.88</v>
      </c>
      <c r="M82" s="49">
        <f>VLOOKUP($A82,'Data shares'!$C:$FB,62)</f>
        <v>3136500</v>
      </c>
      <c r="N82" s="49">
        <f>VLOOKUP($A82,'Data shares'!$C:$FB,63)</f>
        <v>1000000</v>
      </c>
      <c r="O82" s="140">
        <f>VLOOKUP($A82,'Data shares'!$C:$FB,65)*100</f>
        <v>213.64999999999998</v>
      </c>
    </row>
    <row r="83" spans="1:15" x14ac:dyDescent="0.25">
      <c r="A83" s="101" t="str">
        <f>'Data Vlaue (Cr)'!C78</f>
        <v>HCLTECH</v>
      </c>
      <c r="B83" s="50">
        <f>VLOOKUP($A83,'Data shares'!$C:$FB,7)</f>
        <v>1161.9000000000001</v>
      </c>
      <c r="C83" s="50">
        <f>VLOOKUP($A83,'Data shares'!$C:$FB,10)*100</f>
        <v>-0.33</v>
      </c>
      <c r="D83" s="49">
        <f>VLOOKUP($A83,'Data shares'!$C:$FB,66)</f>
        <v>26512150</v>
      </c>
      <c r="E83" s="49">
        <f>VLOOKUP($A83,'Data shares'!$C:$FB,67)</f>
        <v>57250550</v>
      </c>
      <c r="F83" s="50">
        <f>VLOOKUP($A83,'Data shares'!$C:$FB,69)*100</f>
        <v>-53.690000000000005</v>
      </c>
      <c r="G83" s="49">
        <f>VLOOKUP($A83,'Data shares'!$C:$FB,42)</f>
        <v>9685900</v>
      </c>
      <c r="H83" s="49">
        <f>VLOOKUP($A83,'Data shares'!$C:$FB,43)</f>
        <v>31479000</v>
      </c>
      <c r="I83" s="50">
        <f>VLOOKUP($A83,'Data shares'!$C:$FB,45)*100</f>
        <v>-69.23</v>
      </c>
      <c r="J83" s="49">
        <f>VLOOKUP($A83,'Data shares'!$C:$FB,58)</f>
        <v>11423300</v>
      </c>
      <c r="K83" s="49">
        <f>VLOOKUP($A83,'Data shares'!$C:$FB,59)</f>
        <v>16921800</v>
      </c>
      <c r="L83" s="50">
        <f>VLOOKUP($A83,'Data shares'!$C:$FB,61)*100</f>
        <v>-32.49</v>
      </c>
      <c r="M83" s="49">
        <f>VLOOKUP($A83,'Data shares'!$C:$FB,62)</f>
        <v>5402950</v>
      </c>
      <c r="N83" s="49">
        <f>VLOOKUP($A83,'Data shares'!$C:$FB,63)</f>
        <v>8849750</v>
      </c>
      <c r="O83" s="140">
        <f>VLOOKUP($A83,'Data shares'!$C:$FB,65)*100</f>
        <v>-38.950000000000003</v>
      </c>
    </row>
    <row r="84" spans="1:15" x14ac:dyDescent="0.25">
      <c r="A84" s="101" t="str">
        <f>'Data Vlaue (Cr)'!C79</f>
        <v>HDFCAMC</v>
      </c>
      <c r="B84" s="50">
        <f>VLOOKUP($A84,'Data shares'!$C:$FB,7)</f>
        <v>2739.8</v>
      </c>
      <c r="C84" s="50">
        <f>VLOOKUP($A84,'Data shares'!$C:$FB,10)*100</f>
        <v>-0.66</v>
      </c>
      <c r="D84" s="49">
        <f>VLOOKUP($A84,'Data shares'!$C:$FB,66)</f>
        <v>3793500</v>
      </c>
      <c r="E84" s="49">
        <f>VLOOKUP($A84,'Data shares'!$C:$FB,67)</f>
        <v>10470600</v>
      </c>
      <c r="F84" s="50">
        <f>VLOOKUP($A84,'Data shares'!$C:$FB,69)*100</f>
        <v>-63.77</v>
      </c>
      <c r="G84" s="49">
        <f>VLOOKUP($A84,'Data shares'!$C:$FB,42)</f>
        <v>1355700</v>
      </c>
      <c r="H84" s="49">
        <f>VLOOKUP($A84,'Data shares'!$C:$FB,43)</f>
        <v>3737100</v>
      </c>
      <c r="I84" s="50">
        <f>VLOOKUP($A84,'Data shares'!$C:$FB,45)*100</f>
        <v>-63.72</v>
      </c>
      <c r="J84" s="49">
        <f>VLOOKUP($A84,'Data shares'!$C:$FB,58)</f>
        <v>1575900</v>
      </c>
      <c r="K84" s="49">
        <f>VLOOKUP($A84,'Data shares'!$C:$FB,59)</f>
        <v>5794800</v>
      </c>
      <c r="L84" s="50">
        <f>VLOOKUP($A84,'Data shares'!$C:$FB,61)*100</f>
        <v>-72.8</v>
      </c>
      <c r="M84" s="49">
        <f>VLOOKUP($A84,'Data shares'!$C:$FB,62)</f>
        <v>861900</v>
      </c>
      <c r="N84" s="49">
        <f>VLOOKUP($A84,'Data shares'!$C:$FB,63)</f>
        <v>938700</v>
      </c>
      <c r="O84" s="140">
        <f>VLOOKUP($A84,'Data shares'!$C:$FB,65)*100</f>
        <v>-8.18</v>
      </c>
    </row>
    <row r="85" spans="1:15" x14ac:dyDescent="0.25">
      <c r="A85" s="101" t="str">
        <f>'Data Vlaue (Cr)'!C80</f>
        <v>HDFCBANK</v>
      </c>
      <c r="B85" s="50">
        <f>VLOOKUP($A85,'Data shares'!$C:$FB,7)</f>
        <v>778.9</v>
      </c>
      <c r="C85" s="50">
        <f>VLOOKUP($A85,'Data shares'!$C:$FB,10)*100</f>
        <v>-1.01</v>
      </c>
      <c r="D85" s="49">
        <f>VLOOKUP($A85,'Data shares'!$C:$FB,66)</f>
        <v>185354400</v>
      </c>
      <c r="E85" s="49">
        <f>VLOOKUP($A85,'Data shares'!$C:$FB,67)</f>
        <v>333091000</v>
      </c>
      <c r="F85" s="50">
        <f>VLOOKUP($A85,'Data shares'!$C:$FB,69)*100</f>
        <v>-44.35</v>
      </c>
      <c r="G85" s="49">
        <f>VLOOKUP($A85,'Data shares'!$C:$FB,42)</f>
        <v>54212400</v>
      </c>
      <c r="H85" s="49">
        <f>VLOOKUP($A85,'Data shares'!$C:$FB,43)</f>
        <v>113625050</v>
      </c>
      <c r="I85" s="50">
        <f>VLOOKUP($A85,'Data shares'!$C:$FB,45)*100</f>
        <v>-52.290000000000006</v>
      </c>
      <c r="J85" s="49">
        <f>VLOOKUP($A85,'Data shares'!$C:$FB,58)</f>
        <v>84516300</v>
      </c>
      <c r="K85" s="49">
        <f>VLOOKUP($A85,'Data shares'!$C:$FB,59)</f>
        <v>140857200</v>
      </c>
      <c r="L85" s="50">
        <f>VLOOKUP($A85,'Data shares'!$C:$FB,61)*100</f>
        <v>-40</v>
      </c>
      <c r="M85" s="49">
        <f>VLOOKUP($A85,'Data shares'!$C:$FB,62)</f>
        <v>46625700</v>
      </c>
      <c r="N85" s="49">
        <f>VLOOKUP($A85,'Data shares'!$C:$FB,63)</f>
        <v>78608750</v>
      </c>
      <c r="O85" s="140">
        <f>VLOOKUP($A85,'Data shares'!$C:$FB,65)*100</f>
        <v>-40.69</v>
      </c>
    </row>
    <row r="86" spans="1:15" x14ac:dyDescent="0.25">
      <c r="A86" s="101" t="str">
        <f>'Data Vlaue (Cr)'!C81</f>
        <v>HDFCLIFE</v>
      </c>
      <c r="B86" s="50">
        <f>VLOOKUP($A86,'Data shares'!$C:$FB,7)</f>
        <v>618.85</v>
      </c>
      <c r="C86" s="50">
        <f>VLOOKUP($A86,'Data shares'!$C:$FB,10)*100</f>
        <v>-0.19</v>
      </c>
      <c r="D86" s="49">
        <f>VLOOKUP($A86,'Data shares'!$C:$FB,66)</f>
        <v>29825400</v>
      </c>
      <c r="E86" s="49">
        <f>VLOOKUP($A86,'Data shares'!$C:$FB,67)</f>
        <v>46563000</v>
      </c>
      <c r="F86" s="50">
        <f>VLOOKUP($A86,'Data shares'!$C:$FB,69)*100</f>
        <v>-35.949999999999996</v>
      </c>
      <c r="G86" s="49">
        <f>VLOOKUP($A86,'Data shares'!$C:$FB,42)</f>
        <v>11675400</v>
      </c>
      <c r="H86" s="49">
        <f>VLOOKUP($A86,'Data shares'!$C:$FB,43)</f>
        <v>21888900</v>
      </c>
      <c r="I86" s="50">
        <f>VLOOKUP($A86,'Data shares'!$C:$FB,45)*100</f>
        <v>-46.660000000000004</v>
      </c>
      <c r="J86" s="49">
        <f>VLOOKUP($A86,'Data shares'!$C:$FB,58)</f>
        <v>11985600</v>
      </c>
      <c r="K86" s="49">
        <f>VLOOKUP($A86,'Data shares'!$C:$FB,59)</f>
        <v>15486900</v>
      </c>
      <c r="L86" s="50">
        <f>VLOOKUP($A86,'Data shares'!$C:$FB,61)*100</f>
        <v>-22.61</v>
      </c>
      <c r="M86" s="49">
        <f>VLOOKUP($A86,'Data shares'!$C:$FB,62)</f>
        <v>6164400</v>
      </c>
      <c r="N86" s="49">
        <f>VLOOKUP($A86,'Data shares'!$C:$FB,63)</f>
        <v>9187200</v>
      </c>
      <c r="O86" s="140">
        <f>VLOOKUP($A86,'Data shares'!$C:$FB,65)*100</f>
        <v>-32.9</v>
      </c>
    </row>
    <row r="87" spans="1:15" x14ac:dyDescent="0.25">
      <c r="A87" s="101" t="str">
        <f>'Data Vlaue (Cr)'!C82</f>
        <v>HEROMOTOCO</v>
      </c>
      <c r="B87" s="50">
        <f>VLOOKUP($A87,'Data shares'!$C:$FB,7)</f>
        <v>4983</v>
      </c>
      <c r="C87" s="50">
        <f>VLOOKUP($A87,'Data shares'!$C:$FB,10)*100</f>
        <v>0.08</v>
      </c>
      <c r="D87" s="49">
        <f>VLOOKUP($A87,'Data shares'!$C:$FB,66)</f>
        <v>6553200</v>
      </c>
      <c r="E87" s="49">
        <f>VLOOKUP($A87,'Data shares'!$C:$FB,67)</f>
        <v>9382350</v>
      </c>
      <c r="F87" s="50">
        <f>VLOOKUP($A87,'Data shares'!$C:$FB,69)*100</f>
        <v>-30.15</v>
      </c>
      <c r="G87" s="49">
        <f>VLOOKUP($A87,'Data shares'!$C:$FB,42)</f>
        <v>1610400</v>
      </c>
      <c r="H87" s="49">
        <f>VLOOKUP($A87,'Data shares'!$C:$FB,43)</f>
        <v>2546400</v>
      </c>
      <c r="I87" s="50">
        <f>VLOOKUP($A87,'Data shares'!$C:$FB,45)*100</f>
        <v>-36.76</v>
      </c>
      <c r="J87" s="49">
        <f>VLOOKUP($A87,'Data shares'!$C:$FB,58)</f>
        <v>3736650</v>
      </c>
      <c r="K87" s="49">
        <f>VLOOKUP($A87,'Data shares'!$C:$FB,59)</f>
        <v>5128200</v>
      </c>
      <c r="L87" s="50">
        <f>VLOOKUP($A87,'Data shares'!$C:$FB,61)*100</f>
        <v>-27.139999999999997</v>
      </c>
      <c r="M87" s="49">
        <f>VLOOKUP($A87,'Data shares'!$C:$FB,62)</f>
        <v>1206150</v>
      </c>
      <c r="N87" s="49">
        <f>VLOOKUP($A87,'Data shares'!$C:$FB,63)</f>
        <v>1707750</v>
      </c>
      <c r="O87" s="140">
        <f>VLOOKUP($A87,'Data shares'!$C:$FB,65)*100</f>
        <v>-29.37</v>
      </c>
    </row>
    <row r="88" spans="1:15" x14ac:dyDescent="0.25">
      <c r="A88" s="101" t="str">
        <f>'Data Vlaue (Cr)'!C83</f>
        <v>HINDALCO</v>
      </c>
      <c r="B88" s="50">
        <f>VLOOKUP($A88,'Data shares'!$C:$FB,7)</f>
        <v>1103.8</v>
      </c>
      <c r="C88" s="50">
        <f>VLOOKUP($A88,'Data shares'!$C:$FB,10)*100</f>
        <v>0.38</v>
      </c>
      <c r="D88" s="49">
        <f>VLOOKUP($A88,'Data shares'!$C:$FB,66)</f>
        <v>42972300</v>
      </c>
      <c r="E88" s="49">
        <f>VLOOKUP($A88,'Data shares'!$C:$FB,67)</f>
        <v>123297300</v>
      </c>
      <c r="F88" s="50">
        <f>VLOOKUP($A88,'Data shares'!$C:$FB,69)*100</f>
        <v>-65.149999999999991</v>
      </c>
      <c r="G88" s="49">
        <f>VLOOKUP($A88,'Data shares'!$C:$FB,42)</f>
        <v>9412200</v>
      </c>
      <c r="H88" s="49">
        <f>VLOOKUP($A88,'Data shares'!$C:$FB,43)</f>
        <v>24486700</v>
      </c>
      <c r="I88" s="50">
        <f>VLOOKUP($A88,'Data shares'!$C:$FB,45)*100</f>
        <v>-61.56</v>
      </c>
      <c r="J88" s="49">
        <f>VLOOKUP($A88,'Data shares'!$C:$FB,58)</f>
        <v>21334600</v>
      </c>
      <c r="K88" s="49">
        <f>VLOOKUP($A88,'Data shares'!$C:$FB,59)</f>
        <v>62670300</v>
      </c>
      <c r="L88" s="50">
        <f>VLOOKUP($A88,'Data shares'!$C:$FB,61)*100</f>
        <v>-65.959999999999994</v>
      </c>
      <c r="M88" s="49">
        <f>VLOOKUP($A88,'Data shares'!$C:$FB,62)</f>
        <v>12225500</v>
      </c>
      <c r="N88" s="49">
        <f>VLOOKUP($A88,'Data shares'!$C:$FB,63)</f>
        <v>36140300</v>
      </c>
      <c r="O88" s="140">
        <f>VLOOKUP($A88,'Data shares'!$C:$FB,65)*100</f>
        <v>-66.17</v>
      </c>
    </row>
    <row r="89" spans="1:15" x14ac:dyDescent="0.25">
      <c r="A89" s="101" t="str">
        <f>'Data Vlaue (Cr)'!C84</f>
        <v>HINDPETRO</v>
      </c>
      <c r="B89" s="50">
        <f>VLOOKUP($A89,'Data shares'!$C:$FB,7)</f>
        <v>398</v>
      </c>
      <c r="C89" s="50">
        <f>VLOOKUP($A89,'Data shares'!$C:$FB,10)*100</f>
        <v>-1.3299999999999998</v>
      </c>
      <c r="D89" s="49">
        <f>VLOOKUP($A89,'Data shares'!$C:$FB,66)</f>
        <v>34556625</v>
      </c>
      <c r="E89" s="49">
        <f>VLOOKUP($A89,'Data shares'!$C:$FB,67)</f>
        <v>115520175</v>
      </c>
      <c r="F89" s="50">
        <f>VLOOKUP($A89,'Data shares'!$C:$FB,69)*100</f>
        <v>-70.09</v>
      </c>
      <c r="G89" s="49">
        <f>VLOOKUP($A89,'Data shares'!$C:$FB,42)</f>
        <v>11392650</v>
      </c>
      <c r="H89" s="49">
        <f>VLOOKUP($A89,'Data shares'!$C:$FB,43)</f>
        <v>31138425</v>
      </c>
      <c r="I89" s="50">
        <f>VLOOKUP($A89,'Data shares'!$C:$FB,45)*100</f>
        <v>-63.41</v>
      </c>
      <c r="J89" s="49">
        <f>VLOOKUP($A89,'Data shares'!$C:$FB,58)</f>
        <v>13326525</v>
      </c>
      <c r="K89" s="49">
        <f>VLOOKUP($A89,'Data shares'!$C:$FB,59)</f>
        <v>59715225</v>
      </c>
      <c r="L89" s="50">
        <f>VLOOKUP($A89,'Data shares'!$C:$FB,61)*100</f>
        <v>-77.680000000000007</v>
      </c>
      <c r="M89" s="49">
        <f>VLOOKUP($A89,'Data shares'!$C:$FB,62)</f>
        <v>9837450</v>
      </c>
      <c r="N89" s="49">
        <f>VLOOKUP($A89,'Data shares'!$C:$FB,63)</f>
        <v>24666525</v>
      </c>
      <c r="O89" s="140">
        <f>VLOOKUP($A89,'Data shares'!$C:$FB,65)*100</f>
        <v>-60.12</v>
      </c>
    </row>
    <row r="90" spans="1:15" x14ac:dyDescent="0.25">
      <c r="A90" s="101" t="str">
        <f>'Data Vlaue (Cr)'!C85</f>
        <v>HINDUNILVR</v>
      </c>
      <c r="B90" s="50">
        <f>VLOOKUP($A90,'Data shares'!$C:$FB,7)</f>
        <v>2209.4</v>
      </c>
      <c r="C90" s="50">
        <f>VLOOKUP($A90,'Data shares'!$C:$FB,10)*100</f>
        <v>0.59</v>
      </c>
      <c r="D90" s="49">
        <f>VLOOKUP($A90,'Data shares'!$C:$FB,66)</f>
        <v>14543400</v>
      </c>
      <c r="E90" s="49">
        <f>VLOOKUP($A90,'Data shares'!$C:$FB,67)</f>
        <v>20222700</v>
      </c>
      <c r="F90" s="50">
        <f>VLOOKUP($A90,'Data shares'!$C:$FB,69)*100</f>
        <v>-28.08</v>
      </c>
      <c r="G90" s="49">
        <f>VLOOKUP($A90,'Data shares'!$C:$FB,42)</f>
        <v>4232100</v>
      </c>
      <c r="H90" s="49">
        <f>VLOOKUP($A90,'Data shares'!$C:$FB,43)</f>
        <v>6984000</v>
      </c>
      <c r="I90" s="50">
        <f>VLOOKUP($A90,'Data shares'!$C:$FB,45)*100</f>
        <v>-39.4</v>
      </c>
      <c r="J90" s="49">
        <f>VLOOKUP($A90,'Data shares'!$C:$FB,58)</f>
        <v>6445800</v>
      </c>
      <c r="K90" s="49">
        <f>VLOOKUP($A90,'Data shares'!$C:$FB,59)</f>
        <v>8659500</v>
      </c>
      <c r="L90" s="50">
        <f>VLOOKUP($A90,'Data shares'!$C:$FB,61)*100</f>
        <v>-25.56</v>
      </c>
      <c r="M90" s="49">
        <f>VLOOKUP($A90,'Data shares'!$C:$FB,62)</f>
        <v>3865500</v>
      </c>
      <c r="N90" s="49">
        <f>VLOOKUP($A90,'Data shares'!$C:$FB,63)</f>
        <v>4579200</v>
      </c>
      <c r="O90" s="140">
        <f>VLOOKUP($A90,'Data shares'!$C:$FB,65)*100</f>
        <v>-15.590000000000002</v>
      </c>
    </row>
    <row r="91" spans="1:15" x14ac:dyDescent="0.25">
      <c r="A91" s="101" t="str">
        <f>'Data Vlaue (Cr)'!C86</f>
        <v>HINDZINC</v>
      </c>
      <c r="B91" s="50">
        <f>VLOOKUP($A91,'Data shares'!$C:$FB,7)</f>
        <v>647.4</v>
      </c>
      <c r="C91" s="50">
        <f>VLOOKUP($A91,'Data shares'!$C:$FB,10)*100</f>
        <v>2.0299999999999998</v>
      </c>
      <c r="D91" s="49">
        <f>VLOOKUP($A91,'Data shares'!$C:$FB,66)</f>
        <v>62138125</v>
      </c>
      <c r="E91" s="49">
        <f>VLOOKUP($A91,'Data shares'!$C:$FB,67)</f>
        <v>74755625</v>
      </c>
      <c r="F91" s="50">
        <f>VLOOKUP($A91,'Data shares'!$C:$FB,69)*100</f>
        <v>-16.88</v>
      </c>
      <c r="G91" s="49">
        <f>VLOOKUP($A91,'Data shares'!$C:$FB,42)</f>
        <v>23349725</v>
      </c>
      <c r="H91" s="49">
        <f>VLOOKUP($A91,'Data shares'!$C:$FB,43)</f>
        <v>20010375</v>
      </c>
      <c r="I91" s="50">
        <f>VLOOKUP($A91,'Data shares'!$C:$FB,45)*100</f>
        <v>16.689999999999998</v>
      </c>
      <c r="J91" s="49">
        <f>VLOOKUP($A91,'Data shares'!$C:$FB,58)</f>
        <v>25968775</v>
      </c>
      <c r="K91" s="49">
        <f>VLOOKUP($A91,'Data shares'!$C:$FB,59)</f>
        <v>40741050</v>
      </c>
      <c r="L91" s="50">
        <f>VLOOKUP($A91,'Data shares'!$C:$FB,61)*100</f>
        <v>-36.26</v>
      </c>
      <c r="M91" s="49">
        <f>VLOOKUP($A91,'Data shares'!$C:$FB,62)</f>
        <v>12819625</v>
      </c>
      <c r="N91" s="49">
        <f>VLOOKUP($A91,'Data shares'!$C:$FB,63)</f>
        <v>14004200</v>
      </c>
      <c r="O91" s="140">
        <f>VLOOKUP($A91,'Data shares'!$C:$FB,65)*100</f>
        <v>-8.4599999999999991</v>
      </c>
    </row>
    <row r="92" spans="1:15" x14ac:dyDescent="0.25">
      <c r="A92" s="101" t="str">
        <f>'Data Vlaue (Cr)'!C87</f>
        <v>HYUNDAI</v>
      </c>
      <c r="B92" s="50">
        <f>VLOOKUP($A92,'Data shares'!$C:$FB,7)</f>
        <v>1884</v>
      </c>
      <c r="C92" s="50">
        <f>VLOOKUP($A92,'Data shares'!$C:$FB,10)*100</f>
        <v>0.16</v>
      </c>
      <c r="D92" s="49">
        <f>VLOOKUP($A92,'Data shares'!$C:$FB,66)</f>
        <v>4778950</v>
      </c>
      <c r="E92" s="49">
        <f>VLOOKUP($A92,'Data shares'!$C:$FB,67)</f>
        <v>13413125</v>
      </c>
      <c r="F92" s="50">
        <f>VLOOKUP($A92,'Data shares'!$C:$FB,69)*100</f>
        <v>-64.37</v>
      </c>
      <c r="G92" s="49">
        <f>VLOOKUP($A92,'Data shares'!$C:$FB,42)</f>
        <v>3466925</v>
      </c>
      <c r="H92" s="49">
        <f>VLOOKUP($A92,'Data shares'!$C:$FB,43)</f>
        <v>8355600</v>
      </c>
      <c r="I92" s="50">
        <f>VLOOKUP($A92,'Data shares'!$C:$FB,45)*100</f>
        <v>-58.51</v>
      </c>
      <c r="J92" s="49">
        <f>VLOOKUP($A92,'Data shares'!$C:$FB,58)</f>
        <v>965525</v>
      </c>
      <c r="K92" s="49">
        <f>VLOOKUP($A92,'Data shares'!$C:$FB,59)</f>
        <v>3872825</v>
      </c>
      <c r="L92" s="50">
        <f>VLOOKUP($A92,'Data shares'!$C:$FB,61)*100</f>
        <v>-75.070000000000007</v>
      </c>
      <c r="M92" s="49">
        <f>VLOOKUP($A92,'Data shares'!$C:$FB,62)</f>
        <v>346500</v>
      </c>
      <c r="N92" s="49">
        <f>VLOOKUP($A92,'Data shares'!$C:$FB,63)</f>
        <v>1184700</v>
      </c>
      <c r="O92" s="140">
        <f>VLOOKUP($A92,'Data shares'!$C:$FB,65)*100</f>
        <v>-70.75</v>
      </c>
    </row>
    <row r="93" spans="1:15" x14ac:dyDescent="0.25">
      <c r="A93" s="101" t="str">
        <f>'Data Vlaue (Cr)'!C88</f>
        <v>ICICIBANK</v>
      </c>
      <c r="B93" s="50">
        <f>VLOOKUP($A93,'Data shares'!$C:$FB,7)</f>
        <v>1279.0999999999999</v>
      </c>
      <c r="C93" s="50">
        <f>VLOOKUP($A93,'Data shares'!$C:$FB,10)*100</f>
        <v>-0.98</v>
      </c>
      <c r="D93" s="49">
        <f>VLOOKUP($A93,'Data shares'!$C:$FB,66)</f>
        <v>117523700</v>
      </c>
      <c r="E93" s="49">
        <f>VLOOKUP($A93,'Data shares'!$C:$FB,67)</f>
        <v>190026200</v>
      </c>
      <c r="F93" s="50">
        <f>VLOOKUP($A93,'Data shares'!$C:$FB,69)*100</f>
        <v>-38.15</v>
      </c>
      <c r="G93" s="49">
        <f>VLOOKUP($A93,'Data shares'!$C:$FB,42)</f>
        <v>46399500</v>
      </c>
      <c r="H93" s="49">
        <f>VLOOKUP($A93,'Data shares'!$C:$FB,43)</f>
        <v>62596800</v>
      </c>
      <c r="I93" s="50">
        <f>VLOOKUP($A93,'Data shares'!$C:$FB,45)*100</f>
        <v>-25.88</v>
      </c>
      <c r="J93" s="49">
        <f>VLOOKUP($A93,'Data shares'!$C:$FB,58)</f>
        <v>42226800</v>
      </c>
      <c r="K93" s="49">
        <f>VLOOKUP($A93,'Data shares'!$C:$FB,59)</f>
        <v>80275300</v>
      </c>
      <c r="L93" s="50">
        <f>VLOOKUP($A93,'Data shares'!$C:$FB,61)*100</f>
        <v>-47.4</v>
      </c>
      <c r="M93" s="49">
        <f>VLOOKUP($A93,'Data shares'!$C:$FB,62)</f>
        <v>28897400</v>
      </c>
      <c r="N93" s="49">
        <f>VLOOKUP($A93,'Data shares'!$C:$FB,63)</f>
        <v>47154100</v>
      </c>
      <c r="O93" s="140">
        <f>VLOOKUP($A93,'Data shares'!$C:$FB,65)*100</f>
        <v>-38.72</v>
      </c>
    </row>
    <row r="94" spans="1:15" x14ac:dyDescent="0.25">
      <c r="A94" s="101" t="str">
        <f>'Data Vlaue (Cr)'!C89</f>
        <v>ICICIGI</v>
      </c>
      <c r="B94" s="50">
        <f>VLOOKUP($A94,'Data shares'!$C:$FB,7)</f>
        <v>1860.3</v>
      </c>
      <c r="C94" s="50">
        <f>VLOOKUP($A94,'Data shares'!$C:$FB,10)*100</f>
        <v>0.32</v>
      </c>
      <c r="D94" s="49">
        <f>VLOOKUP($A94,'Data shares'!$C:$FB,66)</f>
        <v>4391400</v>
      </c>
      <c r="E94" s="49">
        <f>VLOOKUP($A94,'Data shares'!$C:$FB,67)</f>
        <v>3858400</v>
      </c>
      <c r="F94" s="50">
        <f>VLOOKUP($A94,'Data shares'!$C:$FB,69)*100</f>
        <v>13.81</v>
      </c>
      <c r="G94" s="49">
        <f>VLOOKUP($A94,'Data shares'!$C:$FB,42)</f>
        <v>1165125</v>
      </c>
      <c r="H94" s="49">
        <f>VLOOKUP($A94,'Data shares'!$C:$FB,43)</f>
        <v>2363400</v>
      </c>
      <c r="I94" s="50">
        <f>VLOOKUP($A94,'Data shares'!$C:$FB,45)*100</f>
        <v>-50.7</v>
      </c>
      <c r="J94" s="49">
        <f>VLOOKUP($A94,'Data shares'!$C:$FB,58)</f>
        <v>2306200</v>
      </c>
      <c r="K94" s="49">
        <f>VLOOKUP($A94,'Data shares'!$C:$FB,59)</f>
        <v>1242150</v>
      </c>
      <c r="L94" s="50">
        <f>VLOOKUP($A94,'Data shares'!$C:$FB,61)*100</f>
        <v>85.66</v>
      </c>
      <c r="M94" s="49">
        <f>VLOOKUP($A94,'Data shares'!$C:$FB,62)</f>
        <v>920075</v>
      </c>
      <c r="N94" s="49">
        <f>VLOOKUP($A94,'Data shares'!$C:$FB,63)</f>
        <v>252850</v>
      </c>
      <c r="O94" s="140">
        <f>VLOOKUP($A94,'Data shares'!$C:$FB,65)*100</f>
        <v>263.88</v>
      </c>
    </row>
    <row r="95" spans="1:15" x14ac:dyDescent="0.25">
      <c r="A95" s="101" t="str">
        <f>'Data Vlaue (Cr)'!C90</f>
        <v>ICICIPRULI</v>
      </c>
      <c r="B95" s="50">
        <f>VLOOKUP($A95,'Data shares'!$C:$FB,7)</f>
        <v>522.70000000000005</v>
      </c>
      <c r="C95" s="50">
        <f>VLOOKUP($A95,'Data shares'!$C:$FB,10)*100</f>
        <v>-0.76</v>
      </c>
      <c r="D95" s="49">
        <f>VLOOKUP($A95,'Data shares'!$C:$FB,66)</f>
        <v>7864350</v>
      </c>
      <c r="E95" s="49">
        <f>VLOOKUP($A95,'Data shares'!$C:$FB,67)</f>
        <v>16047825</v>
      </c>
      <c r="F95" s="50">
        <f>VLOOKUP($A95,'Data shares'!$C:$FB,69)*100</f>
        <v>-50.99</v>
      </c>
      <c r="G95" s="49">
        <f>VLOOKUP($A95,'Data shares'!$C:$FB,42)</f>
        <v>5654525</v>
      </c>
      <c r="H95" s="49">
        <f>VLOOKUP($A95,'Data shares'!$C:$FB,43)</f>
        <v>9898425</v>
      </c>
      <c r="I95" s="50">
        <f>VLOOKUP($A95,'Data shares'!$C:$FB,45)*100</f>
        <v>-42.870000000000005</v>
      </c>
      <c r="J95" s="49">
        <f>VLOOKUP($A95,'Data shares'!$C:$FB,58)</f>
        <v>1193250</v>
      </c>
      <c r="K95" s="49">
        <f>VLOOKUP($A95,'Data shares'!$C:$FB,59)</f>
        <v>4111625</v>
      </c>
      <c r="L95" s="50">
        <f>VLOOKUP($A95,'Data shares'!$C:$FB,61)*100</f>
        <v>-70.98</v>
      </c>
      <c r="M95" s="49">
        <f>VLOOKUP($A95,'Data shares'!$C:$FB,62)</f>
        <v>1016575</v>
      </c>
      <c r="N95" s="49">
        <f>VLOOKUP($A95,'Data shares'!$C:$FB,63)</f>
        <v>2037775</v>
      </c>
      <c r="O95" s="140">
        <f>VLOOKUP($A95,'Data shares'!$C:$FB,65)*100</f>
        <v>-50.11</v>
      </c>
    </row>
    <row r="96" spans="1:15" x14ac:dyDescent="0.25">
      <c r="A96" s="101" t="str">
        <f>'Data Vlaue (Cr)'!C91</f>
        <v>IDEA</v>
      </c>
      <c r="B96" s="50">
        <f>VLOOKUP($A96,'Data shares'!$C:$FB,7)</f>
        <v>14.14</v>
      </c>
      <c r="C96" s="50">
        <f>VLOOKUP($A96,'Data shares'!$C:$FB,10)*100</f>
        <v>0.71000000000000008</v>
      </c>
      <c r="D96" s="49">
        <f>VLOOKUP($A96,'Data shares'!$C:$FB,66)</f>
        <v>4721495550</v>
      </c>
      <c r="E96" s="49">
        <f>VLOOKUP($A96,'Data shares'!$C:$FB,67)</f>
        <v>5455043475</v>
      </c>
      <c r="F96" s="50">
        <f>VLOOKUP($A96,'Data shares'!$C:$FB,69)*100</f>
        <v>-13.450000000000001</v>
      </c>
      <c r="G96" s="49">
        <f>VLOOKUP($A96,'Data shares'!$C:$FB,42)</f>
        <v>2723769300</v>
      </c>
      <c r="H96" s="49">
        <f>VLOOKUP($A96,'Data shares'!$C:$FB,43)</f>
        <v>2977076700</v>
      </c>
      <c r="I96" s="50">
        <f>VLOOKUP($A96,'Data shares'!$C:$FB,45)*100</f>
        <v>-8.51</v>
      </c>
      <c r="J96" s="49">
        <f>VLOOKUP($A96,'Data shares'!$C:$FB,58)</f>
        <v>1467739125</v>
      </c>
      <c r="K96" s="49">
        <f>VLOOKUP($A96,'Data shares'!$C:$FB,59)</f>
        <v>1817251875</v>
      </c>
      <c r="L96" s="50">
        <f>VLOOKUP($A96,'Data shares'!$C:$FB,61)*100</f>
        <v>-19.23</v>
      </c>
      <c r="M96" s="49">
        <f>VLOOKUP($A96,'Data shares'!$C:$FB,62)</f>
        <v>529987125</v>
      </c>
      <c r="N96" s="49">
        <f>VLOOKUP($A96,'Data shares'!$C:$FB,63)</f>
        <v>660714900</v>
      </c>
      <c r="O96" s="140">
        <f>VLOOKUP($A96,'Data shares'!$C:$FB,65)*100</f>
        <v>-19.79</v>
      </c>
    </row>
    <row r="97" spans="1:15" x14ac:dyDescent="0.25">
      <c r="A97" s="101" t="str">
        <f>'Data Vlaue (Cr)'!C92</f>
        <v>IDFCFIRSTB</v>
      </c>
      <c r="B97" s="50">
        <f>VLOOKUP($A97,'Data shares'!$C:$FB,7)</f>
        <v>70.22</v>
      </c>
      <c r="C97" s="50">
        <f>VLOOKUP($A97,'Data shares'!$C:$FB,10)*100</f>
        <v>1.0900000000000001</v>
      </c>
      <c r="D97" s="49">
        <f>VLOOKUP($A97,'Data shares'!$C:$FB,66)</f>
        <v>295853950</v>
      </c>
      <c r="E97" s="49">
        <f>VLOOKUP($A97,'Data shares'!$C:$FB,67)</f>
        <v>368746175</v>
      </c>
      <c r="F97" s="50">
        <f>VLOOKUP($A97,'Data shares'!$C:$FB,69)*100</f>
        <v>-19.77</v>
      </c>
      <c r="G97" s="49">
        <f>VLOOKUP($A97,'Data shares'!$C:$FB,42)</f>
        <v>167376650</v>
      </c>
      <c r="H97" s="49">
        <f>VLOOKUP($A97,'Data shares'!$C:$FB,43)</f>
        <v>197223600</v>
      </c>
      <c r="I97" s="50">
        <f>VLOOKUP($A97,'Data shares'!$C:$FB,45)*100</f>
        <v>-15.129999999999999</v>
      </c>
      <c r="J97" s="49">
        <f>VLOOKUP($A97,'Data shares'!$C:$FB,58)</f>
        <v>78401575</v>
      </c>
      <c r="K97" s="49">
        <f>VLOOKUP($A97,'Data shares'!$C:$FB,59)</f>
        <v>92434650</v>
      </c>
      <c r="L97" s="50">
        <f>VLOOKUP($A97,'Data shares'!$C:$FB,61)*100</f>
        <v>-15.18</v>
      </c>
      <c r="M97" s="49">
        <f>VLOOKUP($A97,'Data shares'!$C:$FB,62)</f>
        <v>50075725</v>
      </c>
      <c r="N97" s="49">
        <f>VLOOKUP($A97,'Data shares'!$C:$FB,63)</f>
        <v>79087925</v>
      </c>
      <c r="O97" s="140">
        <f>VLOOKUP($A97,'Data shares'!$C:$FB,65)*100</f>
        <v>-36.68</v>
      </c>
    </row>
    <row r="98" spans="1:15" x14ac:dyDescent="0.25">
      <c r="A98" s="101" t="str">
        <f>'Data Vlaue (Cr)'!C93</f>
        <v>IEX</v>
      </c>
      <c r="B98" s="50">
        <f>VLOOKUP($A98,'Data shares'!$C:$FB,7)</f>
        <v>127.47</v>
      </c>
      <c r="C98" s="50">
        <f>VLOOKUP($A98,'Data shares'!$C:$FB,10)*100</f>
        <v>-0.09</v>
      </c>
      <c r="D98" s="49">
        <f>VLOOKUP($A98,'Data shares'!$C:$FB,66)</f>
        <v>77043750</v>
      </c>
      <c r="E98" s="49">
        <f>VLOOKUP($A98,'Data shares'!$C:$FB,67)</f>
        <v>109481250</v>
      </c>
      <c r="F98" s="50">
        <f>VLOOKUP($A98,'Data shares'!$C:$FB,69)*100</f>
        <v>-29.630000000000003</v>
      </c>
      <c r="G98" s="49">
        <f>VLOOKUP($A98,'Data shares'!$C:$FB,42)</f>
        <v>36671250</v>
      </c>
      <c r="H98" s="49">
        <f>VLOOKUP($A98,'Data shares'!$C:$FB,43)</f>
        <v>60457500</v>
      </c>
      <c r="I98" s="50">
        <f>VLOOKUP($A98,'Data shares'!$C:$FB,45)*100</f>
        <v>-39.340000000000003</v>
      </c>
      <c r="J98" s="49">
        <f>VLOOKUP($A98,'Data shares'!$C:$FB,58)</f>
        <v>30997500</v>
      </c>
      <c r="K98" s="49">
        <f>VLOOKUP($A98,'Data shares'!$C:$FB,59)</f>
        <v>35377500</v>
      </c>
      <c r="L98" s="50">
        <f>VLOOKUP($A98,'Data shares'!$C:$FB,61)*100</f>
        <v>-12.379999999999999</v>
      </c>
      <c r="M98" s="49">
        <f>VLOOKUP($A98,'Data shares'!$C:$FB,62)</f>
        <v>9375000</v>
      </c>
      <c r="N98" s="49">
        <f>VLOOKUP($A98,'Data shares'!$C:$FB,63)</f>
        <v>13646250</v>
      </c>
      <c r="O98" s="140">
        <f>VLOOKUP($A98,'Data shares'!$C:$FB,65)*100</f>
        <v>-31.3</v>
      </c>
    </row>
    <row r="99" spans="1:15" x14ac:dyDescent="0.25">
      <c r="A99" s="101" t="str">
        <f>'Data Vlaue (Cr)'!C94</f>
        <v>INDHOTEL</v>
      </c>
      <c r="B99" s="50">
        <f>VLOOKUP($A99,'Data shares'!$C:$FB,7)</f>
        <v>657.15</v>
      </c>
      <c r="C99" s="50">
        <f>VLOOKUP($A99,'Data shares'!$C:$FB,10)*100</f>
        <v>-0.96</v>
      </c>
      <c r="D99" s="49">
        <f>VLOOKUP($A99,'Data shares'!$C:$FB,66)</f>
        <v>14141000</v>
      </c>
      <c r="E99" s="49">
        <f>VLOOKUP($A99,'Data shares'!$C:$FB,67)</f>
        <v>22960000</v>
      </c>
      <c r="F99" s="50">
        <f>VLOOKUP($A99,'Data shares'!$C:$FB,69)*100</f>
        <v>-38.409999999999997</v>
      </c>
      <c r="G99" s="49">
        <f>VLOOKUP($A99,'Data shares'!$C:$FB,42)</f>
        <v>7019000</v>
      </c>
      <c r="H99" s="49">
        <f>VLOOKUP($A99,'Data shares'!$C:$FB,43)</f>
        <v>13137000</v>
      </c>
      <c r="I99" s="50">
        <f>VLOOKUP($A99,'Data shares'!$C:$FB,45)*100</f>
        <v>-46.57</v>
      </c>
      <c r="J99" s="49">
        <f>VLOOKUP($A99,'Data shares'!$C:$FB,58)</f>
        <v>4509000</v>
      </c>
      <c r="K99" s="49">
        <f>VLOOKUP($A99,'Data shares'!$C:$FB,59)</f>
        <v>5835000</v>
      </c>
      <c r="L99" s="50">
        <f>VLOOKUP($A99,'Data shares'!$C:$FB,61)*100</f>
        <v>-22.720000000000002</v>
      </c>
      <c r="M99" s="49">
        <f>VLOOKUP($A99,'Data shares'!$C:$FB,62)</f>
        <v>2613000</v>
      </c>
      <c r="N99" s="49">
        <f>VLOOKUP($A99,'Data shares'!$C:$FB,63)</f>
        <v>3988000</v>
      </c>
      <c r="O99" s="140">
        <f>VLOOKUP($A99,'Data shares'!$C:$FB,65)*100</f>
        <v>-34.479999999999997</v>
      </c>
    </row>
    <row r="100" spans="1:15" x14ac:dyDescent="0.25">
      <c r="A100" s="101" t="str">
        <f>'Data Vlaue (Cr)'!C95</f>
        <v>INDIANB</v>
      </c>
      <c r="B100" s="50">
        <f>VLOOKUP($A100,'Data shares'!$C:$FB,7)</f>
        <v>833.55</v>
      </c>
      <c r="C100" s="50">
        <f>VLOOKUP($A100,'Data shares'!$C:$FB,10)*100</f>
        <v>-0.79</v>
      </c>
      <c r="D100" s="49">
        <f>VLOOKUP($A100,'Data shares'!$C:$FB,66)</f>
        <v>12659000</v>
      </c>
      <c r="E100" s="49">
        <f>VLOOKUP($A100,'Data shares'!$C:$FB,67)</f>
        <v>22969000</v>
      </c>
      <c r="F100" s="50">
        <f>VLOOKUP($A100,'Data shares'!$C:$FB,69)*100</f>
        <v>-44.89</v>
      </c>
      <c r="G100" s="49">
        <f>VLOOKUP($A100,'Data shares'!$C:$FB,42)</f>
        <v>6828000</v>
      </c>
      <c r="H100" s="49">
        <f>VLOOKUP($A100,'Data shares'!$C:$FB,43)</f>
        <v>9627000</v>
      </c>
      <c r="I100" s="50">
        <f>VLOOKUP($A100,'Data shares'!$C:$FB,45)*100</f>
        <v>-29.07</v>
      </c>
      <c r="J100" s="49">
        <f>VLOOKUP($A100,'Data shares'!$C:$FB,58)</f>
        <v>3819000</v>
      </c>
      <c r="K100" s="49">
        <f>VLOOKUP($A100,'Data shares'!$C:$FB,59)</f>
        <v>9524000</v>
      </c>
      <c r="L100" s="50">
        <f>VLOOKUP($A100,'Data shares'!$C:$FB,61)*100</f>
        <v>-59.9</v>
      </c>
      <c r="M100" s="49">
        <f>VLOOKUP($A100,'Data shares'!$C:$FB,62)</f>
        <v>2012000</v>
      </c>
      <c r="N100" s="49">
        <f>VLOOKUP($A100,'Data shares'!$C:$FB,63)</f>
        <v>3818000</v>
      </c>
      <c r="O100" s="140">
        <f>VLOOKUP($A100,'Data shares'!$C:$FB,65)*100</f>
        <v>-47.3</v>
      </c>
    </row>
    <row r="101" spans="1:15" x14ac:dyDescent="0.25">
      <c r="A101" s="101" t="str">
        <f>'Data Vlaue (Cr)'!C96</f>
        <v>INDIAVIX</v>
      </c>
      <c r="B101" s="50">
        <f>VLOOKUP($A101,'Data shares'!$C:$FB,7)</f>
        <v>16.13</v>
      </c>
      <c r="C101" s="50">
        <f>VLOOKUP($A101,'Data shares'!$C:$FB,10)*100</f>
        <v>-3.4000000000000004</v>
      </c>
      <c r="D101" s="49">
        <f>VLOOKUP($A101,'Data shares'!$C:$FB,66)</f>
        <v>0</v>
      </c>
      <c r="E101" s="49">
        <f>VLOOKUP($A101,'Data shares'!$C:$FB,67)</f>
        <v>0</v>
      </c>
      <c r="F101" s="50">
        <f>VLOOKUP($A101,'Data shares'!$C:$FB,69)*100</f>
        <v>0</v>
      </c>
      <c r="G101" s="49">
        <f>VLOOKUP($A101,'Data shares'!$C:$FB,42)</f>
        <v>0</v>
      </c>
      <c r="H101" s="49">
        <f>VLOOKUP($A101,'Data shares'!$C:$FB,43)</f>
        <v>0</v>
      </c>
      <c r="I101" s="50">
        <f>VLOOKUP($A101,'Data shares'!$C:$FB,45)*100</f>
        <v>0</v>
      </c>
      <c r="J101" s="49">
        <f>VLOOKUP($A101,'Data shares'!$C:$FB,58)</f>
        <v>0</v>
      </c>
      <c r="K101" s="49">
        <f>VLOOKUP($A101,'Data shares'!$C:$FB,59)</f>
        <v>0</v>
      </c>
      <c r="L101" s="50">
        <f>VLOOKUP($A101,'Data shares'!$C:$FB,61)*100</f>
        <v>0</v>
      </c>
      <c r="M101" s="49">
        <f>VLOOKUP($A101,'Data shares'!$C:$FB,62)</f>
        <v>0</v>
      </c>
      <c r="N101" s="49">
        <f>VLOOKUP($A101,'Data shares'!$C:$FB,63)</f>
        <v>0</v>
      </c>
      <c r="O101" s="140">
        <f>VLOOKUP($A101,'Data shares'!$C:$FB,65)*100</f>
        <v>0</v>
      </c>
    </row>
    <row r="102" spans="1:15" x14ac:dyDescent="0.25">
      <c r="A102" s="101" t="str">
        <f>'Data Vlaue (Cr)'!C97</f>
        <v>INDIGO</v>
      </c>
      <c r="B102" s="50">
        <f>VLOOKUP($A102,'Data shares'!$C:$FB,7)</f>
        <v>4480.8</v>
      </c>
      <c r="C102" s="50">
        <f>VLOOKUP($A102,'Data shares'!$C:$FB,10)*100</f>
        <v>-0.47000000000000003</v>
      </c>
      <c r="D102" s="49">
        <f>VLOOKUP($A102,'Data shares'!$C:$FB,66)</f>
        <v>16052250</v>
      </c>
      <c r="E102" s="49">
        <f>VLOOKUP($A102,'Data shares'!$C:$FB,67)</f>
        <v>55756350</v>
      </c>
      <c r="F102" s="50">
        <f>VLOOKUP($A102,'Data shares'!$C:$FB,69)*100</f>
        <v>-71.209999999999994</v>
      </c>
      <c r="G102" s="49">
        <f>VLOOKUP($A102,'Data shares'!$C:$FB,42)</f>
        <v>4200300</v>
      </c>
      <c r="H102" s="49">
        <f>VLOOKUP($A102,'Data shares'!$C:$FB,43)</f>
        <v>6539400</v>
      </c>
      <c r="I102" s="50">
        <f>VLOOKUP($A102,'Data shares'!$C:$FB,45)*100</f>
        <v>-35.770000000000003</v>
      </c>
      <c r="J102" s="49">
        <f>VLOOKUP($A102,'Data shares'!$C:$FB,58)</f>
        <v>7216350</v>
      </c>
      <c r="K102" s="49">
        <f>VLOOKUP($A102,'Data shares'!$C:$FB,59)</f>
        <v>20587350</v>
      </c>
      <c r="L102" s="50">
        <f>VLOOKUP($A102,'Data shares'!$C:$FB,61)*100</f>
        <v>-64.95</v>
      </c>
      <c r="M102" s="49">
        <f>VLOOKUP($A102,'Data shares'!$C:$FB,62)</f>
        <v>4635600</v>
      </c>
      <c r="N102" s="49">
        <f>VLOOKUP($A102,'Data shares'!$C:$FB,63)</f>
        <v>28629600</v>
      </c>
      <c r="O102" s="140">
        <f>VLOOKUP($A102,'Data shares'!$C:$FB,65)*100</f>
        <v>-83.81</v>
      </c>
    </row>
    <row r="103" spans="1:15" x14ac:dyDescent="0.25">
      <c r="A103" s="101" t="str">
        <f>'Data Vlaue (Cr)'!C98</f>
        <v>INDUSINDBK</v>
      </c>
      <c r="B103" s="50">
        <f>VLOOKUP($A103,'Data shares'!$C:$FB,7)</f>
        <v>932.3</v>
      </c>
      <c r="C103" s="50">
        <f>VLOOKUP($A103,'Data shares'!$C:$FB,10)*100</f>
        <v>0.67</v>
      </c>
      <c r="D103" s="49">
        <f>VLOOKUP($A103,'Data shares'!$C:$FB,66)</f>
        <v>16401000</v>
      </c>
      <c r="E103" s="49">
        <f>VLOOKUP($A103,'Data shares'!$C:$FB,67)</f>
        <v>36265600</v>
      </c>
      <c r="F103" s="50">
        <f>VLOOKUP($A103,'Data shares'!$C:$FB,69)*100</f>
        <v>-54.779999999999994</v>
      </c>
      <c r="G103" s="49">
        <f>VLOOKUP($A103,'Data shares'!$C:$FB,42)</f>
        <v>9237200</v>
      </c>
      <c r="H103" s="49">
        <f>VLOOKUP($A103,'Data shares'!$C:$FB,43)</f>
        <v>19050500</v>
      </c>
      <c r="I103" s="50">
        <f>VLOOKUP($A103,'Data shares'!$C:$FB,45)*100</f>
        <v>-51.51</v>
      </c>
      <c r="J103" s="49">
        <f>VLOOKUP($A103,'Data shares'!$C:$FB,58)</f>
        <v>4471600</v>
      </c>
      <c r="K103" s="49">
        <f>VLOOKUP($A103,'Data shares'!$C:$FB,59)</f>
        <v>10980900</v>
      </c>
      <c r="L103" s="50">
        <f>VLOOKUP($A103,'Data shares'!$C:$FB,61)*100</f>
        <v>-59.28</v>
      </c>
      <c r="M103" s="49">
        <f>VLOOKUP($A103,'Data shares'!$C:$FB,62)</f>
        <v>2692200</v>
      </c>
      <c r="N103" s="49">
        <f>VLOOKUP($A103,'Data shares'!$C:$FB,63)</f>
        <v>6234200</v>
      </c>
      <c r="O103" s="140">
        <f>VLOOKUP($A103,'Data shares'!$C:$FB,65)*100</f>
        <v>-56.820000000000007</v>
      </c>
    </row>
    <row r="104" spans="1:15" x14ac:dyDescent="0.25">
      <c r="A104" s="101" t="str">
        <f>'Data Vlaue (Cr)'!C99</f>
        <v>INDUSTOWER</v>
      </c>
      <c r="B104" s="50">
        <f>VLOOKUP($A104,'Data shares'!$C:$FB,7)</f>
        <v>433.25</v>
      </c>
      <c r="C104" s="50">
        <f>VLOOKUP($A104,'Data shares'!$C:$FB,10)*100</f>
        <v>-1.28</v>
      </c>
      <c r="D104" s="49">
        <f>VLOOKUP($A104,'Data shares'!$C:$FB,66)</f>
        <v>107212200</v>
      </c>
      <c r="E104" s="49">
        <f>VLOOKUP($A104,'Data shares'!$C:$FB,67)</f>
        <v>89836500</v>
      </c>
      <c r="F104" s="50">
        <f>VLOOKUP($A104,'Data shares'!$C:$FB,69)*100</f>
        <v>19.34</v>
      </c>
      <c r="G104" s="49">
        <f>VLOOKUP($A104,'Data shares'!$C:$FB,42)</f>
        <v>32313600</v>
      </c>
      <c r="H104" s="49">
        <f>VLOOKUP($A104,'Data shares'!$C:$FB,43)</f>
        <v>41468100</v>
      </c>
      <c r="I104" s="50">
        <f>VLOOKUP($A104,'Data shares'!$C:$FB,45)*100</f>
        <v>-22.08</v>
      </c>
      <c r="J104" s="49">
        <f>VLOOKUP($A104,'Data shares'!$C:$FB,58)</f>
        <v>50083700</v>
      </c>
      <c r="K104" s="49">
        <f>VLOOKUP($A104,'Data shares'!$C:$FB,59)</f>
        <v>32475100</v>
      </c>
      <c r="L104" s="50">
        <f>VLOOKUP($A104,'Data shares'!$C:$FB,61)*100</f>
        <v>54.22</v>
      </c>
      <c r="M104" s="49">
        <f>VLOOKUP($A104,'Data shares'!$C:$FB,62)</f>
        <v>24814900</v>
      </c>
      <c r="N104" s="49">
        <f>VLOOKUP($A104,'Data shares'!$C:$FB,63)</f>
        <v>15893300</v>
      </c>
      <c r="O104" s="140">
        <f>VLOOKUP($A104,'Data shares'!$C:$FB,65)*100</f>
        <v>56.13</v>
      </c>
    </row>
    <row r="105" spans="1:15" x14ac:dyDescent="0.25">
      <c r="A105" s="101" t="str">
        <f>'Data Vlaue (Cr)'!C100</f>
        <v>INFY</v>
      </c>
      <c r="B105" s="50">
        <f>VLOOKUP($A105,'Data shares'!$C:$FB,7)</f>
        <v>1167.7</v>
      </c>
      <c r="C105" s="50">
        <f>VLOOKUP($A105,'Data shares'!$C:$FB,10)*100</f>
        <v>-6.9999999999999993E-2</v>
      </c>
      <c r="D105" s="49">
        <f>VLOOKUP($A105,'Data shares'!$C:$FB,66)</f>
        <v>74278400</v>
      </c>
      <c r="E105" s="49">
        <f>VLOOKUP($A105,'Data shares'!$C:$FB,67)</f>
        <v>134382000</v>
      </c>
      <c r="F105" s="50">
        <f>VLOOKUP($A105,'Data shares'!$C:$FB,69)*100</f>
        <v>-44.73</v>
      </c>
      <c r="G105" s="49">
        <f>VLOOKUP($A105,'Data shares'!$C:$FB,42)</f>
        <v>23141200</v>
      </c>
      <c r="H105" s="49">
        <f>VLOOKUP($A105,'Data shares'!$C:$FB,43)</f>
        <v>56842400</v>
      </c>
      <c r="I105" s="50">
        <f>VLOOKUP($A105,'Data shares'!$C:$FB,45)*100</f>
        <v>-59.29</v>
      </c>
      <c r="J105" s="49">
        <f>VLOOKUP($A105,'Data shares'!$C:$FB,58)</f>
        <v>31910000</v>
      </c>
      <c r="K105" s="49">
        <f>VLOOKUP($A105,'Data shares'!$C:$FB,59)</f>
        <v>48078800</v>
      </c>
      <c r="L105" s="50">
        <f>VLOOKUP($A105,'Data shares'!$C:$FB,61)*100</f>
        <v>-33.629999999999995</v>
      </c>
      <c r="M105" s="49">
        <f>VLOOKUP($A105,'Data shares'!$C:$FB,62)</f>
        <v>19227200</v>
      </c>
      <c r="N105" s="49">
        <f>VLOOKUP($A105,'Data shares'!$C:$FB,63)</f>
        <v>29460800</v>
      </c>
      <c r="O105" s="140">
        <f>VLOOKUP($A105,'Data shares'!$C:$FB,65)*100</f>
        <v>-34.74</v>
      </c>
    </row>
    <row r="106" spans="1:15" x14ac:dyDescent="0.25">
      <c r="A106" s="101" t="str">
        <f>'Data Vlaue (Cr)'!C101</f>
        <v>INOXWIND</v>
      </c>
      <c r="B106" s="50">
        <f>VLOOKUP($A106,'Data shares'!$C:$FB,7)</f>
        <v>96.22</v>
      </c>
      <c r="C106" s="50">
        <f>VLOOKUP($A106,'Data shares'!$C:$FB,10)*100</f>
        <v>-0.85000000000000009</v>
      </c>
      <c r="D106" s="49">
        <f>VLOOKUP($A106,'Data shares'!$C:$FB,66)</f>
        <v>121138875</v>
      </c>
      <c r="E106" s="49">
        <f>VLOOKUP($A106,'Data shares'!$C:$FB,67)</f>
        <v>115458200</v>
      </c>
      <c r="F106" s="50">
        <f>VLOOKUP($A106,'Data shares'!$C:$FB,69)*100</f>
        <v>4.92</v>
      </c>
      <c r="G106" s="49">
        <f>VLOOKUP($A106,'Data shares'!$C:$FB,42)</f>
        <v>71685900</v>
      </c>
      <c r="H106" s="49">
        <f>VLOOKUP($A106,'Data shares'!$C:$FB,43)</f>
        <v>65704925</v>
      </c>
      <c r="I106" s="50">
        <f>VLOOKUP($A106,'Data shares'!$C:$FB,45)*100</f>
        <v>9.1</v>
      </c>
      <c r="J106" s="49">
        <f>VLOOKUP($A106,'Data shares'!$C:$FB,58)</f>
        <v>40175850</v>
      </c>
      <c r="K106" s="49">
        <f>VLOOKUP($A106,'Data shares'!$C:$FB,59)</f>
        <v>36625875</v>
      </c>
      <c r="L106" s="50">
        <f>VLOOKUP($A106,'Data shares'!$C:$FB,61)*100</f>
        <v>9.69</v>
      </c>
      <c r="M106" s="49">
        <f>VLOOKUP($A106,'Data shares'!$C:$FB,62)</f>
        <v>9277125</v>
      </c>
      <c r="N106" s="49">
        <f>VLOOKUP($A106,'Data shares'!$C:$FB,63)</f>
        <v>13127400</v>
      </c>
      <c r="O106" s="140">
        <f>VLOOKUP($A106,'Data shares'!$C:$FB,65)*100</f>
        <v>-29.330000000000002</v>
      </c>
    </row>
    <row r="107" spans="1:15" x14ac:dyDescent="0.25">
      <c r="A107" s="101" t="str">
        <f>'Data Vlaue (Cr)'!C102</f>
        <v>IOC</v>
      </c>
      <c r="B107" s="50">
        <f>VLOOKUP($A107,'Data shares'!$C:$FB,7)</f>
        <v>142.38</v>
      </c>
      <c r="C107" s="50">
        <f>VLOOKUP($A107,'Data shares'!$C:$FB,10)*100</f>
        <v>-1.0900000000000001</v>
      </c>
      <c r="D107" s="49">
        <f>VLOOKUP($A107,'Data shares'!$C:$FB,66)</f>
        <v>126964500</v>
      </c>
      <c r="E107" s="49">
        <f>VLOOKUP($A107,'Data shares'!$C:$FB,67)</f>
        <v>299632125</v>
      </c>
      <c r="F107" s="50">
        <f>VLOOKUP($A107,'Data shares'!$C:$FB,69)*100</f>
        <v>-57.63</v>
      </c>
      <c r="G107" s="49">
        <f>VLOOKUP($A107,'Data shares'!$C:$FB,42)</f>
        <v>42232125</v>
      </c>
      <c r="H107" s="49">
        <f>VLOOKUP($A107,'Data shares'!$C:$FB,43)</f>
        <v>79379625</v>
      </c>
      <c r="I107" s="50">
        <f>VLOOKUP($A107,'Data shares'!$C:$FB,45)*100</f>
        <v>-46.800000000000004</v>
      </c>
      <c r="J107" s="49">
        <f>VLOOKUP($A107,'Data shares'!$C:$FB,58)</f>
        <v>48959625</v>
      </c>
      <c r="K107" s="49">
        <f>VLOOKUP($A107,'Data shares'!$C:$FB,59)</f>
        <v>142198875</v>
      </c>
      <c r="L107" s="50">
        <f>VLOOKUP($A107,'Data shares'!$C:$FB,61)*100</f>
        <v>-65.569999999999993</v>
      </c>
      <c r="M107" s="49">
        <f>VLOOKUP($A107,'Data shares'!$C:$FB,62)</f>
        <v>35772750</v>
      </c>
      <c r="N107" s="49">
        <f>VLOOKUP($A107,'Data shares'!$C:$FB,63)</f>
        <v>78053625</v>
      </c>
      <c r="O107" s="140">
        <f>VLOOKUP($A107,'Data shares'!$C:$FB,65)*100</f>
        <v>-54.169999999999995</v>
      </c>
    </row>
    <row r="108" spans="1:15" x14ac:dyDescent="0.25">
      <c r="A108" s="101" t="str">
        <f>'Data Vlaue (Cr)'!C103</f>
        <v>IREDA</v>
      </c>
      <c r="B108" s="50">
        <f>VLOOKUP($A108,'Data shares'!$C:$FB,7)</f>
        <v>129.54</v>
      </c>
      <c r="C108" s="50">
        <f>VLOOKUP($A108,'Data shares'!$C:$FB,10)*100</f>
        <v>-0.18</v>
      </c>
      <c r="D108" s="49">
        <f>VLOOKUP($A108,'Data shares'!$C:$FB,66)</f>
        <v>37094400</v>
      </c>
      <c r="E108" s="49">
        <f>VLOOKUP($A108,'Data shares'!$C:$FB,67)</f>
        <v>85646250</v>
      </c>
      <c r="F108" s="50">
        <f>VLOOKUP($A108,'Data shares'!$C:$FB,69)*100</f>
        <v>-56.69</v>
      </c>
      <c r="G108" s="49">
        <f>VLOOKUP($A108,'Data shares'!$C:$FB,42)</f>
        <v>19123350</v>
      </c>
      <c r="H108" s="49">
        <f>VLOOKUP($A108,'Data shares'!$C:$FB,43)</f>
        <v>43380300</v>
      </c>
      <c r="I108" s="50">
        <f>VLOOKUP($A108,'Data shares'!$C:$FB,45)*100</f>
        <v>-55.92</v>
      </c>
      <c r="J108" s="49">
        <f>VLOOKUP($A108,'Data shares'!$C:$FB,58)</f>
        <v>11947350</v>
      </c>
      <c r="K108" s="49">
        <f>VLOOKUP($A108,'Data shares'!$C:$FB,59)</f>
        <v>29097300</v>
      </c>
      <c r="L108" s="50">
        <f>VLOOKUP($A108,'Data shares'!$C:$FB,61)*100</f>
        <v>-58.940000000000005</v>
      </c>
      <c r="M108" s="49">
        <f>VLOOKUP($A108,'Data shares'!$C:$FB,62)</f>
        <v>6023700</v>
      </c>
      <c r="N108" s="49">
        <f>VLOOKUP($A108,'Data shares'!$C:$FB,63)</f>
        <v>13168650</v>
      </c>
      <c r="O108" s="140">
        <f>VLOOKUP($A108,'Data shares'!$C:$FB,65)*100</f>
        <v>-54.26</v>
      </c>
    </row>
    <row r="109" spans="1:15" x14ac:dyDescent="0.25">
      <c r="A109" s="101" t="str">
        <f>'Data Vlaue (Cr)'!C104</f>
        <v>IRFC</v>
      </c>
      <c r="B109" s="50">
        <f>VLOOKUP($A109,'Data shares'!$C:$FB,7)</f>
        <v>99.28</v>
      </c>
      <c r="C109" s="50">
        <f>VLOOKUP($A109,'Data shares'!$C:$FB,10)*100</f>
        <v>-1.1599999999999999</v>
      </c>
      <c r="D109" s="49">
        <f>VLOOKUP($A109,'Data shares'!$C:$FB,66)</f>
        <v>80890250</v>
      </c>
      <c r="E109" s="49">
        <f>VLOOKUP($A109,'Data shares'!$C:$FB,67)</f>
        <v>131112500</v>
      </c>
      <c r="F109" s="50">
        <f>VLOOKUP($A109,'Data shares'!$C:$FB,69)*100</f>
        <v>-38.299999999999997</v>
      </c>
      <c r="G109" s="49">
        <f>VLOOKUP($A109,'Data shares'!$C:$FB,42)</f>
        <v>28700250</v>
      </c>
      <c r="H109" s="49">
        <f>VLOOKUP($A109,'Data shares'!$C:$FB,43)</f>
        <v>41369500</v>
      </c>
      <c r="I109" s="50">
        <f>VLOOKUP($A109,'Data shares'!$C:$FB,45)*100</f>
        <v>-30.620000000000005</v>
      </c>
      <c r="J109" s="49">
        <f>VLOOKUP($A109,'Data shares'!$C:$FB,58)</f>
        <v>38760000</v>
      </c>
      <c r="K109" s="49">
        <f>VLOOKUP($A109,'Data shares'!$C:$FB,59)</f>
        <v>69840250</v>
      </c>
      <c r="L109" s="50">
        <f>VLOOKUP($A109,'Data shares'!$C:$FB,61)*100</f>
        <v>-44.5</v>
      </c>
      <c r="M109" s="49">
        <f>VLOOKUP($A109,'Data shares'!$C:$FB,62)</f>
        <v>13430000</v>
      </c>
      <c r="N109" s="49">
        <f>VLOOKUP($A109,'Data shares'!$C:$FB,63)</f>
        <v>19902750</v>
      </c>
      <c r="O109" s="140">
        <f>VLOOKUP($A109,'Data shares'!$C:$FB,65)*100</f>
        <v>-32.519999999999996</v>
      </c>
    </row>
    <row r="110" spans="1:15" x14ac:dyDescent="0.25">
      <c r="A110" s="101" t="str">
        <f>'Data Vlaue (Cr)'!C105</f>
        <v>ITC</v>
      </c>
      <c r="B110" s="50">
        <f>VLOOKUP($A110,'Data shares'!$C:$FB,7)</f>
        <v>301.64999999999998</v>
      </c>
      <c r="C110" s="50">
        <f>VLOOKUP($A110,'Data shares'!$C:$FB,10)*100</f>
        <v>-0.76</v>
      </c>
      <c r="D110" s="49">
        <f>VLOOKUP($A110,'Data shares'!$C:$FB,66)</f>
        <v>176608000</v>
      </c>
      <c r="E110" s="49">
        <f>VLOOKUP($A110,'Data shares'!$C:$FB,67)</f>
        <v>210030400</v>
      </c>
      <c r="F110" s="50">
        <f>VLOOKUP($A110,'Data shares'!$C:$FB,69)*100</f>
        <v>-15.909999999999998</v>
      </c>
      <c r="G110" s="49">
        <f>VLOOKUP($A110,'Data shares'!$C:$FB,42)</f>
        <v>74544000</v>
      </c>
      <c r="H110" s="49">
        <f>VLOOKUP($A110,'Data shares'!$C:$FB,43)</f>
        <v>88788800</v>
      </c>
      <c r="I110" s="50">
        <f>VLOOKUP($A110,'Data shares'!$C:$FB,45)*100</f>
        <v>-16.04</v>
      </c>
      <c r="J110" s="49">
        <f>VLOOKUP($A110,'Data shares'!$C:$FB,58)</f>
        <v>62273600</v>
      </c>
      <c r="K110" s="49">
        <f>VLOOKUP($A110,'Data shares'!$C:$FB,59)</f>
        <v>75940800</v>
      </c>
      <c r="L110" s="50">
        <f>VLOOKUP($A110,'Data shares'!$C:$FB,61)*100</f>
        <v>-18</v>
      </c>
      <c r="M110" s="49">
        <f>VLOOKUP($A110,'Data shares'!$C:$FB,62)</f>
        <v>39790400</v>
      </c>
      <c r="N110" s="49">
        <f>VLOOKUP($A110,'Data shares'!$C:$FB,63)</f>
        <v>45300800</v>
      </c>
      <c r="O110" s="140">
        <f>VLOOKUP($A110,'Data shares'!$C:$FB,65)*100</f>
        <v>-12.16</v>
      </c>
    </row>
    <row r="111" spans="1:15" x14ac:dyDescent="0.25">
      <c r="A111" s="101" t="str">
        <f>'Data Vlaue (Cr)'!C106</f>
        <v>JINDALSTEL</v>
      </c>
      <c r="B111" s="50">
        <f>VLOOKUP($A111,'Data shares'!$C:$FB,7)</f>
        <v>1222.9000000000001</v>
      </c>
      <c r="C111" s="50">
        <f>VLOOKUP($A111,'Data shares'!$C:$FB,10)*100</f>
        <v>0.86999999999999988</v>
      </c>
      <c r="D111" s="49">
        <f>VLOOKUP($A111,'Data shares'!$C:$FB,66)</f>
        <v>12917500</v>
      </c>
      <c r="E111" s="49">
        <f>VLOOKUP($A111,'Data shares'!$C:$FB,67)</f>
        <v>10564375</v>
      </c>
      <c r="F111" s="50">
        <f>VLOOKUP($A111,'Data shares'!$C:$FB,69)*100</f>
        <v>22.27</v>
      </c>
      <c r="G111" s="49">
        <f>VLOOKUP($A111,'Data shares'!$C:$FB,42)</f>
        <v>8865625</v>
      </c>
      <c r="H111" s="49">
        <f>VLOOKUP($A111,'Data shares'!$C:$FB,43)</f>
        <v>6090000</v>
      </c>
      <c r="I111" s="50">
        <f>VLOOKUP($A111,'Data shares'!$C:$FB,45)*100</f>
        <v>45.58</v>
      </c>
      <c r="J111" s="49">
        <f>VLOOKUP($A111,'Data shares'!$C:$FB,58)</f>
        <v>2690000</v>
      </c>
      <c r="K111" s="49">
        <f>VLOOKUP($A111,'Data shares'!$C:$FB,59)</f>
        <v>2705000</v>
      </c>
      <c r="L111" s="50">
        <f>VLOOKUP($A111,'Data shares'!$C:$FB,61)*100</f>
        <v>-0.54999999999999993</v>
      </c>
      <c r="M111" s="49">
        <f>VLOOKUP($A111,'Data shares'!$C:$FB,62)</f>
        <v>1361875</v>
      </c>
      <c r="N111" s="49">
        <f>VLOOKUP($A111,'Data shares'!$C:$FB,63)</f>
        <v>1769375</v>
      </c>
      <c r="O111" s="140">
        <f>VLOOKUP($A111,'Data shares'!$C:$FB,65)*100</f>
        <v>-23.03</v>
      </c>
    </row>
    <row r="112" spans="1:15" x14ac:dyDescent="0.25">
      <c r="A112" s="101" t="str">
        <f>'Data Vlaue (Cr)'!C107</f>
        <v>JIOFIN</v>
      </c>
      <c r="B112" s="50">
        <f>VLOOKUP($A112,'Data shares'!$C:$FB,7)</f>
        <v>240.67</v>
      </c>
      <c r="C112" s="50">
        <f>VLOOKUP($A112,'Data shares'!$C:$FB,10)*100</f>
        <v>-0.44</v>
      </c>
      <c r="D112" s="49">
        <f>VLOOKUP($A112,'Data shares'!$C:$FB,66)</f>
        <v>150407050</v>
      </c>
      <c r="E112" s="49">
        <f>VLOOKUP($A112,'Data shares'!$C:$FB,67)</f>
        <v>223275850</v>
      </c>
      <c r="F112" s="50">
        <f>VLOOKUP($A112,'Data shares'!$C:$FB,69)*100</f>
        <v>-32.64</v>
      </c>
      <c r="G112" s="49">
        <f>VLOOKUP($A112,'Data shares'!$C:$FB,42)</f>
        <v>80358250</v>
      </c>
      <c r="H112" s="49">
        <f>VLOOKUP($A112,'Data shares'!$C:$FB,43)</f>
        <v>109991750</v>
      </c>
      <c r="I112" s="50">
        <f>VLOOKUP($A112,'Data shares'!$C:$FB,45)*100</f>
        <v>-26.939999999999998</v>
      </c>
      <c r="J112" s="49">
        <f>VLOOKUP($A112,'Data shares'!$C:$FB,58)</f>
        <v>44316300</v>
      </c>
      <c r="K112" s="49">
        <f>VLOOKUP($A112,'Data shares'!$C:$FB,59)</f>
        <v>80306550</v>
      </c>
      <c r="L112" s="50">
        <f>VLOOKUP($A112,'Data shares'!$C:$FB,61)*100</f>
        <v>-44.82</v>
      </c>
      <c r="M112" s="49">
        <f>VLOOKUP($A112,'Data shares'!$C:$FB,62)</f>
        <v>25732500</v>
      </c>
      <c r="N112" s="49">
        <f>VLOOKUP($A112,'Data shares'!$C:$FB,63)</f>
        <v>32977550</v>
      </c>
      <c r="O112" s="140">
        <f>VLOOKUP($A112,'Data shares'!$C:$FB,65)*100</f>
        <v>-21.97</v>
      </c>
    </row>
    <row r="113" spans="1:15" x14ac:dyDescent="0.25">
      <c r="A113" s="101" t="str">
        <f>'Data Vlaue (Cr)'!C108</f>
        <v>JSWENERGY</v>
      </c>
      <c r="B113" s="50">
        <f>VLOOKUP($A113,'Data shares'!$C:$FB,7)</f>
        <v>576</v>
      </c>
      <c r="C113" s="50">
        <f>VLOOKUP($A113,'Data shares'!$C:$FB,10)*100</f>
        <v>3.4000000000000004</v>
      </c>
      <c r="D113" s="49">
        <f>VLOOKUP($A113,'Data shares'!$C:$FB,66)</f>
        <v>54301000</v>
      </c>
      <c r="E113" s="49">
        <f>VLOOKUP($A113,'Data shares'!$C:$FB,67)</f>
        <v>43549000</v>
      </c>
      <c r="F113" s="50">
        <f>VLOOKUP($A113,'Data shares'!$C:$FB,69)*100</f>
        <v>24.69</v>
      </c>
      <c r="G113" s="49">
        <f>VLOOKUP($A113,'Data shares'!$C:$FB,42)</f>
        <v>12354000</v>
      </c>
      <c r="H113" s="49">
        <f>VLOOKUP($A113,'Data shares'!$C:$FB,43)</f>
        <v>18297000</v>
      </c>
      <c r="I113" s="50">
        <f>VLOOKUP($A113,'Data shares'!$C:$FB,45)*100</f>
        <v>-32.479999999999997</v>
      </c>
      <c r="J113" s="49">
        <f>VLOOKUP($A113,'Data shares'!$C:$FB,58)</f>
        <v>32671000</v>
      </c>
      <c r="K113" s="49">
        <f>VLOOKUP($A113,'Data shares'!$C:$FB,59)</f>
        <v>16075000</v>
      </c>
      <c r="L113" s="50">
        <f>VLOOKUP($A113,'Data shares'!$C:$FB,61)*100</f>
        <v>103.24</v>
      </c>
      <c r="M113" s="49">
        <f>VLOOKUP($A113,'Data shares'!$C:$FB,62)</f>
        <v>9276000</v>
      </c>
      <c r="N113" s="49">
        <f>VLOOKUP($A113,'Data shares'!$C:$FB,63)</f>
        <v>9177000</v>
      </c>
      <c r="O113" s="140">
        <f>VLOOKUP($A113,'Data shares'!$C:$FB,65)*100</f>
        <v>1.08</v>
      </c>
    </row>
    <row r="114" spans="1:15" x14ac:dyDescent="0.25">
      <c r="A114" s="101" t="str">
        <f>'Data Vlaue (Cr)'!C109</f>
        <v>JSWSTEEL</v>
      </c>
      <c r="B114" s="50">
        <f>VLOOKUP($A114,'Data shares'!$C:$FB,7)</f>
        <v>1293.5999999999999</v>
      </c>
      <c r="C114" s="50">
        <f>VLOOKUP($A114,'Data shares'!$C:$FB,10)*100</f>
        <v>0.33</v>
      </c>
      <c r="D114" s="49">
        <f>VLOOKUP($A114,'Data shares'!$C:$FB,66)</f>
        <v>15776100</v>
      </c>
      <c r="E114" s="49">
        <f>VLOOKUP($A114,'Data shares'!$C:$FB,67)</f>
        <v>22428225</v>
      </c>
      <c r="F114" s="50">
        <f>VLOOKUP($A114,'Data shares'!$C:$FB,69)*100</f>
        <v>-29.659999999999997</v>
      </c>
      <c r="G114" s="49">
        <f>VLOOKUP($A114,'Data shares'!$C:$FB,42)</f>
        <v>7314300</v>
      </c>
      <c r="H114" s="49">
        <f>VLOOKUP($A114,'Data shares'!$C:$FB,43)</f>
        <v>13161150</v>
      </c>
      <c r="I114" s="50">
        <f>VLOOKUP($A114,'Data shares'!$C:$FB,45)*100</f>
        <v>-44.43</v>
      </c>
      <c r="J114" s="49">
        <f>VLOOKUP($A114,'Data shares'!$C:$FB,58)</f>
        <v>5746950</v>
      </c>
      <c r="K114" s="49">
        <f>VLOOKUP($A114,'Data shares'!$C:$FB,59)</f>
        <v>6710850</v>
      </c>
      <c r="L114" s="50">
        <f>VLOOKUP($A114,'Data shares'!$C:$FB,61)*100</f>
        <v>-14.360000000000001</v>
      </c>
      <c r="M114" s="49">
        <f>VLOOKUP($A114,'Data shares'!$C:$FB,62)</f>
        <v>2714850</v>
      </c>
      <c r="N114" s="49">
        <f>VLOOKUP($A114,'Data shares'!$C:$FB,63)</f>
        <v>2556225</v>
      </c>
      <c r="O114" s="140">
        <f>VLOOKUP($A114,'Data shares'!$C:$FB,65)*100</f>
        <v>6.21</v>
      </c>
    </row>
    <row r="115" spans="1:15" x14ac:dyDescent="0.25">
      <c r="A115" s="101" t="str">
        <f>'Data Vlaue (Cr)'!C110</f>
        <v>JUBLFOOD</v>
      </c>
      <c r="B115" s="50">
        <f>VLOOKUP($A115,'Data shares'!$C:$FB,7)</f>
        <v>430.05</v>
      </c>
      <c r="C115" s="50">
        <f>VLOOKUP($A115,'Data shares'!$C:$FB,10)*100</f>
        <v>-1.9800000000000002</v>
      </c>
      <c r="D115" s="49">
        <f>VLOOKUP($A115,'Data shares'!$C:$FB,66)</f>
        <v>31022500</v>
      </c>
      <c r="E115" s="49">
        <f>VLOOKUP($A115,'Data shares'!$C:$FB,67)</f>
        <v>57786250</v>
      </c>
      <c r="F115" s="50">
        <f>VLOOKUP($A115,'Data shares'!$C:$FB,69)*100</f>
        <v>-46.32</v>
      </c>
      <c r="G115" s="49">
        <f>VLOOKUP($A115,'Data shares'!$C:$FB,42)</f>
        <v>15427500</v>
      </c>
      <c r="H115" s="49">
        <f>VLOOKUP($A115,'Data shares'!$C:$FB,43)</f>
        <v>21808750</v>
      </c>
      <c r="I115" s="50">
        <f>VLOOKUP($A115,'Data shares'!$C:$FB,45)*100</f>
        <v>-29.26</v>
      </c>
      <c r="J115" s="49">
        <f>VLOOKUP($A115,'Data shares'!$C:$FB,58)</f>
        <v>9971250</v>
      </c>
      <c r="K115" s="49">
        <f>VLOOKUP($A115,'Data shares'!$C:$FB,59)</f>
        <v>27515000</v>
      </c>
      <c r="L115" s="50">
        <f>VLOOKUP($A115,'Data shares'!$C:$FB,61)*100</f>
        <v>-63.759999999999991</v>
      </c>
      <c r="M115" s="49">
        <f>VLOOKUP($A115,'Data shares'!$C:$FB,62)</f>
        <v>5623750</v>
      </c>
      <c r="N115" s="49">
        <f>VLOOKUP($A115,'Data shares'!$C:$FB,63)</f>
        <v>8462500</v>
      </c>
      <c r="O115" s="140">
        <f>VLOOKUP($A115,'Data shares'!$C:$FB,65)*100</f>
        <v>-33.550000000000004</v>
      </c>
    </row>
    <row r="116" spans="1:15" x14ac:dyDescent="0.25">
      <c r="A116" s="101" t="str">
        <f>'Data Vlaue (Cr)'!C111</f>
        <v>KALYANKJIL</v>
      </c>
      <c r="B116" s="50">
        <f>VLOOKUP($A116,'Data shares'!$C:$FB,7)</f>
        <v>355.45</v>
      </c>
      <c r="C116" s="50">
        <f>VLOOKUP($A116,'Data shares'!$C:$FB,10)*100</f>
        <v>-0.67</v>
      </c>
      <c r="D116" s="49">
        <f>VLOOKUP($A116,'Data shares'!$C:$FB,66)</f>
        <v>33612050</v>
      </c>
      <c r="E116" s="49">
        <f>VLOOKUP($A116,'Data shares'!$C:$FB,67)</f>
        <v>58712400</v>
      </c>
      <c r="F116" s="50">
        <f>VLOOKUP($A116,'Data shares'!$C:$FB,69)*100</f>
        <v>-42.75</v>
      </c>
      <c r="G116" s="49">
        <f>VLOOKUP($A116,'Data shares'!$C:$FB,42)</f>
        <v>16110425</v>
      </c>
      <c r="H116" s="49">
        <f>VLOOKUP($A116,'Data shares'!$C:$FB,43)</f>
        <v>21616475</v>
      </c>
      <c r="I116" s="50">
        <f>VLOOKUP($A116,'Data shares'!$C:$FB,45)*100</f>
        <v>-25.47</v>
      </c>
      <c r="J116" s="49">
        <f>VLOOKUP($A116,'Data shares'!$C:$FB,58)</f>
        <v>12030825</v>
      </c>
      <c r="K116" s="49">
        <f>VLOOKUP($A116,'Data shares'!$C:$FB,59)</f>
        <v>24744325</v>
      </c>
      <c r="L116" s="50">
        <f>VLOOKUP($A116,'Data shares'!$C:$FB,61)*100</f>
        <v>-51.38</v>
      </c>
      <c r="M116" s="49">
        <f>VLOOKUP($A116,'Data shares'!$C:$FB,62)</f>
        <v>5470800</v>
      </c>
      <c r="N116" s="49">
        <f>VLOOKUP($A116,'Data shares'!$C:$FB,63)</f>
        <v>12351600</v>
      </c>
      <c r="O116" s="140">
        <f>VLOOKUP($A116,'Data shares'!$C:$FB,65)*100</f>
        <v>-55.71</v>
      </c>
    </row>
    <row r="117" spans="1:15" x14ac:dyDescent="0.25">
      <c r="A117" s="101" t="str">
        <f>'Data Vlaue (Cr)'!C112</f>
        <v>KAYNES</v>
      </c>
      <c r="B117" s="50">
        <f>VLOOKUP($A117,'Data shares'!$C:$FB,7)</f>
        <v>3299</v>
      </c>
      <c r="C117" s="50">
        <f>VLOOKUP($A117,'Data shares'!$C:$FB,10)*100</f>
        <v>-2.98</v>
      </c>
      <c r="D117" s="49">
        <f>VLOOKUP($A117,'Data shares'!$C:$FB,66)</f>
        <v>15797800</v>
      </c>
      <c r="E117" s="49">
        <f>VLOOKUP($A117,'Data shares'!$C:$FB,67)</f>
        <v>3342600</v>
      </c>
      <c r="F117" s="50">
        <f>VLOOKUP($A117,'Data shares'!$C:$FB,69)*100</f>
        <v>372.62</v>
      </c>
      <c r="G117" s="49">
        <f>VLOOKUP($A117,'Data shares'!$C:$FB,42)</f>
        <v>5433000</v>
      </c>
      <c r="H117" s="49">
        <f>VLOOKUP($A117,'Data shares'!$C:$FB,43)</f>
        <v>2304100</v>
      </c>
      <c r="I117" s="50">
        <f>VLOOKUP($A117,'Data shares'!$C:$FB,45)*100</f>
        <v>135.80000000000001</v>
      </c>
      <c r="J117" s="49">
        <f>VLOOKUP($A117,'Data shares'!$C:$FB,58)</f>
        <v>6553300</v>
      </c>
      <c r="K117" s="49">
        <f>VLOOKUP($A117,'Data shares'!$C:$FB,59)</f>
        <v>697900</v>
      </c>
      <c r="L117" s="50">
        <f>VLOOKUP($A117,'Data shares'!$C:$FB,61)*100</f>
        <v>839</v>
      </c>
      <c r="M117" s="49">
        <f>VLOOKUP($A117,'Data shares'!$C:$FB,62)</f>
        <v>3811500</v>
      </c>
      <c r="N117" s="49">
        <f>VLOOKUP($A117,'Data shares'!$C:$FB,63)</f>
        <v>340600</v>
      </c>
      <c r="O117" s="140">
        <f>VLOOKUP($A117,'Data shares'!$C:$FB,65)*100</f>
        <v>1019.05</v>
      </c>
    </row>
    <row r="118" spans="1:15" x14ac:dyDescent="0.25">
      <c r="A118" s="101" t="str">
        <f>'Data Vlaue (Cr)'!C113</f>
        <v>KEI</v>
      </c>
      <c r="B118" s="50">
        <f>VLOOKUP($A118,'Data shares'!$C:$FB,7)</f>
        <v>5305.5</v>
      </c>
      <c r="C118" s="50">
        <f>VLOOKUP($A118,'Data shares'!$C:$FB,10)*100</f>
        <v>0.44999999999999996</v>
      </c>
      <c r="D118" s="49">
        <f>VLOOKUP($A118,'Data shares'!$C:$FB,66)</f>
        <v>2447725</v>
      </c>
      <c r="E118" s="49">
        <f>VLOOKUP($A118,'Data shares'!$C:$FB,67)</f>
        <v>5268200</v>
      </c>
      <c r="F118" s="50">
        <f>VLOOKUP($A118,'Data shares'!$C:$FB,69)*100</f>
        <v>-53.54</v>
      </c>
      <c r="G118" s="49">
        <f>VLOOKUP($A118,'Data shares'!$C:$FB,42)</f>
        <v>509775</v>
      </c>
      <c r="H118" s="49">
        <f>VLOOKUP($A118,'Data shares'!$C:$FB,43)</f>
        <v>1113700</v>
      </c>
      <c r="I118" s="50">
        <f>VLOOKUP($A118,'Data shares'!$C:$FB,45)*100</f>
        <v>-54.230000000000004</v>
      </c>
      <c r="J118" s="49">
        <f>VLOOKUP($A118,'Data shares'!$C:$FB,58)</f>
        <v>764925</v>
      </c>
      <c r="K118" s="49">
        <f>VLOOKUP($A118,'Data shares'!$C:$FB,59)</f>
        <v>1635725</v>
      </c>
      <c r="L118" s="50">
        <f>VLOOKUP($A118,'Data shares'!$C:$FB,61)*100</f>
        <v>-53.239999999999995</v>
      </c>
      <c r="M118" s="49">
        <f>VLOOKUP($A118,'Data shares'!$C:$FB,62)</f>
        <v>1173025</v>
      </c>
      <c r="N118" s="49">
        <f>VLOOKUP($A118,'Data shares'!$C:$FB,63)</f>
        <v>2518775</v>
      </c>
      <c r="O118" s="140">
        <f>VLOOKUP($A118,'Data shares'!$C:$FB,65)*100</f>
        <v>-53.43</v>
      </c>
    </row>
    <row r="119" spans="1:15" x14ac:dyDescent="0.25">
      <c r="A119" s="101" t="str">
        <f>'Data Vlaue (Cr)'!C114</f>
        <v>KFINTECH</v>
      </c>
      <c r="B119" s="50">
        <f>VLOOKUP($A119,'Data shares'!$C:$FB,7)</f>
        <v>837.05</v>
      </c>
      <c r="C119" s="50">
        <f>VLOOKUP($A119,'Data shares'!$C:$FB,10)*100</f>
        <v>0.91999999999999993</v>
      </c>
      <c r="D119" s="49">
        <f>VLOOKUP($A119,'Data shares'!$C:$FB,66)</f>
        <v>5130500</v>
      </c>
      <c r="E119" s="49">
        <f>VLOOKUP($A119,'Data shares'!$C:$FB,67)</f>
        <v>8416000</v>
      </c>
      <c r="F119" s="50">
        <f>VLOOKUP($A119,'Data shares'!$C:$FB,69)*100</f>
        <v>-39.04</v>
      </c>
      <c r="G119" s="49">
        <f>VLOOKUP($A119,'Data shares'!$C:$FB,42)</f>
        <v>3093500</v>
      </c>
      <c r="H119" s="49">
        <f>VLOOKUP($A119,'Data shares'!$C:$FB,43)</f>
        <v>5276000</v>
      </c>
      <c r="I119" s="50">
        <f>VLOOKUP($A119,'Data shares'!$C:$FB,45)*100</f>
        <v>-41.370000000000005</v>
      </c>
      <c r="J119" s="49">
        <f>VLOOKUP($A119,'Data shares'!$C:$FB,58)</f>
        <v>1213000</v>
      </c>
      <c r="K119" s="49">
        <f>VLOOKUP($A119,'Data shares'!$C:$FB,59)</f>
        <v>2241000</v>
      </c>
      <c r="L119" s="50">
        <f>VLOOKUP($A119,'Data shares'!$C:$FB,61)*100</f>
        <v>-45.87</v>
      </c>
      <c r="M119" s="49">
        <f>VLOOKUP($A119,'Data shares'!$C:$FB,62)</f>
        <v>824000</v>
      </c>
      <c r="N119" s="49">
        <f>VLOOKUP($A119,'Data shares'!$C:$FB,63)</f>
        <v>899000</v>
      </c>
      <c r="O119" s="140">
        <f>VLOOKUP($A119,'Data shares'!$C:$FB,65)*100</f>
        <v>-8.34</v>
      </c>
    </row>
    <row r="120" spans="1:15" x14ac:dyDescent="0.25">
      <c r="A120" s="101" t="str">
        <f>'Data Vlaue (Cr)'!C115</f>
        <v>KOTAKBANK</v>
      </c>
      <c r="B120" s="50">
        <f>VLOOKUP($A120,'Data shares'!$C:$FB,7)</f>
        <v>388.65</v>
      </c>
      <c r="C120" s="50">
        <f>VLOOKUP($A120,'Data shares'!$C:$FB,10)*100</f>
        <v>-1.0699999999999998</v>
      </c>
      <c r="D120" s="49">
        <f>VLOOKUP($A120,'Data shares'!$C:$FB,66)</f>
        <v>94764000</v>
      </c>
      <c r="E120" s="49">
        <f>VLOOKUP($A120,'Data shares'!$C:$FB,67)</f>
        <v>213106000</v>
      </c>
      <c r="F120" s="50">
        <f>VLOOKUP($A120,'Data shares'!$C:$FB,69)*100</f>
        <v>-55.53</v>
      </c>
      <c r="G120" s="49">
        <f>VLOOKUP($A120,'Data shares'!$C:$FB,42)</f>
        <v>39684000</v>
      </c>
      <c r="H120" s="49">
        <f>VLOOKUP($A120,'Data shares'!$C:$FB,43)</f>
        <v>85156000</v>
      </c>
      <c r="I120" s="50">
        <f>VLOOKUP($A120,'Data shares'!$C:$FB,45)*100</f>
        <v>-53.400000000000006</v>
      </c>
      <c r="J120" s="49">
        <f>VLOOKUP($A120,'Data shares'!$C:$FB,58)</f>
        <v>33014000</v>
      </c>
      <c r="K120" s="49">
        <f>VLOOKUP($A120,'Data shares'!$C:$FB,59)</f>
        <v>88244000</v>
      </c>
      <c r="L120" s="50">
        <f>VLOOKUP($A120,'Data shares'!$C:$FB,61)*100</f>
        <v>-62.59</v>
      </c>
      <c r="M120" s="49">
        <f>VLOOKUP($A120,'Data shares'!$C:$FB,62)</f>
        <v>22066000</v>
      </c>
      <c r="N120" s="49">
        <f>VLOOKUP($A120,'Data shares'!$C:$FB,63)</f>
        <v>39706000</v>
      </c>
      <c r="O120" s="140">
        <f>VLOOKUP($A120,'Data shares'!$C:$FB,65)*100</f>
        <v>-44.43</v>
      </c>
    </row>
    <row r="121" spans="1:15" x14ac:dyDescent="0.25">
      <c r="A121" s="101" t="str">
        <f>'Data Vlaue (Cr)'!C116</f>
        <v>KPITTECH</v>
      </c>
      <c r="B121" s="50">
        <f>VLOOKUP($A121,'Data shares'!$C:$FB,7)</f>
        <v>784.7</v>
      </c>
      <c r="C121" s="50">
        <f>VLOOKUP($A121,'Data shares'!$C:$FB,10)*100</f>
        <v>3.71</v>
      </c>
      <c r="D121" s="49">
        <f>VLOOKUP($A121,'Data shares'!$C:$FB,66)</f>
        <v>17383350</v>
      </c>
      <c r="E121" s="49">
        <f>VLOOKUP($A121,'Data shares'!$C:$FB,67)</f>
        <v>23528000</v>
      </c>
      <c r="F121" s="50">
        <f>VLOOKUP($A121,'Data shares'!$C:$FB,69)*100</f>
        <v>-26.119999999999997</v>
      </c>
      <c r="G121" s="49">
        <f>VLOOKUP($A121,'Data shares'!$C:$FB,42)</f>
        <v>5415350</v>
      </c>
      <c r="H121" s="49">
        <f>VLOOKUP($A121,'Data shares'!$C:$FB,43)</f>
        <v>7136600</v>
      </c>
      <c r="I121" s="50">
        <f>VLOOKUP($A121,'Data shares'!$C:$FB,45)*100</f>
        <v>-24.12</v>
      </c>
      <c r="J121" s="49">
        <f>VLOOKUP($A121,'Data shares'!$C:$FB,58)</f>
        <v>9663225</v>
      </c>
      <c r="K121" s="49">
        <f>VLOOKUP($A121,'Data shares'!$C:$FB,59)</f>
        <v>12761900</v>
      </c>
      <c r="L121" s="50">
        <f>VLOOKUP($A121,'Data shares'!$C:$FB,61)*100</f>
        <v>-24.279999999999998</v>
      </c>
      <c r="M121" s="49">
        <f>VLOOKUP($A121,'Data shares'!$C:$FB,62)</f>
        <v>2304775</v>
      </c>
      <c r="N121" s="49">
        <f>VLOOKUP($A121,'Data shares'!$C:$FB,63)</f>
        <v>3629500</v>
      </c>
      <c r="O121" s="140">
        <f>VLOOKUP($A121,'Data shares'!$C:$FB,65)*100</f>
        <v>-36.5</v>
      </c>
    </row>
    <row r="122" spans="1:15" x14ac:dyDescent="0.25">
      <c r="A122" s="101" t="str">
        <f>'Data Vlaue (Cr)'!C117</f>
        <v>LAURUSLABS</v>
      </c>
      <c r="B122" s="50">
        <f>VLOOKUP($A122,'Data shares'!$C:$FB,7)</f>
        <v>1373.9</v>
      </c>
      <c r="C122" s="50">
        <f>VLOOKUP($A122,'Data shares'!$C:$FB,10)*100</f>
        <v>1.3</v>
      </c>
      <c r="D122" s="49">
        <f>VLOOKUP($A122,'Data shares'!$C:$FB,66)</f>
        <v>20734900</v>
      </c>
      <c r="E122" s="49">
        <f>VLOOKUP($A122,'Data shares'!$C:$FB,67)</f>
        <v>23915600</v>
      </c>
      <c r="F122" s="50">
        <f>VLOOKUP($A122,'Data shares'!$C:$FB,69)*100</f>
        <v>-13.3</v>
      </c>
      <c r="G122" s="49">
        <f>VLOOKUP($A122,'Data shares'!$C:$FB,42)</f>
        <v>7541200</v>
      </c>
      <c r="H122" s="49">
        <f>VLOOKUP($A122,'Data shares'!$C:$FB,43)</f>
        <v>11042350</v>
      </c>
      <c r="I122" s="50">
        <f>VLOOKUP($A122,'Data shares'!$C:$FB,45)*100</f>
        <v>-31.71</v>
      </c>
      <c r="J122" s="49">
        <f>VLOOKUP($A122,'Data shares'!$C:$FB,58)</f>
        <v>7263250</v>
      </c>
      <c r="K122" s="49">
        <f>VLOOKUP($A122,'Data shares'!$C:$FB,59)</f>
        <v>6732000</v>
      </c>
      <c r="L122" s="50">
        <f>VLOOKUP($A122,'Data shares'!$C:$FB,61)*100</f>
        <v>7.89</v>
      </c>
      <c r="M122" s="49">
        <f>VLOOKUP($A122,'Data shares'!$C:$FB,62)</f>
        <v>5930450</v>
      </c>
      <c r="N122" s="49">
        <f>VLOOKUP($A122,'Data shares'!$C:$FB,63)</f>
        <v>6141250</v>
      </c>
      <c r="O122" s="140">
        <f>VLOOKUP($A122,'Data shares'!$C:$FB,65)*100</f>
        <v>-3.4299999999999997</v>
      </c>
    </row>
    <row r="123" spans="1:15" x14ac:dyDescent="0.25">
      <c r="A123" s="101" t="str">
        <f>'Data Vlaue (Cr)'!C118</f>
        <v>LICHSGFIN</v>
      </c>
      <c r="B123" s="50">
        <f>VLOOKUP($A123,'Data shares'!$C:$FB,7)</f>
        <v>544.15</v>
      </c>
      <c r="C123" s="50">
        <f>VLOOKUP($A123,'Data shares'!$C:$FB,10)*100</f>
        <v>0.13</v>
      </c>
      <c r="D123" s="49">
        <f>VLOOKUP($A123,'Data shares'!$C:$FB,66)</f>
        <v>17419000</v>
      </c>
      <c r="E123" s="49">
        <f>VLOOKUP($A123,'Data shares'!$C:$FB,67)</f>
        <v>36248000</v>
      </c>
      <c r="F123" s="50">
        <f>VLOOKUP($A123,'Data shares'!$C:$FB,69)*100</f>
        <v>-51.94</v>
      </c>
      <c r="G123" s="49">
        <f>VLOOKUP($A123,'Data shares'!$C:$FB,42)</f>
        <v>11094000</v>
      </c>
      <c r="H123" s="49">
        <f>VLOOKUP($A123,'Data shares'!$C:$FB,43)</f>
        <v>26421000</v>
      </c>
      <c r="I123" s="50">
        <f>VLOOKUP($A123,'Data shares'!$C:$FB,45)*100</f>
        <v>-58.01</v>
      </c>
      <c r="J123" s="49">
        <f>VLOOKUP($A123,'Data shares'!$C:$FB,58)</f>
        <v>3776000</v>
      </c>
      <c r="K123" s="49">
        <f>VLOOKUP($A123,'Data shares'!$C:$FB,59)</f>
        <v>6473000</v>
      </c>
      <c r="L123" s="50">
        <f>VLOOKUP($A123,'Data shares'!$C:$FB,61)*100</f>
        <v>-41.67</v>
      </c>
      <c r="M123" s="49">
        <f>VLOOKUP($A123,'Data shares'!$C:$FB,62)</f>
        <v>2549000</v>
      </c>
      <c r="N123" s="49">
        <f>VLOOKUP($A123,'Data shares'!$C:$FB,63)</f>
        <v>3354000</v>
      </c>
      <c r="O123" s="140">
        <f>VLOOKUP($A123,'Data shares'!$C:$FB,65)*100</f>
        <v>-24</v>
      </c>
    </row>
    <row r="124" spans="1:15" x14ac:dyDescent="0.25">
      <c r="A124" s="101" t="str">
        <f>'Data Vlaue (Cr)'!C119</f>
        <v>LICI</v>
      </c>
      <c r="B124" s="50">
        <f>VLOOKUP($A124,'Data shares'!$C:$FB,7)</f>
        <v>854.9</v>
      </c>
      <c r="C124" s="50">
        <f>VLOOKUP($A124,'Data shares'!$C:$FB,10)*100</f>
        <v>2.1</v>
      </c>
      <c r="D124" s="49">
        <f>VLOOKUP($A124,'Data shares'!$C:$FB,66)</f>
        <v>28415800</v>
      </c>
      <c r="E124" s="49">
        <f>VLOOKUP($A124,'Data shares'!$C:$FB,67)</f>
        <v>62112400</v>
      </c>
      <c r="F124" s="50">
        <f>VLOOKUP($A124,'Data shares'!$C:$FB,69)*100</f>
        <v>-54.25</v>
      </c>
      <c r="G124" s="49">
        <f>VLOOKUP($A124,'Data shares'!$C:$FB,42)</f>
        <v>6743800</v>
      </c>
      <c r="H124" s="49">
        <f>VLOOKUP($A124,'Data shares'!$C:$FB,43)</f>
        <v>12295500</v>
      </c>
      <c r="I124" s="50">
        <f>VLOOKUP($A124,'Data shares'!$C:$FB,45)*100</f>
        <v>-45.15</v>
      </c>
      <c r="J124" s="49">
        <f>VLOOKUP($A124,'Data shares'!$C:$FB,58)</f>
        <v>16131500</v>
      </c>
      <c r="K124" s="49">
        <f>VLOOKUP($A124,'Data shares'!$C:$FB,59)</f>
        <v>37261000</v>
      </c>
      <c r="L124" s="50">
        <f>VLOOKUP($A124,'Data shares'!$C:$FB,61)*100</f>
        <v>-56.710000000000008</v>
      </c>
      <c r="M124" s="49">
        <f>VLOOKUP($A124,'Data shares'!$C:$FB,62)</f>
        <v>5540500</v>
      </c>
      <c r="N124" s="49">
        <f>VLOOKUP($A124,'Data shares'!$C:$FB,63)</f>
        <v>12555900</v>
      </c>
      <c r="O124" s="140">
        <f>VLOOKUP($A124,'Data shares'!$C:$FB,65)*100</f>
        <v>-55.87</v>
      </c>
    </row>
    <row r="125" spans="1:15" x14ac:dyDescent="0.25">
      <c r="A125" s="101" t="str">
        <f>'Data Vlaue (Cr)'!C120</f>
        <v>LODHA</v>
      </c>
      <c r="B125" s="50">
        <f>VLOOKUP($A125,'Data shares'!$C:$FB,7)</f>
        <v>903.7</v>
      </c>
      <c r="C125" s="50">
        <f>VLOOKUP($A125,'Data shares'!$C:$FB,10)*100</f>
        <v>-0.35000000000000003</v>
      </c>
      <c r="D125" s="49">
        <f>VLOOKUP($A125,'Data shares'!$C:$FB,66)</f>
        <v>7020000</v>
      </c>
      <c r="E125" s="49">
        <f>VLOOKUP($A125,'Data shares'!$C:$FB,67)</f>
        <v>17390700</v>
      </c>
      <c r="F125" s="50">
        <f>VLOOKUP($A125,'Data shares'!$C:$FB,69)*100</f>
        <v>-59.63</v>
      </c>
      <c r="G125" s="49">
        <f>VLOOKUP($A125,'Data shares'!$C:$FB,42)</f>
        <v>4192200</v>
      </c>
      <c r="H125" s="49">
        <f>VLOOKUP($A125,'Data shares'!$C:$FB,43)</f>
        <v>9746550</v>
      </c>
      <c r="I125" s="50">
        <f>VLOOKUP($A125,'Data shares'!$C:$FB,45)*100</f>
        <v>-56.989999999999995</v>
      </c>
      <c r="J125" s="49">
        <f>VLOOKUP($A125,'Data shares'!$C:$FB,58)</f>
        <v>2056500</v>
      </c>
      <c r="K125" s="49">
        <f>VLOOKUP($A125,'Data shares'!$C:$FB,59)</f>
        <v>5036400</v>
      </c>
      <c r="L125" s="50">
        <f>VLOOKUP($A125,'Data shares'!$C:$FB,61)*100</f>
        <v>-59.17</v>
      </c>
      <c r="M125" s="49">
        <f>VLOOKUP($A125,'Data shares'!$C:$FB,62)</f>
        <v>771300</v>
      </c>
      <c r="N125" s="49">
        <f>VLOOKUP($A125,'Data shares'!$C:$FB,63)</f>
        <v>2607750</v>
      </c>
      <c r="O125" s="140">
        <f>VLOOKUP($A125,'Data shares'!$C:$FB,65)*100</f>
        <v>-70.42</v>
      </c>
    </row>
    <row r="126" spans="1:15" x14ac:dyDescent="0.25">
      <c r="A126" s="101" t="str">
        <f>'Data Vlaue (Cr)'!C121</f>
        <v>LT</v>
      </c>
      <c r="B126" s="50">
        <f>VLOOKUP($A126,'Data shares'!$C:$FB,7)</f>
        <v>4037.8</v>
      </c>
      <c r="C126" s="50">
        <f>VLOOKUP($A126,'Data shares'!$C:$FB,10)*100</f>
        <v>0.11</v>
      </c>
      <c r="D126" s="49">
        <f>VLOOKUP($A126,'Data shares'!$C:$FB,66)</f>
        <v>19083225</v>
      </c>
      <c r="E126" s="49">
        <f>VLOOKUP($A126,'Data shares'!$C:$FB,67)</f>
        <v>39456375</v>
      </c>
      <c r="F126" s="50">
        <f>VLOOKUP($A126,'Data shares'!$C:$FB,69)*100</f>
        <v>-51.629999999999995</v>
      </c>
      <c r="G126" s="49">
        <f>VLOOKUP($A126,'Data shares'!$C:$FB,42)</f>
        <v>5566225</v>
      </c>
      <c r="H126" s="49">
        <f>VLOOKUP($A126,'Data shares'!$C:$FB,43)</f>
        <v>10315900</v>
      </c>
      <c r="I126" s="50">
        <f>VLOOKUP($A126,'Data shares'!$C:$FB,45)*100</f>
        <v>-46.04</v>
      </c>
      <c r="J126" s="49">
        <f>VLOOKUP($A126,'Data shares'!$C:$FB,58)</f>
        <v>8834000</v>
      </c>
      <c r="K126" s="49">
        <f>VLOOKUP($A126,'Data shares'!$C:$FB,59)</f>
        <v>19198025</v>
      </c>
      <c r="L126" s="50">
        <f>VLOOKUP($A126,'Data shares'!$C:$FB,61)*100</f>
        <v>-53.98</v>
      </c>
      <c r="M126" s="49">
        <f>VLOOKUP($A126,'Data shares'!$C:$FB,62)</f>
        <v>4683000</v>
      </c>
      <c r="N126" s="49">
        <f>VLOOKUP($A126,'Data shares'!$C:$FB,63)</f>
        <v>9942450</v>
      </c>
      <c r="O126" s="140">
        <f>VLOOKUP($A126,'Data shares'!$C:$FB,65)*100</f>
        <v>-52.900000000000006</v>
      </c>
    </row>
    <row r="127" spans="1:15" x14ac:dyDescent="0.25">
      <c r="A127" s="101" t="str">
        <f>'Data Vlaue (Cr)'!C122</f>
        <v>LTF</v>
      </c>
      <c r="B127" s="50">
        <f>VLOOKUP($A127,'Data shares'!$C:$FB,7)</f>
        <v>282.7</v>
      </c>
      <c r="C127" s="50">
        <f>VLOOKUP($A127,'Data shares'!$C:$FB,10)*100</f>
        <v>1.2</v>
      </c>
      <c r="D127" s="49">
        <f>VLOOKUP($A127,'Data shares'!$C:$FB,66)</f>
        <v>46071000</v>
      </c>
      <c r="E127" s="49">
        <f>VLOOKUP($A127,'Data shares'!$C:$FB,67)</f>
        <v>84737250</v>
      </c>
      <c r="F127" s="50">
        <f>VLOOKUP($A127,'Data shares'!$C:$FB,69)*100</f>
        <v>-45.629999999999995</v>
      </c>
      <c r="G127" s="49">
        <f>VLOOKUP($A127,'Data shares'!$C:$FB,42)</f>
        <v>16823250</v>
      </c>
      <c r="H127" s="49">
        <f>VLOOKUP($A127,'Data shares'!$C:$FB,43)</f>
        <v>34125750</v>
      </c>
      <c r="I127" s="50">
        <f>VLOOKUP($A127,'Data shares'!$C:$FB,45)*100</f>
        <v>-50.7</v>
      </c>
      <c r="J127" s="49">
        <f>VLOOKUP($A127,'Data shares'!$C:$FB,58)</f>
        <v>21951000</v>
      </c>
      <c r="K127" s="49">
        <f>VLOOKUP($A127,'Data shares'!$C:$FB,59)</f>
        <v>31311000</v>
      </c>
      <c r="L127" s="50">
        <f>VLOOKUP($A127,'Data shares'!$C:$FB,61)*100</f>
        <v>-29.89</v>
      </c>
      <c r="M127" s="49">
        <f>VLOOKUP($A127,'Data shares'!$C:$FB,62)</f>
        <v>7296750</v>
      </c>
      <c r="N127" s="49">
        <f>VLOOKUP($A127,'Data shares'!$C:$FB,63)</f>
        <v>19300500</v>
      </c>
      <c r="O127" s="140">
        <f>VLOOKUP($A127,'Data shares'!$C:$FB,65)*100</f>
        <v>-62.19</v>
      </c>
    </row>
    <row r="128" spans="1:15" x14ac:dyDescent="0.25">
      <c r="A128" s="101" t="str">
        <f>'Data Vlaue (Cr)'!C123</f>
        <v>LTM</v>
      </c>
      <c r="B128" s="50">
        <f>VLOOKUP($A128,'Data shares'!$C:$FB,7)</f>
        <v>3970.4</v>
      </c>
      <c r="C128" s="50">
        <f>VLOOKUP($A128,'Data shares'!$C:$FB,10)*100</f>
        <v>-0.53</v>
      </c>
      <c r="D128" s="49">
        <f>VLOOKUP($A128,'Data shares'!$C:$FB,66)</f>
        <v>4308150</v>
      </c>
      <c r="E128" s="49">
        <f>VLOOKUP($A128,'Data shares'!$C:$FB,67)</f>
        <v>8830800</v>
      </c>
      <c r="F128" s="50">
        <f>VLOOKUP($A128,'Data shares'!$C:$FB,69)*100</f>
        <v>-51.21</v>
      </c>
      <c r="G128" s="49">
        <f>VLOOKUP($A128,'Data shares'!$C:$FB,42)</f>
        <v>1403550</v>
      </c>
      <c r="H128" s="49">
        <f>VLOOKUP($A128,'Data shares'!$C:$FB,43)</f>
        <v>2344950</v>
      </c>
      <c r="I128" s="50">
        <f>VLOOKUP($A128,'Data shares'!$C:$FB,45)*100</f>
        <v>-40.150000000000006</v>
      </c>
      <c r="J128" s="49">
        <f>VLOOKUP($A128,'Data shares'!$C:$FB,58)</f>
        <v>2221050</v>
      </c>
      <c r="K128" s="49">
        <f>VLOOKUP($A128,'Data shares'!$C:$FB,59)</f>
        <v>4545150</v>
      </c>
      <c r="L128" s="50">
        <f>VLOOKUP($A128,'Data shares'!$C:$FB,61)*100</f>
        <v>-51.129999999999995</v>
      </c>
      <c r="M128" s="49">
        <f>VLOOKUP($A128,'Data shares'!$C:$FB,62)</f>
        <v>683550</v>
      </c>
      <c r="N128" s="49">
        <f>VLOOKUP($A128,'Data shares'!$C:$FB,63)</f>
        <v>1940700</v>
      </c>
      <c r="O128" s="140">
        <f>VLOOKUP($A128,'Data shares'!$C:$FB,65)*100</f>
        <v>-64.78</v>
      </c>
    </row>
    <row r="129" spans="1:15" x14ac:dyDescent="0.25">
      <c r="A129" s="101" t="str">
        <f>'Data Vlaue (Cr)'!C124</f>
        <v>LUPIN</v>
      </c>
      <c r="B129" s="50">
        <f>VLOOKUP($A129,'Data shares'!$C:$FB,7)</f>
        <v>2266</v>
      </c>
      <c r="C129" s="50">
        <f>VLOOKUP($A129,'Data shares'!$C:$FB,10)*100</f>
        <v>-0.92999999999999994</v>
      </c>
      <c r="D129" s="49">
        <f>VLOOKUP($A129,'Data shares'!$C:$FB,66)</f>
        <v>9847675</v>
      </c>
      <c r="E129" s="49">
        <f>VLOOKUP($A129,'Data shares'!$C:$FB,67)</f>
        <v>14255775</v>
      </c>
      <c r="F129" s="50">
        <f>VLOOKUP($A129,'Data shares'!$C:$FB,69)*100</f>
        <v>-30.919999999999998</v>
      </c>
      <c r="G129" s="49">
        <f>VLOOKUP($A129,'Data shares'!$C:$FB,42)</f>
        <v>4420000</v>
      </c>
      <c r="H129" s="49">
        <f>VLOOKUP($A129,'Data shares'!$C:$FB,43)</f>
        <v>4159475</v>
      </c>
      <c r="I129" s="50">
        <f>VLOOKUP($A129,'Data shares'!$C:$FB,45)*100</f>
        <v>6.2600000000000007</v>
      </c>
      <c r="J129" s="49">
        <f>VLOOKUP($A129,'Data shares'!$C:$FB,58)</f>
        <v>3868350</v>
      </c>
      <c r="K129" s="49">
        <f>VLOOKUP($A129,'Data shares'!$C:$FB,59)</f>
        <v>7437925</v>
      </c>
      <c r="L129" s="50">
        <f>VLOOKUP($A129,'Data shares'!$C:$FB,61)*100</f>
        <v>-47.99</v>
      </c>
      <c r="M129" s="49">
        <f>VLOOKUP($A129,'Data shares'!$C:$FB,62)</f>
        <v>1559325</v>
      </c>
      <c r="N129" s="49">
        <f>VLOOKUP($A129,'Data shares'!$C:$FB,63)</f>
        <v>2658375</v>
      </c>
      <c r="O129" s="140">
        <f>VLOOKUP($A129,'Data shares'!$C:$FB,65)*100</f>
        <v>-41.339999999999996</v>
      </c>
    </row>
    <row r="130" spans="1:15" x14ac:dyDescent="0.25">
      <c r="A130" s="101" t="str">
        <f>'Data Vlaue (Cr)'!C125</f>
        <v>M&amp;M</v>
      </c>
      <c r="B130" s="50">
        <f>VLOOKUP($A130,'Data shares'!$C:$FB,7)</f>
        <v>3107.3</v>
      </c>
      <c r="C130" s="50">
        <f>VLOOKUP($A130,'Data shares'!$C:$FB,10)*100</f>
        <v>-1.01</v>
      </c>
      <c r="D130" s="49">
        <f>VLOOKUP($A130,'Data shares'!$C:$FB,66)</f>
        <v>14034400</v>
      </c>
      <c r="E130" s="49">
        <f>VLOOKUP($A130,'Data shares'!$C:$FB,67)</f>
        <v>27855800</v>
      </c>
      <c r="F130" s="50">
        <f>VLOOKUP($A130,'Data shares'!$C:$FB,69)*100</f>
        <v>-49.62</v>
      </c>
      <c r="G130" s="49">
        <f>VLOOKUP($A130,'Data shares'!$C:$FB,42)</f>
        <v>3878200</v>
      </c>
      <c r="H130" s="49">
        <f>VLOOKUP($A130,'Data shares'!$C:$FB,43)</f>
        <v>9149600</v>
      </c>
      <c r="I130" s="50">
        <f>VLOOKUP($A130,'Data shares'!$C:$FB,45)*100</f>
        <v>-57.609999999999992</v>
      </c>
      <c r="J130" s="49">
        <f>VLOOKUP($A130,'Data shares'!$C:$FB,58)</f>
        <v>6581400</v>
      </c>
      <c r="K130" s="49">
        <f>VLOOKUP($A130,'Data shares'!$C:$FB,59)</f>
        <v>12551000</v>
      </c>
      <c r="L130" s="50">
        <f>VLOOKUP($A130,'Data shares'!$C:$FB,61)*100</f>
        <v>-47.56</v>
      </c>
      <c r="M130" s="49">
        <f>VLOOKUP($A130,'Data shares'!$C:$FB,62)</f>
        <v>3574800</v>
      </c>
      <c r="N130" s="49">
        <f>VLOOKUP($A130,'Data shares'!$C:$FB,63)</f>
        <v>6155200</v>
      </c>
      <c r="O130" s="140">
        <f>VLOOKUP($A130,'Data shares'!$C:$FB,65)*100</f>
        <v>-41.92</v>
      </c>
    </row>
    <row r="131" spans="1:15" x14ac:dyDescent="0.25">
      <c r="A131" s="101" t="str">
        <f>'Data Vlaue (Cr)'!C126</f>
        <v>MANAPPURAM</v>
      </c>
      <c r="B131" s="50">
        <f>VLOOKUP($A131,'Data shares'!$C:$FB,7)</f>
        <v>330.25</v>
      </c>
      <c r="C131" s="50">
        <f>VLOOKUP($A131,'Data shares'!$C:$FB,10)*100</f>
        <v>1.41</v>
      </c>
      <c r="D131" s="49">
        <f>VLOOKUP($A131,'Data shares'!$C:$FB,66)</f>
        <v>40713000</v>
      </c>
      <c r="E131" s="49">
        <f>VLOOKUP($A131,'Data shares'!$C:$FB,67)</f>
        <v>57084000</v>
      </c>
      <c r="F131" s="50">
        <f>VLOOKUP($A131,'Data shares'!$C:$FB,69)*100</f>
        <v>-28.68</v>
      </c>
      <c r="G131" s="49">
        <f>VLOOKUP($A131,'Data shares'!$C:$FB,42)</f>
        <v>19521000</v>
      </c>
      <c r="H131" s="49">
        <f>VLOOKUP($A131,'Data shares'!$C:$FB,43)</f>
        <v>24801000</v>
      </c>
      <c r="I131" s="50">
        <f>VLOOKUP($A131,'Data shares'!$C:$FB,45)*100</f>
        <v>-21.29</v>
      </c>
      <c r="J131" s="49">
        <f>VLOOKUP($A131,'Data shares'!$C:$FB,58)</f>
        <v>14664000</v>
      </c>
      <c r="K131" s="49">
        <f>VLOOKUP($A131,'Data shares'!$C:$FB,59)</f>
        <v>22245000</v>
      </c>
      <c r="L131" s="50">
        <f>VLOOKUP($A131,'Data shares'!$C:$FB,61)*100</f>
        <v>-34.08</v>
      </c>
      <c r="M131" s="49">
        <f>VLOOKUP($A131,'Data shares'!$C:$FB,62)</f>
        <v>6528000</v>
      </c>
      <c r="N131" s="49">
        <f>VLOOKUP($A131,'Data shares'!$C:$FB,63)</f>
        <v>10038000</v>
      </c>
      <c r="O131" s="140">
        <f>VLOOKUP($A131,'Data shares'!$C:$FB,65)*100</f>
        <v>-34.97</v>
      </c>
    </row>
    <row r="132" spans="1:15" x14ac:dyDescent="0.25">
      <c r="A132" s="101" t="str">
        <f>'Data Vlaue (Cr)'!C127</f>
        <v>MANKIND</v>
      </c>
      <c r="B132" s="50">
        <f>VLOOKUP($A132,'Data shares'!$C:$FB,7)</f>
        <v>2423.6</v>
      </c>
      <c r="C132" s="50">
        <f>VLOOKUP($A132,'Data shares'!$C:$FB,10)*100</f>
        <v>-1.38</v>
      </c>
      <c r="D132" s="49">
        <f>VLOOKUP($A132,'Data shares'!$C:$FB,66)</f>
        <v>2958975</v>
      </c>
      <c r="E132" s="49">
        <f>VLOOKUP($A132,'Data shares'!$C:$FB,67)</f>
        <v>5377275</v>
      </c>
      <c r="F132" s="50">
        <f>VLOOKUP($A132,'Data shares'!$C:$FB,69)*100</f>
        <v>-44.97</v>
      </c>
      <c r="G132" s="49">
        <f>VLOOKUP($A132,'Data shares'!$C:$FB,42)</f>
        <v>1105875</v>
      </c>
      <c r="H132" s="49">
        <f>VLOOKUP($A132,'Data shares'!$C:$FB,43)</f>
        <v>2328975</v>
      </c>
      <c r="I132" s="50">
        <f>VLOOKUP($A132,'Data shares'!$C:$FB,45)*100</f>
        <v>-52.52</v>
      </c>
      <c r="J132" s="49">
        <f>VLOOKUP($A132,'Data shares'!$C:$FB,58)</f>
        <v>937575</v>
      </c>
      <c r="K132" s="49">
        <f>VLOOKUP($A132,'Data shares'!$C:$FB,59)</f>
        <v>1753650</v>
      </c>
      <c r="L132" s="50">
        <f>VLOOKUP($A132,'Data shares'!$C:$FB,61)*100</f>
        <v>-46.54</v>
      </c>
      <c r="M132" s="49">
        <f>VLOOKUP($A132,'Data shares'!$C:$FB,62)</f>
        <v>915525</v>
      </c>
      <c r="N132" s="49">
        <f>VLOOKUP($A132,'Data shares'!$C:$FB,63)</f>
        <v>1294650</v>
      </c>
      <c r="O132" s="140">
        <f>VLOOKUP($A132,'Data shares'!$C:$FB,65)*100</f>
        <v>-29.28</v>
      </c>
    </row>
    <row r="133" spans="1:15" x14ac:dyDescent="0.25">
      <c r="A133" s="101" t="str">
        <f>'Data Vlaue (Cr)'!C128</f>
        <v>MARICO</v>
      </c>
      <c r="B133" s="50">
        <f>VLOOKUP($A133,'Data shares'!$C:$FB,7)</f>
        <v>830</v>
      </c>
      <c r="C133" s="50">
        <f>VLOOKUP($A133,'Data shares'!$C:$FB,10)*100</f>
        <v>0.80999999999999994</v>
      </c>
      <c r="D133" s="49">
        <f>VLOOKUP($A133,'Data shares'!$C:$FB,66)</f>
        <v>10234800</v>
      </c>
      <c r="E133" s="49">
        <f>VLOOKUP($A133,'Data shares'!$C:$FB,67)</f>
        <v>17143200</v>
      </c>
      <c r="F133" s="50">
        <f>VLOOKUP($A133,'Data shares'!$C:$FB,69)*100</f>
        <v>-40.300000000000004</v>
      </c>
      <c r="G133" s="49">
        <f>VLOOKUP($A133,'Data shares'!$C:$FB,42)</f>
        <v>6564000</v>
      </c>
      <c r="H133" s="49">
        <f>VLOOKUP($A133,'Data shares'!$C:$FB,43)</f>
        <v>10527600</v>
      </c>
      <c r="I133" s="50">
        <f>VLOOKUP($A133,'Data shares'!$C:$FB,45)*100</f>
        <v>-37.65</v>
      </c>
      <c r="J133" s="49">
        <f>VLOOKUP($A133,'Data shares'!$C:$FB,58)</f>
        <v>2107200</v>
      </c>
      <c r="K133" s="49">
        <f>VLOOKUP($A133,'Data shares'!$C:$FB,59)</f>
        <v>3541200</v>
      </c>
      <c r="L133" s="50">
        <f>VLOOKUP($A133,'Data shares'!$C:$FB,61)*100</f>
        <v>-40.489999999999995</v>
      </c>
      <c r="M133" s="49">
        <f>VLOOKUP($A133,'Data shares'!$C:$FB,62)</f>
        <v>1563600</v>
      </c>
      <c r="N133" s="49">
        <f>VLOOKUP($A133,'Data shares'!$C:$FB,63)</f>
        <v>3074400</v>
      </c>
      <c r="O133" s="140">
        <f>VLOOKUP($A133,'Data shares'!$C:$FB,65)*100</f>
        <v>-49.14</v>
      </c>
    </row>
    <row r="134" spans="1:15" x14ac:dyDescent="0.25">
      <c r="A134" s="101" t="str">
        <f>'Data Vlaue (Cr)'!C129</f>
        <v>MARUTI</v>
      </c>
      <c r="B134" s="50">
        <f>VLOOKUP($A134,'Data shares'!$C:$FB,7)</f>
        <v>13208</v>
      </c>
      <c r="C134" s="50">
        <f>VLOOKUP($A134,'Data shares'!$C:$FB,10)*100</f>
        <v>0.28999999999999998</v>
      </c>
      <c r="D134" s="49">
        <f>VLOOKUP($A134,'Data shares'!$C:$FB,66)</f>
        <v>4931050</v>
      </c>
      <c r="E134" s="49">
        <f>VLOOKUP($A134,'Data shares'!$C:$FB,67)</f>
        <v>8365750</v>
      </c>
      <c r="F134" s="50">
        <f>VLOOKUP($A134,'Data shares'!$C:$FB,69)*100</f>
        <v>-41.06</v>
      </c>
      <c r="G134" s="49">
        <f>VLOOKUP($A134,'Data shares'!$C:$FB,42)</f>
        <v>668350</v>
      </c>
      <c r="H134" s="49">
        <f>VLOOKUP($A134,'Data shares'!$C:$FB,43)</f>
        <v>1722300</v>
      </c>
      <c r="I134" s="50">
        <f>VLOOKUP($A134,'Data shares'!$C:$FB,45)*100</f>
        <v>-61.19</v>
      </c>
      <c r="J134" s="49">
        <f>VLOOKUP($A134,'Data shares'!$C:$FB,58)</f>
        <v>2940300</v>
      </c>
      <c r="K134" s="49">
        <f>VLOOKUP($A134,'Data shares'!$C:$FB,59)</f>
        <v>4502150</v>
      </c>
      <c r="L134" s="50">
        <f>VLOOKUP($A134,'Data shares'!$C:$FB,61)*100</f>
        <v>-34.69</v>
      </c>
      <c r="M134" s="49">
        <f>VLOOKUP($A134,'Data shares'!$C:$FB,62)</f>
        <v>1322400</v>
      </c>
      <c r="N134" s="49">
        <f>VLOOKUP($A134,'Data shares'!$C:$FB,63)</f>
        <v>2141300</v>
      </c>
      <c r="O134" s="140">
        <f>VLOOKUP($A134,'Data shares'!$C:$FB,65)*100</f>
        <v>-38.24</v>
      </c>
    </row>
    <row r="135" spans="1:15" x14ac:dyDescent="0.25">
      <c r="A135" s="101" t="str">
        <f>'Data Vlaue (Cr)'!C130</f>
        <v>MAXHEALTH</v>
      </c>
      <c r="B135" s="50">
        <f>VLOOKUP($A135,'Data shares'!$C:$FB,7)</f>
        <v>993.95</v>
      </c>
      <c r="C135" s="50">
        <f>VLOOKUP($A135,'Data shares'!$C:$FB,10)*100</f>
        <v>-0.69</v>
      </c>
      <c r="D135" s="49">
        <f>VLOOKUP($A135,'Data shares'!$C:$FB,66)</f>
        <v>14795550</v>
      </c>
      <c r="E135" s="49">
        <f>VLOOKUP($A135,'Data shares'!$C:$FB,67)</f>
        <v>39660600</v>
      </c>
      <c r="F135" s="50">
        <f>VLOOKUP($A135,'Data shares'!$C:$FB,69)*100</f>
        <v>-62.69</v>
      </c>
      <c r="G135" s="49">
        <f>VLOOKUP($A135,'Data shares'!$C:$FB,42)</f>
        <v>3991050</v>
      </c>
      <c r="H135" s="49">
        <f>VLOOKUP($A135,'Data shares'!$C:$FB,43)</f>
        <v>7945875</v>
      </c>
      <c r="I135" s="50">
        <f>VLOOKUP($A135,'Data shares'!$C:$FB,45)*100</f>
        <v>-49.769999999999996</v>
      </c>
      <c r="J135" s="49">
        <f>VLOOKUP($A135,'Data shares'!$C:$FB,58)</f>
        <v>6965700</v>
      </c>
      <c r="K135" s="49">
        <f>VLOOKUP($A135,'Data shares'!$C:$FB,59)</f>
        <v>19580925</v>
      </c>
      <c r="L135" s="50">
        <f>VLOOKUP($A135,'Data shares'!$C:$FB,61)*100</f>
        <v>-64.429999999999993</v>
      </c>
      <c r="M135" s="49">
        <f>VLOOKUP($A135,'Data shares'!$C:$FB,62)</f>
        <v>3838800</v>
      </c>
      <c r="N135" s="49">
        <f>VLOOKUP($A135,'Data shares'!$C:$FB,63)</f>
        <v>12133800</v>
      </c>
      <c r="O135" s="140">
        <f>VLOOKUP($A135,'Data shares'!$C:$FB,65)*100</f>
        <v>-68.36</v>
      </c>
    </row>
    <row r="136" spans="1:15" x14ac:dyDescent="0.25">
      <c r="A136" s="101" t="str">
        <f>'Data Vlaue (Cr)'!C131</f>
        <v>MAZDOCK</v>
      </c>
      <c r="B136" s="50">
        <f>VLOOKUP($A136,'Data shares'!$C:$FB,7)</f>
        <v>2460.1</v>
      </c>
      <c r="C136" s="50">
        <f>VLOOKUP($A136,'Data shares'!$C:$FB,10)*100</f>
        <v>-0.41000000000000003</v>
      </c>
      <c r="D136" s="49">
        <f>VLOOKUP($A136,'Data shares'!$C:$FB,66)</f>
        <v>7635800</v>
      </c>
      <c r="E136" s="49">
        <f>VLOOKUP($A136,'Data shares'!$C:$FB,67)</f>
        <v>8866000</v>
      </c>
      <c r="F136" s="50">
        <f>VLOOKUP($A136,'Data shares'!$C:$FB,69)*100</f>
        <v>-13.88</v>
      </c>
      <c r="G136" s="49">
        <f>VLOOKUP($A136,'Data shares'!$C:$FB,42)</f>
        <v>3006800</v>
      </c>
      <c r="H136" s="49">
        <f>VLOOKUP($A136,'Data shares'!$C:$FB,43)</f>
        <v>3855200</v>
      </c>
      <c r="I136" s="50">
        <f>VLOOKUP($A136,'Data shares'!$C:$FB,45)*100</f>
        <v>-22.009999999999998</v>
      </c>
      <c r="J136" s="49">
        <f>VLOOKUP($A136,'Data shares'!$C:$FB,58)</f>
        <v>3096000</v>
      </c>
      <c r="K136" s="49">
        <f>VLOOKUP($A136,'Data shares'!$C:$FB,59)</f>
        <v>3756600</v>
      </c>
      <c r="L136" s="50">
        <f>VLOOKUP($A136,'Data shares'!$C:$FB,61)*100</f>
        <v>-17.59</v>
      </c>
      <c r="M136" s="49">
        <f>VLOOKUP($A136,'Data shares'!$C:$FB,62)</f>
        <v>1533000</v>
      </c>
      <c r="N136" s="49">
        <f>VLOOKUP($A136,'Data shares'!$C:$FB,63)</f>
        <v>1254200</v>
      </c>
      <c r="O136" s="140">
        <f>VLOOKUP($A136,'Data shares'!$C:$FB,65)*100</f>
        <v>22.23</v>
      </c>
    </row>
    <row r="137" spans="1:15" x14ac:dyDescent="0.25">
      <c r="A137" s="101" t="str">
        <f>'Data Vlaue (Cr)'!C132</f>
        <v>MCX</v>
      </c>
      <c r="B137" s="50">
        <f>VLOOKUP($A137,'Data shares'!$C:$FB,7)</f>
        <v>3307.3</v>
      </c>
      <c r="C137" s="50">
        <f>VLOOKUP($A137,'Data shares'!$C:$FB,10)*100</f>
        <v>-0.2</v>
      </c>
      <c r="D137" s="49">
        <f>VLOOKUP($A137,'Data shares'!$C:$FB,66)</f>
        <v>24443750</v>
      </c>
      <c r="E137" s="49">
        <f>VLOOKUP($A137,'Data shares'!$C:$FB,67)</f>
        <v>48255000</v>
      </c>
      <c r="F137" s="50">
        <f>VLOOKUP($A137,'Data shares'!$C:$FB,69)*100</f>
        <v>-49.34</v>
      </c>
      <c r="G137" s="49">
        <f>VLOOKUP($A137,'Data shares'!$C:$FB,42)</f>
        <v>4661250</v>
      </c>
      <c r="H137" s="49">
        <f>VLOOKUP($A137,'Data shares'!$C:$FB,43)</f>
        <v>7863125</v>
      </c>
      <c r="I137" s="50">
        <f>VLOOKUP($A137,'Data shares'!$C:$FB,45)*100</f>
        <v>-40.72</v>
      </c>
      <c r="J137" s="49">
        <f>VLOOKUP($A137,'Data shares'!$C:$FB,58)</f>
        <v>13073750</v>
      </c>
      <c r="K137" s="49">
        <f>VLOOKUP($A137,'Data shares'!$C:$FB,59)</f>
        <v>27790000</v>
      </c>
      <c r="L137" s="50">
        <f>VLOOKUP($A137,'Data shares'!$C:$FB,61)*100</f>
        <v>-52.959999999999994</v>
      </c>
      <c r="M137" s="49">
        <f>VLOOKUP($A137,'Data shares'!$C:$FB,62)</f>
        <v>6708750</v>
      </c>
      <c r="N137" s="49">
        <f>VLOOKUP($A137,'Data shares'!$C:$FB,63)</f>
        <v>12601875</v>
      </c>
      <c r="O137" s="140">
        <f>VLOOKUP($A137,'Data shares'!$C:$FB,65)*100</f>
        <v>-46.760000000000005</v>
      </c>
    </row>
    <row r="138" spans="1:15" x14ac:dyDescent="0.25">
      <c r="A138" s="101" t="str">
        <f>'Data Vlaue (Cr)'!C133</f>
        <v>MFSL</v>
      </c>
      <c r="B138" s="50">
        <f>VLOOKUP($A138,'Data shares'!$C:$FB,7)</f>
        <v>1725.6</v>
      </c>
      <c r="C138" s="50">
        <f>VLOOKUP($A138,'Data shares'!$C:$FB,10)*100</f>
        <v>-6.9999999999999993E-2</v>
      </c>
      <c r="D138" s="49">
        <f>VLOOKUP($A138,'Data shares'!$C:$FB,66)</f>
        <v>6744000</v>
      </c>
      <c r="E138" s="49">
        <f>VLOOKUP($A138,'Data shares'!$C:$FB,67)</f>
        <v>12451200</v>
      </c>
      <c r="F138" s="50">
        <f>VLOOKUP($A138,'Data shares'!$C:$FB,69)*100</f>
        <v>-45.839999999999996</v>
      </c>
      <c r="G138" s="49">
        <f>VLOOKUP($A138,'Data shares'!$C:$FB,42)</f>
        <v>3418000</v>
      </c>
      <c r="H138" s="49">
        <f>VLOOKUP($A138,'Data shares'!$C:$FB,43)</f>
        <v>5595200</v>
      </c>
      <c r="I138" s="50">
        <f>VLOOKUP($A138,'Data shares'!$C:$FB,45)*100</f>
        <v>-38.909999999999997</v>
      </c>
      <c r="J138" s="49">
        <f>VLOOKUP($A138,'Data shares'!$C:$FB,58)</f>
        <v>2500000</v>
      </c>
      <c r="K138" s="49">
        <f>VLOOKUP($A138,'Data shares'!$C:$FB,59)</f>
        <v>5229200</v>
      </c>
      <c r="L138" s="50">
        <f>VLOOKUP($A138,'Data shares'!$C:$FB,61)*100</f>
        <v>-52.190000000000005</v>
      </c>
      <c r="M138" s="49">
        <f>VLOOKUP($A138,'Data shares'!$C:$FB,62)</f>
        <v>826000</v>
      </c>
      <c r="N138" s="49">
        <f>VLOOKUP($A138,'Data shares'!$C:$FB,63)</f>
        <v>1626800</v>
      </c>
      <c r="O138" s="140">
        <f>VLOOKUP($A138,'Data shares'!$C:$FB,65)*100</f>
        <v>-49.230000000000004</v>
      </c>
    </row>
    <row r="139" spans="1:15" x14ac:dyDescent="0.25">
      <c r="A139" s="101" t="str">
        <f>'Data Vlaue (Cr)'!C134</f>
        <v>MIDCPNIFTY</v>
      </c>
      <c r="B139" s="50">
        <f>VLOOKUP($A139,'Data shares'!$C:$FB,7)</f>
        <v>14675.6</v>
      </c>
      <c r="C139" s="50">
        <f>VLOOKUP($A139,'Data shares'!$C:$FB,10)*100</f>
        <v>0.79</v>
      </c>
      <c r="D139" s="49">
        <f>VLOOKUP($A139,'Data shares'!$C:$FB,66)</f>
        <v>715997160</v>
      </c>
      <c r="E139" s="49">
        <f>VLOOKUP($A139,'Data shares'!$C:$FB,67)</f>
        <v>110670240</v>
      </c>
      <c r="F139" s="50">
        <f>VLOOKUP($A139,'Data shares'!$C:$FB,69)*100</f>
        <v>546.96</v>
      </c>
      <c r="G139" s="49">
        <f>VLOOKUP($A139,'Data shares'!$C:$FB,42)</f>
        <v>923040</v>
      </c>
      <c r="H139" s="49">
        <f>VLOOKUP($A139,'Data shares'!$C:$FB,43)</f>
        <v>2004240</v>
      </c>
      <c r="I139" s="50">
        <f>VLOOKUP($A139,'Data shares'!$C:$FB,45)*100</f>
        <v>-53.949999999999996</v>
      </c>
      <c r="J139" s="49">
        <f>VLOOKUP($A139,'Data shares'!$C:$FB,58)</f>
        <v>384545040</v>
      </c>
      <c r="K139" s="49">
        <f>VLOOKUP($A139,'Data shares'!$C:$FB,59)</f>
        <v>52616640</v>
      </c>
      <c r="L139" s="50">
        <f>VLOOKUP($A139,'Data shares'!$C:$FB,61)*100</f>
        <v>630.84</v>
      </c>
      <c r="M139" s="49">
        <f>VLOOKUP($A139,'Data shares'!$C:$FB,62)</f>
        <v>330529080</v>
      </c>
      <c r="N139" s="49">
        <f>VLOOKUP($A139,'Data shares'!$C:$FB,63)</f>
        <v>56049360</v>
      </c>
      <c r="O139" s="140">
        <f>VLOOKUP($A139,'Data shares'!$C:$FB,65)*100</f>
        <v>489.71</v>
      </c>
    </row>
    <row r="140" spans="1:15" x14ac:dyDescent="0.25">
      <c r="A140" s="101" t="str">
        <f>'Data Vlaue (Cr)'!C135</f>
        <v>MOTHERSON</v>
      </c>
      <c r="B140" s="50">
        <f>VLOOKUP($A140,'Data shares'!$C:$FB,7)</f>
        <v>135.82</v>
      </c>
      <c r="C140" s="50">
        <f>VLOOKUP($A140,'Data shares'!$C:$FB,10)*100</f>
        <v>-6.9999999999999993E-2</v>
      </c>
      <c r="D140" s="49">
        <f>VLOOKUP($A140,'Data shares'!$C:$FB,66)</f>
        <v>141566850</v>
      </c>
      <c r="E140" s="49">
        <f>VLOOKUP($A140,'Data shares'!$C:$FB,67)</f>
        <v>217894500</v>
      </c>
      <c r="F140" s="50">
        <f>VLOOKUP($A140,'Data shares'!$C:$FB,69)*100</f>
        <v>-35.03</v>
      </c>
      <c r="G140" s="49">
        <f>VLOOKUP($A140,'Data shares'!$C:$FB,42)</f>
        <v>76659750</v>
      </c>
      <c r="H140" s="49">
        <f>VLOOKUP($A140,'Data shares'!$C:$FB,43)</f>
        <v>128547300</v>
      </c>
      <c r="I140" s="50">
        <f>VLOOKUP($A140,'Data shares'!$C:$FB,45)*100</f>
        <v>-40.36</v>
      </c>
      <c r="J140" s="49">
        <f>VLOOKUP($A140,'Data shares'!$C:$FB,58)</f>
        <v>42022950</v>
      </c>
      <c r="K140" s="49">
        <f>VLOOKUP($A140,'Data shares'!$C:$FB,59)</f>
        <v>57311850</v>
      </c>
      <c r="L140" s="50">
        <f>VLOOKUP($A140,'Data shares'!$C:$FB,61)*100</f>
        <v>-26.68</v>
      </c>
      <c r="M140" s="49">
        <f>VLOOKUP($A140,'Data shares'!$C:$FB,62)</f>
        <v>22884150</v>
      </c>
      <c r="N140" s="49">
        <f>VLOOKUP($A140,'Data shares'!$C:$FB,63)</f>
        <v>32035350</v>
      </c>
      <c r="O140" s="140">
        <f>VLOOKUP($A140,'Data shares'!$C:$FB,65)*100</f>
        <v>-28.57</v>
      </c>
    </row>
    <row r="141" spans="1:15" x14ac:dyDescent="0.25">
      <c r="A141" s="101" t="str">
        <f>'Data Vlaue (Cr)'!C136</f>
        <v>MOTILALOFS</v>
      </c>
      <c r="B141" s="50">
        <f>VLOOKUP($A141,'Data shares'!$C:$FB,7)</f>
        <v>870.55</v>
      </c>
      <c r="C141" s="50">
        <f>VLOOKUP($A141,'Data shares'!$C:$FB,10)*100</f>
        <v>0.03</v>
      </c>
      <c r="D141" s="49">
        <f>VLOOKUP($A141,'Data shares'!$C:$FB,66)</f>
        <v>8419600</v>
      </c>
      <c r="E141" s="49">
        <f>VLOOKUP($A141,'Data shares'!$C:$FB,67)</f>
        <v>10299750</v>
      </c>
      <c r="F141" s="50">
        <f>VLOOKUP($A141,'Data shares'!$C:$FB,69)*100</f>
        <v>-18.25</v>
      </c>
      <c r="G141" s="49">
        <f>VLOOKUP($A141,'Data shares'!$C:$FB,42)</f>
        <v>2564475</v>
      </c>
      <c r="H141" s="49">
        <f>VLOOKUP($A141,'Data shares'!$C:$FB,43)</f>
        <v>3778900</v>
      </c>
      <c r="I141" s="50">
        <f>VLOOKUP($A141,'Data shares'!$C:$FB,45)*100</f>
        <v>-32.14</v>
      </c>
      <c r="J141" s="49">
        <f>VLOOKUP($A141,'Data shares'!$C:$FB,58)</f>
        <v>4824375</v>
      </c>
      <c r="K141" s="49">
        <f>VLOOKUP($A141,'Data shares'!$C:$FB,59)</f>
        <v>5559850</v>
      </c>
      <c r="L141" s="50">
        <f>VLOOKUP($A141,'Data shares'!$C:$FB,61)*100</f>
        <v>-13.23</v>
      </c>
      <c r="M141" s="49">
        <f>VLOOKUP($A141,'Data shares'!$C:$FB,62)</f>
        <v>1030750</v>
      </c>
      <c r="N141" s="49">
        <f>VLOOKUP($A141,'Data shares'!$C:$FB,63)</f>
        <v>961000</v>
      </c>
      <c r="O141" s="140">
        <f>VLOOKUP($A141,'Data shares'!$C:$FB,65)*100</f>
        <v>7.26</v>
      </c>
    </row>
    <row r="142" spans="1:15" x14ac:dyDescent="0.25">
      <c r="A142" s="101" t="str">
        <f>'Data Vlaue (Cr)'!C137</f>
        <v>MPHASIS</v>
      </c>
      <c r="B142" s="50">
        <f>VLOOKUP($A142,'Data shares'!$C:$FB,7)</f>
        <v>2265.3000000000002</v>
      </c>
      <c r="C142" s="50">
        <f>VLOOKUP($A142,'Data shares'!$C:$FB,10)*100</f>
        <v>0.95</v>
      </c>
      <c r="D142" s="49">
        <f>VLOOKUP($A142,'Data shares'!$C:$FB,66)</f>
        <v>4171200</v>
      </c>
      <c r="E142" s="49">
        <f>VLOOKUP($A142,'Data shares'!$C:$FB,67)</f>
        <v>4801775</v>
      </c>
      <c r="F142" s="50">
        <f>VLOOKUP($A142,'Data shares'!$C:$FB,69)*100</f>
        <v>-13.13</v>
      </c>
      <c r="G142" s="49">
        <f>VLOOKUP($A142,'Data shares'!$C:$FB,42)</f>
        <v>1680525</v>
      </c>
      <c r="H142" s="49">
        <f>VLOOKUP($A142,'Data shares'!$C:$FB,43)</f>
        <v>2482150</v>
      </c>
      <c r="I142" s="50">
        <f>VLOOKUP($A142,'Data shares'!$C:$FB,45)*100</f>
        <v>-32.300000000000004</v>
      </c>
      <c r="J142" s="49">
        <f>VLOOKUP($A142,'Data shares'!$C:$FB,58)</f>
        <v>1531475</v>
      </c>
      <c r="K142" s="49">
        <f>VLOOKUP($A142,'Data shares'!$C:$FB,59)</f>
        <v>1314225</v>
      </c>
      <c r="L142" s="50">
        <f>VLOOKUP($A142,'Data shares'!$C:$FB,61)*100</f>
        <v>16.53</v>
      </c>
      <c r="M142" s="49">
        <f>VLOOKUP($A142,'Data shares'!$C:$FB,62)</f>
        <v>959200</v>
      </c>
      <c r="N142" s="49">
        <f>VLOOKUP($A142,'Data shares'!$C:$FB,63)</f>
        <v>1005400</v>
      </c>
      <c r="O142" s="140">
        <f>VLOOKUP($A142,'Data shares'!$C:$FB,65)*100</f>
        <v>-4.5999999999999996</v>
      </c>
    </row>
    <row r="143" spans="1:15" x14ac:dyDescent="0.25">
      <c r="A143" s="101" t="str">
        <f>'Data Vlaue (Cr)'!C138</f>
        <v>MUTHOOTFIN</v>
      </c>
      <c r="B143" s="50">
        <f>VLOOKUP($A143,'Data shares'!$C:$FB,7)</f>
        <v>3331.5</v>
      </c>
      <c r="C143" s="50">
        <f>VLOOKUP($A143,'Data shares'!$C:$FB,10)*100</f>
        <v>-0.67999999999999994</v>
      </c>
      <c r="D143" s="49">
        <f>VLOOKUP($A143,'Data shares'!$C:$FB,66)</f>
        <v>4219050</v>
      </c>
      <c r="E143" s="49">
        <f>VLOOKUP($A143,'Data shares'!$C:$FB,67)</f>
        <v>10710425</v>
      </c>
      <c r="F143" s="50">
        <f>VLOOKUP($A143,'Data shares'!$C:$FB,69)*100</f>
        <v>-60.61</v>
      </c>
      <c r="G143" s="49">
        <f>VLOOKUP($A143,'Data shares'!$C:$FB,42)</f>
        <v>885500</v>
      </c>
      <c r="H143" s="49">
        <f>VLOOKUP($A143,'Data shares'!$C:$FB,43)</f>
        <v>2639450</v>
      </c>
      <c r="I143" s="50">
        <f>VLOOKUP($A143,'Data shares'!$C:$FB,45)*100</f>
        <v>-66.45</v>
      </c>
      <c r="J143" s="49">
        <f>VLOOKUP($A143,'Data shares'!$C:$FB,58)</f>
        <v>1999250</v>
      </c>
      <c r="K143" s="49">
        <f>VLOOKUP($A143,'Data shares'!$C:$FB,59)</f>
        <v>5393575</v>
      </c>
      <c r="L143" s="50">
        <f>VLOOKUP($A143,'Data shares'!$C:$FB,61)*100</f>
        <v>-62.93</v>
      </c>
      <c r="M143" s="49">
        <f>VLOOKUP($A143,'Data shares'!$C:$FB,62)</f>
        <v>1334300</v>
      </c>
      <c r="N143" s="49">
        <f>VLOOKUP($A143,'Data shares'!$C:$FB,63)</f>
        <v>2677400</v>
      </c>
      <c r="O143" s="140">
        <f>VLOOKUP($A143,'Data shares'!$C:$FB,65)*100</f>
        <v>-50.160000000000004</v>
      </c>
    </row>
    <row r="144" spans="1:15" x14ac:dyDescent="0.25">
      <c r="A144" s="101" t="str">
        <f>'Data Vlaue (Cr)'!C139</f>
        <v>NAM-INDIA</v>
      </c>
      <c r="B144" s="50">
        <f>VLOOKUP($A144,'Data shares'!$C:$FB,7)</f>
        <v>1095.7</v>
      </c>
      <c r="C144" s="50">
        <f>VLOOKUP($A144,'Data shares'!$C:$FB,10)*100</f>
        <v>-0.4</v>
      </c>
      <c r="D144" s="49">
        <f>VLOOKUP($A144,'Data shares'!$C:$FB,66)</f>
        <v>3865625</v>
      </c>
      <c r="E144" s="49">
        <f>VLOOKUP($A144,'Data shares'!$C:$FB,67)</f>
        <v>5990625</v>
      </c>
      <c r="F144" s="50">
        <f>VLOOKUP($A144,'Data shares'!$C:$FB,69)*100</f>
        <v>-35.47</v>
      </c>
      <c r="G144" s="49">
        <f>VLOOKUP($A144,'Data shares'!$C:$FB,42)</f>
        <v>1785000</v>
      </c>
      <c r="H144" s="49">
        <f>VLOOKUP($A144,'Data shares'!$C:$FB,43)</f>
        <v>4264375</v>
      </c>
      <c r="I144" s="50">
        <f>VLOOKUP($A144,'Data shares'!$C:$FB,45)*100</f>
        <v>-58.14</v>
      </c>
      <c r="J144" s="49">
        <f>VLOOKUP($A144,'Data shares'!$C:$FB,58)</f>
        <v>1183125</v>
      </c>
      <c r="K144" s="49">
        <f>VLOOKUP($A144,'Data shares'!$C:$FB,59)</f>
        <v>1340000</v>
      </c>
      <c r="L144" s="50">
        <f>VLOOKUP($A144,'Data shares'!$C:$FB,61)*100</f>
        <v>-11.709999999999999</v>
      </c>
      <c r="M144" s="49">
        <f>VLOOKUP($A144,'Data shares'!$C:$FB,62)</f>
        <v>897500</v>
      </c>
      <c r="N144" s="49">
        <f>VLOOKUP($A144,'Data shares'!$C:$FB,63)</f>
        <v>386250</v>
      </c>
      <c r="O144" s="140">
        <f>VLOOKUP($A144,'Data shares'!$C:$FB,65)*100</f>
        <v>132.36000000000001</v>
      </c>
    </row>
    <row r="145" spans="1:15" x14ac:dyDescent="0.25">
      <c r="A145" s="101" t="str">
        <f>'Data Vlaue (Cr)'!C140</f>
        <v>NATIONALUM</v>
      </c>
      <c r="B145" s="50">
        <f>VLOOKUP($A145,'Data shares'!$C:$FB,7)</f>
        <v>416.2</v>
      </c>
      <c r="C145" s="50">
        <f>VLOOKUP($A145,'Data shares'!$C:$FB,10)*100</f>
        <v>3.2800000000000002</v>
      </c>
      <c r="D145" s="49">
        <f>VLOOKUP($A145,'Data shares'!$C:$FB,66)</f>
        <v>92690625</v>
      </c>
      <c r="E145" s="49">
        <f>VLOOKUP($A145,'Data shares'!$C:$FB,67)</f>
        <v>65386875</v>
      </c>
      <c r="F145" s="50">
        <f>VLOOKUP($A145,'Data shares'!$C:$FB,69)*100</f>
        <v>41.760000000000005</v>
      </c>
      <c r="G145" s="49">
        <f>VLOOKUP($A145,'Data shares'!$C:$FB,42)</f>
        <v>38531250</v>
      </c>
      <c r="H145" s="49">
        <f>VLOOKUP($A145,'Data shares'!$C:$FB,43)</f>
        <v>24258750</v>
      </c>
      <c r="I145" s="50">
        <f>VLOOKUP($A145,'Data shares'!$C:$FB,45)*100</f>
        <v>58.830000000000005</v>
      </c>
      <c r="J145" s="49">
        <f>VLOOKUP($A145,'Data shares'!$C:$FB,58)</f>
        <v>37145625</v>
      </c>
      <c r="K145" s="49">
        <f>VLOOKUP($A145,'Data shares'!$C:$FB,59)</f>
        <v>27628125</v>
      </c>
      <c r="L145" s="50">
        <f>VLOOKUP($A145,'Data shares'!$C:$FB,61)*100</f>
        <v>34.449999999999996</v>
      </c>
      <c r="M145" s="49">
        <f>VLOOKUP($A145,'Data shares'!$C:$FB,62)</f>
        <v>17013750</v>
      </c>
      <c r="N145" s="49">
        <f>VLOOKUP($A145,'Data shares'!$C:$FB,63)</f>
        <v>13500000</v>
      </c>
      <c r="O145" s="140">
        <f>VLOOKUP($A145,'Data shares'!$C:$FB,65)*100</f>
        <v>26.029999999999998</v>
      </c>
    </row>
    <row r="146" spans="1:15" x14ac:dyDescent="0.25">
      <c r="A146" s="101" t="str">
        <f>'Data Vlaue (Cr)'!C141</f>
        <v>NAUKRI</v>
      </c>
      <c r="B146" s="50">
        <f>VLOOKUP($A146,'Data shares'!$C:$FB,7)</f>
        <v>980.7</v>
      </c>
      <c r="C146" s="50">
        <f>VLOOKUP($A146,'Data shares'!$C:$FB,10)*100</f>
        <v>4.5</v>
      </c>
      <c r="D146" s="49">
        <f>VLOOKUP($A146,'Data shares'!$C:$FB,66)</f>
        <v>36536250</v>
      </c>
      <c r="E146" s="49">
        <f>VLOOKUP($A146,'Data shares'!$C:$FB,67)</f>
        <v>66911625</v>
      </c>
      <c r="F146" s="50">
        <f>VLOOKUP($A146,'Data shares'!$C:$FB,69)*100</f>
        <v>-45.4</v>
      </c>
      <c r="G146" s="49">
        <f>VLOOKUP($A146,'Data shares'!$C:$FB,42)</f>
        <v>5736000</v>
      </c>
      <c r="H146" s="49">
        <f>VLOOKUP($A146,'Data shares'!$C:$FB,43)</f>
        <v>12081750</v>
      </c>
      <c r="I146" s="50">
        <f>VLOOKUP($A146,'Data shares'!$C:$FB,45)*100</f>
        <v>-52.52</v>
      </c>
      <c r="J146" s="49">
        <f>VLOOKUP($A146,'Data shares'!$C:$FB,58)</f>
        <v>23070000</v>
      </c>
      <c r="K146" s="49">
        <f>VLOOKUP($A146,'Data shares'!$C:$FB,59)</f>
        <v>34505625</v>
      </c>
      <c r="L146" s="50">
        <f>VLOOKUP($A146,'Data shares'!$C:$FB,61)*100</f>
        <v>-33.14</v>
      </c>
      <c r="M146" s="49">
        <f>VLOOKUP($A146,'Data shares'!$C:$FB,62)</f>
        <v>7730250</v>
      </c>
      <c r="N146" s="49">
        <f>VLOOKUP($A146,'Data shares'!$C:$FB,63)</f>
        <v>20324250</v>
      </c>
      <c r="O146" s="140">
        <f>VLOOKUP($A146,'Data shares'!$C:$FB,65)*100</f>
        <v>-61.970000000000006</v>
      </c>
    </row>
    <row r="147" spans="1:15" x14ac:dyDescent="0.25">
      <c r="A147" s="101" t="str">
        <f>'Data Vlaue (Cr)'!C142</f>
        <v>NBCC</v>
      </c>
      <c r="B147" s="50">
        <f>VLOOKUP($A147,'Data shares'!$C:$FB,7)</f>
        <v>95.55</v>
      </c>
      <c r="C147" s="50">
        <f>VLOOKUP($A147,'Data shares'!$C:$FB,10)*100</f>
        <v>-1.28</v>
      </c>
      <c r="D147" s="49">
        <f>VLOOKUP($A147,'Data shares'!$C:$FB,66)</f>
        <v>161330000</v>
      </c>
      <c r="E147" s="49">
        <f>VLOOKUP($A147,'Data shares'!$C:$FB,67)</f>
        <v>233954500</v>
      </c>
      <c r="F147" s="50">
        <f>VLOOKUP($A147,'Data shares'!$C:$FB,69)*100</f>
        <v>-31.04</v>
      </c>
      <c r="G147" s="49">
        <f>VLOOKUP($A147,'Data shares'!$C:$FB,42)</f>
        <v>74249500</v>
      </c>
      <c r="H147" s="49">
        <f>VLOOKUP($A147,'Data shares'!$C:$FB,43)</f>
        <v>96882500</v>
      </c>
      <c r="I147" s="50">
        <f>VLOOKUP($A147,'Data shares'!$C:$FB,45)*100</f>
        <v>-23.36</v>
      </c>
      <c r="J147" s="49">
        <f>VLOOKUP($A147,'Data shares'!$C:$FB,58)</f>
        <v>58675500</v>
      </c>
      <c r="K147" s="49">
        <f>VLOOKUP($A147,'Data shares'!$C:$FB,59)</f>
        <v>92449500</v>
      </c>
      <c r="L147" s="50">
        <f>VLOOKUP($A147,'Data shares'!$C:$FB,61)*100</f>
        <v>-36.53</v>
      </c>
      <c r="M147" s="49">
        <f>VLOOKUP($A147,'Data shares'!$C:$FB,62)</f>
        <v>28405000</v>
      </c>
      <c r="N147" s="49">
        <f>VLOOKUP($A147,'Data shares'!$C:$FB,63)</f>
        <v>44622500</v>
      </c>
      <c r="O147" s="140">
        <f>VLOOKUP($A147,'Data shares'!$C:$FB,65)*100</f>
        <v>-36.340000000000003</v>
      </c>
    </row>
    <row r="148" spans="1:15" x14ac:dyDescent="0.25">
      <c r="A148" s="101" t="str">
        <f>'Data Vlaue (Cr)'!C143</f>
        <v>NESTLEIND</v>
      </c>
      <c r="B148" s="50">
        <f>VLOOKUP($A148,'Data shares'!$C:$FB,7)</f>
        <v>1428.6</v>
      </c>
      <c r="C148" s="50">
        <f>VLOOKUP($A148,'Data shares'!$C:$FB,10)*100</f>
        <v>1.06</v>
      </c>
      <c r="D148" s="49">
        <f>VLOOKUP($A148,'Data shares'!$C:$FB,66)</f>
        <v>7017000</v>
      </c>
      <c r="E148" s="49">
        <f>VLOOKUP($A148,'Data shares'!$C:$FB,67)</f>
        <v>11485000</v>
      </c>
      <c r="F148" s="50">
        <f>VLOOKUP($A148,'Data shares'!$C:$FB,69)*100</f>
        <v>-38.9</v>
      </c>
      <c r="G148" s="49">
        <f>VLOOKUP($A148,'Data shares'!$C:$FB,42)</f>
        <v>2591000</v>
      </c>
      <c r="H148" s="49">
        <f>VLOOKUP($A148,'Data shares'!$C:$FB,43)</f>
        <v>6436000</v>
      </c>
      <c r="I148" s="50">
        <f>VLOOKUP($A148,'Data shares'!$C:$FB,45)*100</f>
        <v>-59.74</v>
      </c>
      <c r="J148" s="49">
        <f>VLOOKUP($A148,'Data shares'!$C:$FB,58)</f>
        <v>2704500</v>
      </c>
      <c r="K148" s="49">
        <f>VLOOKUP($A148,'Data shares'!$C:$FB,59)</f>
        <v>3277000</v>
      </c>
      <c r="L148" s="50">
        <f>VLOOKUP($A148,'Data shares'!$C:$FB,61)*100</f>
        <v>-17.47</v>
      </c>
      <c r="M148" s="49">
        <f>VLOOKUP($A148,'Data shares'!$C:$FB,62)</f>
        <v>1721500</v>
      </c>
      <c r="N148" s="49">
        <f>VLOOKUP($A148,'Data shares'!$C:$FB,63)</f>
        <v>1772000</v>
      </c>
      <c r="O148" s="140">
        <f>VLOOKUP($A148,'Data shares'!$C:$FB,65)*100</f>
        <v>-2.85</v>
      </c>
    </row>
    <row r="149" spans="1:15" x14ac:dyDescent="0.25">
      <c r="A149" s="101" t="str">
        <f>'Data Vlaue (Cr)'!C144</f>
        <v>NHPC</v>
      </c>
      <c r="B149" s="50">
        <f>VLOOKUP($A149,'Data shares'!$C:$FB,7)</f>
        <v>78.44</v>
      </c>
      <c r="C149" s="50">
        <f>VLOOKUP($A149,'Data shares'!$C:$FB,10)*100</f>
        <v>-0.73</v>
      </c>
      <c r="D149" s="49">
        <f>VLOOKUP($A149,'Data shares'!$C:$FB,66)</f>
        <v>86348800</v>
      </c>
      <c r="E149" s="49">
        <f>VLOOKUP($A149,'Data shares'!$C:$FB,67)</f>
        <v>138163200</v>
      </c>
      <c r="F149" s="50">
        <f>VLOOKUP($A149,'Data shares'!$C:$FB,69)*100</f>
        <v>-37.5</v>
      </c>
      <c r="G149" s="49">
        <f>VLOOKUP($A149,'Data shares'!$C:$FB,42)</f>
        <v>35712000</v>
      </c>
      <c r="H149" s="49">
        <f>VLOOKUP($A149,'Data shares'!$C:$FB,43)</f>
        <v>72684800</v>
      </c>
      <c r="I149" s="50">
        <f>VLOOKUP($A149,'Data shares'!$C:$FB,45)*100</f>
        <v>-50.870000000000005</v>
      </c>
      <c r="J149" s="49">
        <f>VLOOKUP($A149,'Data shares'!$C:$FB,58)</f>
        <v>32588800</v>
      </c>
      <c r="K149" s="49">
        <f>VLOOKUP($A149,'Data shares'!$C:$FB,59)</f>
        <v>49478400</v>
      </c>
      <c r="L149" s="50">
        <f>VLOOKUP($A149,'Data shares'!$C:$FB,61)*100</f>
        <v>-34.14</v>
      </c>
      <c r="M149" s="49">
        <f>VLOOKUP($A149,'Data shares'!$C:$FB,62)</f>
        <v>18048000</v>
      </c>
      <c r="N149" s="49">
        <f>VLOOKUP($A149,'Data shares'!$C:$FB,63)</f>
        <v>16000000</v>
      </c>
      <c r="O149" s="140">
        <f>VLOOKUP($A149,'Data shares'!$C:$FB,65)*100</f>
        <v>12.8</v>
      </c>
    </row>
    <row r="150" spans="1:15" x14ac:dyDescent="0.25">
      <c r="A150" s="101" t="str">
        <f>'Data Vlaue (Cr)'!C145</f>
        <v>NIFTY</v>
      </c>
      <c r="B150" s="50">
        <f>VLOOKUP($A150,'Data shares'!$C:$FB,7)</f>
        <v>23913.7</v>
      </c>
      <c r="C150" s="50">
        <f>VLOOKUP($A150,'Data shares'!$C:$FB,10)*100</f>
        <v>-0.49</v>
      </c>
      <c r="D150" s="49">
        <f>VLOOKUP($A150,'Data shares'!$C:$FB,66)</f>
        <v>20420710570</v>
      </c>
      <c r="E150" s="49">
        <f>VLOOKUP($A150,'Data shares'!$C:$FB,67)</f>
        <v>6852156545</v>
      </c>
      <c r="F150" s="50">
        <f>VLOOKUP($A150,'Data shares'!$C:$FB,69)*100</f>
        <v>198.01999999999998</v>
      </c>
      <c r="G150" s="49">
        <f>VLOOKUP($A150,'Data shares'!$C:$FB,42)</f>
        <v>9388990</v>
      </c>
      <c r="H150" s="49">
        <f>VLOOKUP($A150,'Data shares'!$C:$FB,43)</f>
        <v>9380930</v>
      </c>
      <c r="I150" s="50">
        <f>VLOOKUP($A150,'Data shares'!$C:$FB,45)*100</f>
        <v>0.09</v>
      </c>
      <c r="J150" s="49">
        <f>VLOOKUP($A150,'Data shares'!$C:$FB,58)</f>
        <v>9619027990</v>
      </c>
      <c r="K150" s="49">
        <f>VLOOKUP($A150,'Data shares'!$C:$FB,59)</f>
        <v>3415072765</v>
      </c>
      <c r="L150" s="50">
        <f>VLOOKUP($A150,'Data shares'!$C:$FB,61)*100</f>
        <v>181.66</v>
      </c>
      <c r="M150" s="49">
        <f>VLOOKUP($A150,'Data shares'!$C:$FB,62)</f>
        <v>10792293590</v>
      </c>
      <c r="N150" s="49">
        <f>VLOOKUP($A150,'Data shares'!$C:$FB,63)</f>
        <v>3427702850</v>
      </c>
      <c r="O150" s="140">
        <f>VLOOKUP($A150,'Data shares'!$C:$FB,65)*100</f>
        <v>214.85</v>
      </c>
    </row>
    <row r="151" spans="1:15" x14ac:dyDescent="0.25">
      <c r="A151" s="101" t="str">
        <f>'Data Vlaue (Cr)'!C146</f>
        <v>NIFTYNXT50</v>
      </c>
      <c r="B151" s="50">
        <f>VLOOKUP($A151,'Data shares'!$C:$FB,7)</f>
        <v>70945.100000000006</v>
      </c>
      <c r="C151" s="50">
        <f>VLOOKUP($A151,'Data shares'!$C:$FB,10)*100</f>
        <v>0.18</v>
      </c>
      <c r="D151" s="49">
        <f>VLOOKUP($A151,'Data shares'!$C:$FB,66)</f>
        <v>442075</v>
      </c>
      <c r="E151" s="49">
        <f>VLOOKUP($A151,'Data shares'!$C:$FB,67)</f>
        <v>97100</v>
      </c>
      <c r="F151" s="50">
        <f>VLOOKUP($A151,'Data shares'!$C:$FB,69)*100</f>
        <v>355.28</v>
      </c>
      <c r="G151" s="49">
        <f>VLOOKUP($A151,'Data shares'!$C:$FB,42)</f>
        <v>13125</v>
      </c>
      <c r="H151" s="49">
        <f>VLOOKUP($A151,'Data shares'!$C:$FB,43)</f>
        <v>19975</v>
      </c>
      <c r="I151" s="50">
        <f>VLOOKUP($A151,'Data shares'!$C:$FB,45)*100</f>
        <v>-34.29</v>
      </c>
      <c r="J151" s="49">
        <f>VLOOKUP($A151,'Data shares'!$C:$FB,58)</f>
        <v>246825</v>
      </c>
      <c r="K151" s="49">
        <f>VLOOKUP($A151,'Data shares'!$C:$FB,59)</f>
        <v>55500</v>
      </c>
      <c r="L151" s="50">
        <f>VLOOKUP($A151,'Data shares'!$C:$FB,61)*100</f>
        <v>344.72999999999996</v>
      </c>
      <c r="M151" s="49">
        <f>VLOOKUP($A151,'Data shares'!$C:$FB,62)</f>
        <v>182125</v>
      </c>
      <c r="N151" s="49">
        <f>VLOOKUP($A151,'Data shares'!$C:$FB,63)</f>
        <v>21625</v>
      </c>
      <c r="O151" s="140">
        <f>VLOOKUP($A151,'Data shares'!$C:$FB,65)*100</f>
        <v>742.19999999999993</v>
      </c>
    </row>
    <row r="152" spans="1:15" x14ac:dyDescent="0.25">
      <c r="A152" s="101" t="str">
        <f>'Data Vlaue (Cr)'!C147</f>
        <v>NMDC</v>
      </c>
      <c r="B152" s="50">
        <f>VLOOKUP($A152,'Data shares'!$C:$FB,7)</f>
        <v>90.67</v>
      </c>
      <c r="C152" s="50">
        <f>VLOOKUP($A152,'Data shares'!$C:$FB,10)*100</f>
        <v>0.53</v>
      </c>
      <c r="D152" s="49">
        <f>VLOOKUP($A152,'Data shares'!$C:$FB,66)</f>
        <v>287435250</v>
      </c>
      <c r="E152" s="49">
        <f>VLOOKUP($A152,'Data shares'!$C:$FB,67)</f>
        <v>252551250</v>
      </c>
      <c r="F152" s="50">
        <f>VLOOKUP($A152,'Data shares'!$C:$FB,69)*100</f>
        <v>13.81</v>
      </c>
      <c r="G152" s="49">
        <f>VLOOKUP($A152,'Data shares'!$C:$FB,42)</f>
        <v>141574500</v>
      </c>
      <c r="H152" s="49">
        <f>VLOOKUP($A152,'Data shares'!$C:$FB,43)</f>
        <v>155425500</v>
      </c>
      <c r="I152" s="50">
        <f>VLOOKUP($A152,'Data shares'!$C:$FB,45)*100</f>
        <v>-8.91</v>
      </c>
      <c r="J152" s="49">
        <f>VLOOKUP($A152,'Data shares'!$C:$FB,58)</f>
        <v>98631000</v>
      </c>
      <c r="K152" s="49">
        <f>VLOOKUP($A152,'Data shares'!$C:$FB,59)</f>
        <v>72677250</v>
      </c>
      <c r="L152" s="50">
        <f>VLOOKUP($A152,'Data shares'!$C:$FB,61)*100</f>
        <v>35.709999999999994</v>
      </c>
      <c r="M152" s="49">
        <f>VLOOKUP($A152,'Data shares'!$C:$FB,62)</f>
        <v>47229750</v>
      </c>
      <c r="N152" s="49">
        <f>VLOOKUP($A152,'Data shares'!$C:$FB,63)</f>
        <v>24448500</v>
      </c>
      <c r="O152" s="140">
        <f>VLOOKUP($A152,'Data shares'!$C:$FB,65)*100</f>
        <v>93.179999999999993</v>
      </c>
    </row>
    <row r="153" spans="1:15" x14ac:dyDescent="0.25">
      <c r="A153" s="101" t="str">
        <f>'Data Vlaue (Cr)'!C148</f>
        <v>NTPC</v>
      </c>
      <c r="B153" s="50">
        <f>VLOOKUP($A153,'Data shares'!$C:$FB,7)</f>
        <v>389.7</v>
      </c>
      <c r="C153" s="50">
        <f>VLOOKUP($A153,'Data shares'!$C:$FB,10)*100</f>
        <v>-0.09</v>
      </c>
      <c r="D153" s="49">
        <f>VLOOKUP($A153,'Data shares'!$C:$FB,66)</f>
        <v>82678500</v>
      </c>
      <c r="E153" s="49">
        <f>VLOOKUP($A153,'Data shares'!$C:$FB,67)</f>
        <v>196519500</v>
      </c>
      <c r="F153" s="50">
        <f>VLOOKUP($A153,'Data shares'!$C:$FB,69)*100</f>
        <v>-57.930000000000007</v>
      </c>
      <c r="G153" s="49">
        <f>VLOOKUP($A153,'Data shares'!$C:$FB,42)</f>
        <v>35175000</v>
      </c>
      <c r="H153" s="49">
        <f>VLOOKUP($A153,'Data shares'!$C:$FB,43)</f>
        <v>65059500</v>
      </c>
      <c r="I153" s="50">
        <f>VLOOKUP($A153,'Data shares'!$C:$FB,45)*100</f>
        <v>-45.93</v>
      </c>
      <c r="J153" s="49">
        <f>VLOOKUP($A153,'Data shares'!$C:$FB,58)</f>
        <v>29055000</v>
      </c>
      <c r="K153" s="49">
        <f>VLOOKUP($A153,'Data shares'!$C:$FB,59)</f>
        <v>84540000</v>
      </c>
      <c r="L153" s="50">
        <f>VLOOKUP($A153,'Data shares'!$C:$FB,61)*100</f>
        <v>-65.63</v>
      </c>
      <c r="M153" s="49">
        <f>VLOOKUP($A153,'Data shares'!$C:$FB,62)</f>
        <v>18448500</v>
      </c>
      <c r="N153" s="49">
        <f>VLOOKUP($A153,'Data shares'!$C:$FB,63)</f>
        <v>46920000</v>
      </c>
      <c r="O153" s="140">
        <f>VLOOKUP($A153,'Data shares'!$C:$FB,65)*100</f>
        <v>-60.68</v>
      </c>
    </row>
    <row r="154" spans="1:15" x14ac:dyDescent="0.25">
      <c r="A154" s="101" t="str">
        <f>'Data Vlaue (Cr)'!C149</f>
        <v>NUVAMA</v>
      </c>
      <c r="B154" s="50">
        <f>VLOOKUP($A154,'Data shares'!$C:$FB,7)</f>
        <v>1513.4</v>
      </c>
      <c r="C154" s="50">
        <f>VLOOKUP($A154,'Data shares'!$C:$FB,10)*100</f>
        <v>0.57000000000000006</v>
      </c>
      <c r="D154" s="49">
        <f>VLOOKUP($A154,'Data shares'!$C:$FB,66)</f>
        <v>3880000</v>
      </c>
      <c r="E154" s="49">
        <f>VLOOKUP($A154,'Data shares'!$C:$FB,67)</f>
        <v>4493000</v>
      </c>
      <c r="F154" s="50">
        <f>VLOOKUP($A154,'Data shares'!$C:$FB,69)*100</f>
        <v>-13.639999999999999</v>
      </c>
      <c r="G154" s="49">
        <f>VLOOKUP($A154,'Data shares'!$C:$FB,42)</f>
        <v>1789500</v>
      </c>
      <c r="H154" s="49">
        <f>VLOOKUP($A154,'Data shares'!$C:$FB,43)</f>
        <v>1707000</v>
      </c>
      <c r="I154" s="50">
        <f>VLOOKUP($A154,'Data shares'!$C:$FB,45)*100</f>
        <v>4.83</v>
      </c>
      <c r="J154" s="49">
        <f>VLOOKUP($A154,'Data shares'!$C:$FB,58)</f>
        <v>1410000</v>
      </c>
      <c r="K154" s="49">
        <f>VLOOKUP($A154,'Data shares'!$C:$FB,59)</f>
        <v>1876000</v>
      </c>
      <c r="L154" s="50">
        <f>VLOOKUP($A154,'Data shares'!$C:$FB,61)*100</f>
        <v>-24.84</v>
      </c>
      <c r="M154" s="49">
        <f>VLOOKUP($A154,'Data shares'!$C:$FB,62)</f>
        <v>680500</v>
      </c>
      <c r="N154" s="49">
        <f>VLOOKUP($A154,'Data shares'!$C:$FB,63)</f>
        <v>910000</v>
      </c>
      <c r="O154" s="140">
        <f>VLOOKUP($A154,'Data shares'!$C:$FB,65)*100</f>
        <v>-25.22</v>
      </c>
    </row>
    <row r="155" spans="1:15" x14ac:dyDescent="0.25">
      <c r="A155" s="101" t="str">
        <f>'Data Vlaue (Cr)'!C150</f>
        <v>NYKAA</v>
      </c>
      <c r="B155" s="50">
        <f>VLOOKUP($A155,'Data shares'!$C:$FB,7)</f>
        <v>266.35000000000002</v>
      </c>
      <c r="C155" s="50">
        <f>VLOOKUP($A155,'Data shares'!$C:$FB,10)*100</f>
        <v>-1.37</v>
      </c>
      <c r="D155" s="49">
        <f>VLOOKUP($A155,'Data shares'!$C:$FB,66)</f>
        <v>62053125</v>
      </c>
      <c r="E155" s="49">
        <f>VLOOKUP($A155,'Data shares'!$C:$FB,67)</f>
        <v>137703125</v>
      </c>
      <c r="F155" s="50">
        <f>VLOOKUP($A155,'Data shares'!$C:$FB,69)*100</f>
        <v>-54.94</v>
      </c>
      <c r="G155" s="49">
        <f>VLOOKUP($A155,'Data shares'!$C:$FB,42)</f>
        <v>23881250</v>
      </c>
      <c r="H155" s="49">
        <f>VLOOKUP($A155,'Data shares'!$C:$FB,43)</f>
        <v>40006250</v>
      </c>
      <c r="I155" s="50">
        <f>VLOOKUP($A155,'Data shares'!$C:$FB,45)*100</f>
        <v>-40.31</v>
      </c>
      <c r="J155" s="49">
        <f>VLOOKUP($A155,'Data shares'!$C:$FB,58)</f>
        <v>28750000</v>
      </c>
      <c r="K155" s="49">
        <f>VLOOKUP($A155,'Data shares'!$C:$FB,59)</f>
        <v>73803125</v>
      </c>
      <c r="L155" s="50">
        <f>VLOOKUP($A155,'Data shares'!$C:$FB,61)*100</f>
        <v>-61.050000000000004</v>
      </c>
      <c r="M155" s="49">
        <f>VLOOKUP($A155,'Data shares'!$C:$FB,62)</f>
        <v>9421875</v>
      </c>
      <c r="N155" s="49">
        <f>VLOOKUP($A155,'Data shares'!$C:$FB,63)</f>
        <v>23893750</v>
      </c>
      <c r="O155" s="140">
        <f>VLOOKUP($A155,'Data shares'!$C:$FB,65)*100</f>
        <v>-60.57</v>
      </c>
    </row>
    <row r="156" spans="1:15" x14ac:dyDescent="0.25">
      <c r="A156" s="101" t="str">
        <f>'Data Vlaue (Cr)'!C151</f>
        <v>OBEROIRLTY</v>
      </c>
      <c r="B156" s="50">
        <f>VLOOKUP($A156,'Data shares'!$C:$FB,7)</f>
        <v>1693.7</v>
      </c>
      <c r="C156" s="50">
        <f>VLOOKUP($A156,'Data shares'!$C:$FB,10)*100</f>
        <v>-1.0900000000000001</v>
      </c>
      <c r="D156" s="49">
        <f>VLOOKUP($A156,'Data shares'!$C:$FB,66)</f>
        <v>3937850</v>
      </c>
      <c r="E156" s="49">
        <f>VLOOKUP($A156,'Data shares'!$C:$FB,67)</f>
        <v>10035550</v>
      </c>
      <c r="F156" s="50">
        <f>VLOOKUP($A156,'Data shares'!$C:$FB,69)*100</f>
        <v>-60.760000000000005</v>
      </c>
      <c r="G156" s="49">
        <f>VLOOKUP($A156,'Data shares'!$C:$FB,42)</f>
        <v>2114700</v>
      </c>
      <c r="H156" s="49">
        <f>VLOOKUP($A156,'Data shares'!$C:$FB,43)</f>
        <v>6598900</v>
      </c>
      <c r="I156" s="50">
        <f>VLOOKUP($A156,'Data shares'!$C:$FB,45)*100</f>
        <v>-67.95</v>
      </c>
      <c r="J156" s="49">
        <f>VLOOKUP($A156,'Data shares'!$C:$FB,58)</f>
        <v>1115450</v>
      </c>
      <c r="K156" s="49">
        <f>VLOOKUP($A156,'Data shares'!$C:$FB,59)</f>
        <v>2392950</v>
      </c>
      <c r="L156" s="50">
        <f>VLOOKUP($A156,'Data shares'!$C:$FB,61)*100</f>
        <v>-53.39</v>
      </c>
      <c r="M156" s="49">
        <f>VLOOKUP($A156,'Data shares'!$C:$FB,62)</f>
        <v>707700</v>
      </c>
      <c r="N156" s="49">
        <f>VLOOKUP($A156,'Data shares'!$C:$FB,63)</f>
        <v>1043700</v>
      </c>
      <c r="O156" s="140">
        <f>VLOOKUP($A156,'Data shares'!$C:$FB,65)*100</f>
        <v>-32.190000000000005</v>
      </c>
    </row>
    <row r="157" spans="1:15" x14ac:dyDescent="0.25">
      <c r="A157" s="101" t="str">
        <f>'Data Vlaue (Cr)'!C152</f>
        <v>OFSS</v>
      </c>
      <c r="B157" s="50">
        <f>VLOOKUP($A157,'Data shares'!$C:$FB,7)</f>
        <v>9882</v>
      </c>
      <c r="C157" s="50">
        <f>VLOOKUP($A157,'Data shares'!$C:$FB,10)*100</f>
        <v>1.8399999999999999</v>
      </c>
      <c r="D157" s="49">
        <f>VLOOKUP($A157,'Data shares'!$C:$FB,66)</f>
        <v>2796675</v>
      </c>
      <c r="E157" s="49">
        <f>VLOOKUP($A157,'Data shares'!$C:$FB,67)</f>
        <v>3798075</v>
      </c>
      <c r="F157" s="50">
        <f>VLOOKUP($A157,'Data shares'!$C:$FB,69)*100</f>
        <v>-26.369999999999997</v>
      </c>
      <c r="G157" s="49">
        <f>VLOOKUP($A157,'Data shares'!$C:$FB,42)</f>
        <v>464925</v>
      </c>
      <c r="H157" s="49">
        <f>VLOOKUP($A157,'Data shares'!$C:$FB,43)</f>
        <v>685125</v>
      </c>
      <c r="I157" s="50">
        <f>VLOOKUP($A157,'Data shares'!$C:$FB,45)*100</f>
        <v>-32.14</v>
      </c>
      <c r="J157" s="49">
        <f>VLOOKUP($A157,'Data shares'!$C:$FB,58)</f>
        <v>1455900</v>
      </c>
      <c r="K157" s="49">
        <f>VLOOKUP($A157,'Data shares'!$C:$FB,59)</f>
        <v>1832775</v>
      </c>
      <c r="L157" s="50">
        <f>VLOOKUP($A157,'Data shares'!$C:$FB,61)*100</f>
        <v>-20.560000000000002</v>
      </c>
      <c r="M157" s="49">
        <f>VLOOKUP($A157,'Data shares'!$C:$FB,62)</f>
        <v>875850</v>
      </c>
      <c r="N157" s="49">
        <f>VLOOKUP($A157,'Data shares'!$C:$FB,63)</f>
        <v>1280175</v>
      </c>
      <c r="O157" s="140">
        <f>VLOOKUP($A157,'Data shares'!$C:$FB,65)*100</f>
        <v>-31.580000000000002</v>
      </c>
    </row>
    <row r="158" spans="1:15" x14ac:dyDescent="0.25">
      <c r="A158" s="101" t="str">
        <f>'Data Vlaue (Cr)'!C153</f>
        <v>OIL</v>
      </c>
      <c r="B158" s="50">
        <f>VLOOKUP($A158,'Data shares'!$C:$FB,7)</f>
        <v>492.1</v>
      </c>
      <c r="C158" s="50">
        <f>VLOOKUP($A158,'Data shares'!$C:$FB,10)*100</f>
        <v>1.9800000000000002</v>
      </c>
      <c r="D158" s="49">
        <f>VLOOKUP($A158,'Data shares'!$C:$FB,66)</f>
        <v>23265200</v>
      </c>
      <c r="E158" s="49">
        <f>VLOOKUP($A158,'Data shares'!$C:$FB,67)</f>
        <v>32984000</v>
      </c>
      <c r="F158" s="50">
        <f>VLOOKUP($A158,'Data shares'!$C:$FB,69)*100</f>
        <v>-29.470000000000002</v>
      </c>
      <c r="G158" s="49">
        <f>VLOOKUP($A158,'Data shares'!$C:$FB,42)</f>
        <v>7019600</v>
      </c>
      <c r="H158" s="49">
        <f>VLOOKUP($A158,'Data shares'!$C:$FB,43)</f>
        <v>10617600</v>
      </c>
      <c r="I158" s="50">
        <f>VLOOKUP($A158,'Data shares'!$C:$FB,45)*100</f>
        <v>-33.89</v>
      </c>
      <c r="J158" s="49">
        <f>VLOOKUP($A158,'Data shares'!$C:$FB,58)</f>
        <v>10728200</v>
      </c>
      <c r="K158" s="49">
        <f>VLOOKUP($A158,'Data shares'!$C:$FB,59)</f>
        <v>11299400</v>
      </c>
      <c r="L158" s="50">
        <f>VLOOKUP($A158,'Data shares'!$C:$FB,61)*100</f>
        <v>-5.0599999999999996</v>
      </c>
      <c r="M158" s="49">
        <f>VLOOKUP($A158,'Data shares'!$C:$FB,62)</f>
        <v>5517400</v>
      </c>
      <c r="N158" s="49">
        <f>VLOOKUP($A158,'Data shares'!$C:$FB,63)</f>
        <v>11067000</v>
      </c>
      <c r="O158" s="140">
        <f>VLOOKUP($A158,'Data shares'!$C:$FB,65)*100</f>
        <v>-50.149999999999991</v>
      </c>
    </row>
    <row r="159" spans="1:15" x14ac:dyDescent="0.25">
      <c r="A159" s="101" t="str">
        <f>'Data Vlaue (Cr)'!C154</f>
        <v>ONGC</v>
      </c>
      <c r="B159" s="50">
        <f>VLOOKUP($A159,'Data shares'!$C:$FB,7)</f>
        <v>287.5</v>
      </c>
      <c r="C159" s="50">
        <f>VLOOKUP($A159,'Data shares'!$C:$FB,10)*100</f>
        <v>0.89</v>
      </c>
      <c r="D159" s="49">
        <f>VLOOKUP($A159,'Data shares'!$C:$FB,66)</f>
        <v>125867250</v>
      </c>
      <c r="E159" s="49">
        <f>VLOOKUP($A159,'Data shares'!$C:$FB,67)</f>
        <v>165530250</v>
      </c>
      <c r="F159" s="50">
        <f>VLOOKUP($A159,'Data shares'!$C:$FB,69)*100</f>
        <v>-23.96</v>
      </c>
      <c r="G159" s="49">
        <f>VLOOKUP($A159,'Data shares'!$C:$FB,42)</f>
        <v>26271000</v>
      </c>
      <c r="H159" s="49">
        <f>VLOOKUP($A159,'Data shares'!$C:$FB,43)</f>
        <v>50802750</v>
      </c>
      <c r="I159" s="50">
        <f>VLOOKUP($A159,'Data shares'!$C:$FB,45)*100</f>
        <v>-48.29</v>
      </c>
      <c r="J159" s="49">
        <f>VLOOKUP($A159,'Data shares'!$C:$FB,58)</f>
        <v>65605500</v>
      </c>
      <c r="K159" s="49">
        <f>VLOOKUP($A159,'Data shares'!$C:$FB,59)</f>
        <v>66744000</v>
      </c>
      <c r="L159" s="50">
        <f>VLOOKUP($A159,'Data shares'!$C:$FB,61)*100</f>
        <v>-1.71</v>
      </c>
      <c r="M159" s="49">
        <f>VLOOKUP($A159,'Data shares'!$C:$FB,62)</f>
        <v>33990750</v>
      </c>
      <c r="N159" s="49">
        <f>VLOOKUP($A159,'Data shares'!$C:$FB,63)</f>
        <v>47983500</v>
      </c>
      <c r="O159" s="140">
        <f>VLOOKUP($A159,'Data shares'!$C:$FB,65)*100</f>
        <v>-29.160000000000004</v>
      </c>
    </row>
    <row r="160" spans="1:15" x14ac:dyDescent="0.25">
      <c r="A160" s="101" t="str">
        <f>'Data Vlaue (Cr)'!C155</f>
        <v>PAGEIND</v>
      </c>
      <c r="B160" s="50">
        <f>VLOOKUP($A160,'Data shares'!$C:$FB,7)</f>
        <v>38305</v>
      </c>
      <c r="C160" s="50">
        <f>VLOOKUP($A160,'Data shares'!$C:$FB,10)*100</f>
        <v>-0.62</v>
      </c>
      <c r="D160" s="49">
        <f>VLOOKUP($A160,'Data shares'!$C:$FB,66)</f>
        <v>318000</v>
      </c>
      <c r="E160" s="49">
        <f>VLOOKUP($A160,'Data shares'!$C:$FB,67)</f>
        <v>1280130</v>
      </c>
      <c r="F160" s="50">
        <f>VLOOKUP($A160,'Data shares'!$C:$FB,69)*100</f>
        <v>-75.160000000000011</v>
      </c>
      <c r="G160" s="49">
        <f>VLOOKUP($A160,'Data shares'!$C:$FB,42)</f>
        <v>53745</v>
      </c>
      <c r="H160" s="49">
        <f>VLOOKUP($A160,'Data shares'!$C:$FB,43)</f>
        <v>215850</v>
      </c>
      <c r="I160" s="50">
        <f>VLOOKUP($A160,'Data shares'!$C:$FB,45)*100</f>
        <v>-75.099999999999994</v>
      </c>
      <c r="J160" s="49">
        <f>VLOOKUP($A160,'Data shares'!$C:$FB,58)</f>
        <v>179895</v>
      </c>
      <c r="K160" s="49">
        <f>VLOOKUP($A160,'Data shares'!$C:$FB,59)</f>
        <v>596235</v>
      </c>
      <c r="L160" s="50">
        <f>VLOOKUP($A160,'Data shares'!$C:$FB,61)*100</f>
        <v>-69.83</v>
      </c>
      <c r="M160" s="49">
        <f>VLOOKUP($A160,'Data shares'!$C:$FB,62)</f>
        <v>84360</v>
      </c>
      <c r="N160" s="49">
        <f>VLOOKUP($A160,'Data shares'!$C:$FB,63)</f>
        <v>468045</v>
      </c>
      <c r="O160" s="140">
        <f>VLOOKUP($A160,'Data shares'!$C:$FB,65)*100</f>
        <v>-81.98</v>
      </c>
    </row>
    <row r="161" spans="1:15" x14ac:dyDescent="0.25">
      <c r="A161" s="101" t="str">
        <f>'Data Vlaue (Cr)'!C156</f>
        <v>PATANJALI</v>
      </c>
      <c r="B161" s="50">
        <f>VLOOKUP($A161,'Data shares'!$C:$FB,7)</f>
        <v>465.75</v>
      </c>
      <c r="C161" s="50">
        <f>VLOOKUP($A161,'Data shares'!$C:$FB,10)*100</f>
        <v>-0.57999999999999996</v>
      </c>
      <c r="D161" s="49">
        <f>VLOOKUP($A161,'Data shares'!$C:$FB,66)</f>
        <v>17957700</v>
      </c>
      <c r="E161" s="49">
        <f>VLOOKUP($A161,'Data shares'!$C:$FB,67)</f>
        <v>33744600</v>
      </c>
      <c r="F161" s="50">
        <f>VLOOKUP($A161,'Data shares'!$C:$FB,69)*100</f>
        <v>-46.78</v>
      </c>
      <c r="G161" s="49">
        <f>VLOOKUP($A161,'Data shares'!$C:$FB,42)</f>
        <v>13426200</v>
      </c>
      <c r="H161" s="49">
        <f>VLOOKUP($A161,'Data shares'!$C:$FB,43)</f>
        <v>23123700</v>
      </c>
      <c r="I161" s="50">
        <f>VLOOKUP($A161,'Data shares'!$C:$FB,45)*100</f>
        <v>-41.94</v>
      </c>
      <c r="J161" s="49">
        <f>VLOOKUP($A161,'Data shares'!$C:$FB,58)</f>
        <v>2830500</v>
      </c>
      <c r="K161" s="49">
        <f>VLOOKUP($A161,'Data shares'!$C:$FB,59)</f>
        <v>6280200</v>
      </c>
      <c r="L161" s="50">
        <f>VLOOKUP($A161,'Data shares'!$C:$FB,61)*100</f>
        <v>-54.93</v>
      </c>
      <c r="M161" s="49">
        <f>VLOOKUP($A161,'Data shares'!$C:$FB,62)</f>
        <v>1701000</v>
      </c>
      <c r="N161" s="49">
        <f>VLOOKUP($A161,'Data shares'!$C:$FB,63)</f>
        <v>4340700</v>
      </c>
      <c r="O161" s="140">
        <f>VLOOKUP($A161,'Data shares'!$C:$FB,65)*100</f>
        <v>-60.809999999999995</v>
      </c>
    </row>
    <row r="162" spans="1:15" x14ac:dyDescent="0.25">
      <c r="A162" s="101" t="str">
        <f>'Data Vlaue (Cr)'!C157</f>
        <v>PAYTM</v>
      </c>
      <c r="B162" s="50">
        <f>VLOOKUP($A162,'Data shares'!$C:$FB,7)</f>
        <v>1131.5999999999999</v>
      </c>
      <c r="C162" s="50">
        <f>VLOOKUP($A162,'Data shares'!$C:$FB,10)*100</f>
        <v>3.1199999999999997</v>
      </c>
      <c r="D162" s="49">
        <f>VLOOKUP($A162,'Data shares'!$C:$FB,66)</f>
        <v>35775850</v>
      </c>
      <c r="E162" s="49">
        <f>VLOOKUP($A162,'Data shares'!$C:$FB,67)</f>
        <v>35084200</v>
      </c>
      <c r="F162" s="50">
        <f>VLOOKUP($A162,'Data shares'!$C:$FB,69)*100</f>
        <v>1.97</v>
      </c>
      <c r="G162" s="49">
        <f>VLOOKUP($A162,'Data shares'!$C:$FB,42)</f>
        <v>11545625</v>
      </c>
      <c r="H162" s="49">
        <f>VLOOKUP($A162,'Data shares'!$C:$FB,43)</f>
        <v>12225675</v>
      </c>
      <c r="I162" s="50">
        <f>VLOOKUP($A162,'Data shares'!$C:$FB,45)*100</f>
        <v>-5.56</v>
      </c>
      <c r="J162" s="49">
        <f>VLOOKUP($A162,'Data shares'!$C:$FB,58)</f>
        <v>16201575</v>
      </c>
      <c r="K162" s="49">
        <f>VLOOKUP($A162,'Data shares'!$C:$FB,59)</f>
        <v>12588175</v>
      </c>
      <c r="L162" s="50">
        <f>VLOOKUP($A162,'Data shares'!$C:$FB,61)*100</f>
        <v>28.7</v>
      </c>
      <c r="M162" s="49">
        <f>VLOOKUP($A162,'Data shares'!$C:$FB,62)</f>
        <v>8028650</v>
      </c>
      <c r="N162" s="49">
        <f>VLOOKUP($A162,'Data shares'!$C:$FB,63)</f>
        <v>10270350</v>
      </c>
      <c r="O162" s="140">
        <f>VLOOKUP($A162,'Data shares'!$C:$FB,65)*100</f>
        <v>-21.83</v>
      </c>
    </row>
    <row r="163" spans="1:15" x14ac:dyDescent="0.25">
      <c r="A163" s="101" t="str">
        <f>'Data Vlaue (Cr)'!C158</f>
        <v>PERSISTENT</v>
      </c>
      <c r="B163" s="50">
        <f>VLOOKUP($A163,'Data shares'!$C:$FB,7)</f>
        <v>5105.8</v>
      </c>
      <c r="C163" s="50">
        <f>VLOOKUP($A163,'Data shares'!$C:$FB,10)*100</f>
        <v>1.35</v>
      </c>
      <c r="D163" s="49">
        <f>VLOOKUP($A163,'Data shares'!$C:$FB,66)</f>
        <v>4080400</v>
      </c>
      <c r="E163" s="49">
        <f>VLOOKUP($A163,'Data shares'!$C:$FB,67)</f>
        <v>5357700</v>
      </c>
      <c r="F163" s="50">
        <f>VLOOKUP($A163,'Data shares'!$C:$FB,69)*100</f>
        <v>-23.84</v>
      </c>
      <c r="G163" s="49">
        <f>VLOOKUP($A163,'Data shares'!$C:$FB,42)</f>
        <v>1336800</v>
      </c>
      <c r="H163" s="49">
        <f>VLOOKUP($A163,'Data shares'!$C:$FB,43)</f>
        <v>2306700</v>
      </c>
      <c r="I163" s="50">
        <f>VLOOKUP($A163,'Data shares'!$C:$FB,45)*100</f>
        <v>-42.05</v>
      </c>
      <c r="J163" s="49">
        <f>VLOOKUP($A163,'Data shares'!$C:$FB,58)</f>
        <v>1749900</v>
      </c>
      <c r="K163" s="49">
        <f>VLOOKUP($A163,'Data shares'!$C:$FB,59)</f>
        <v>1948500</v>
      </c>
      <c r="L163" s="50">
        <f>VLOOKUP($A163,'Data shares'!$C:$FB,61)*100</f>
        <v>-10.190000000000001</v>
      </c>
      <c r="M163" s="49">
        <f>VLOOKUP($A163,'Data shares'!$C:$FB,62)</f>
        <v>993700</v>
      </c>
      <c r="N163" s="49">
        <f>VLOOKUP($A163,'Data shares'!$C:$FB,63)</f>
        <v>1102500</v>
      </c>
      <c r="O163" s="140">
        <f>VLOOKUP($A163,'Data shares'!$C:$FB,65)*100</f>
        <v>-9.8699999999999992</v>
      </c>
    </row>
    <row r="164" spans="1:15" x14ac:dyDescent="0.25">
      <c r="A164" s="101" t="str">
        <f>'Data Vlaue (Cr)'!C159</f>
        <v>PETRONET</v>
      </c>
      <c r="B164" s="50">
        <f>VLOOKUP($A164,'Data shares'!$C:$FB,7)</f>
        <v>280.2</v>
      </c>
      <c r="C164" s="50">
        <f>VLOOKUP($A164,'Data shares'!$C:$FB,10)*100</f>
        <v>-0.73</v>
      </c>
      <c r="D164" s="49">
        <f>VLOOKUP($A164,'Data shares'!$C:$FB,66)</f>
        <v>30506400</v>
      </c>
      <c r="E164" s="49">
        <f>VLOOKUP($A164,'Data shares'!$C:$FB,67)</f>
        <v>47082000</v>
      </c>
      <c r="F164" s="50">
        <f>VLOOKUP($A164,'Data shares'!$C:$FB,69)*100</f>
        <v>-35.21</v>
      </c>
      <c r="G164" s="49">
        <f>VLOOKUP($A164,'Data shares'!$C:$FB,42)</f>
        <v>13178400</v>
      </c>
      <c r="H164" s="49">
        <f>VLOOKUP($A164,'Data shares'!$C:$FB,43)</f>
        <v>20128600</v>
      </c>
      <c r="I164" s="50">
        <f>VLOOKUP($A164,'Data shares'!$C:$FB,45)*100</f>
        <v>-34.53</v>
      </c>
      <c r="J164" s="49">
        <f>VLOOKUP($A164,'Data shares'!$C:$FB,58)</f>
        <v>9872400</v>
      </c>
      <c r="K164" s="49">
        <f>VLOOKUP($A164,'Data shares'!$C:$FB,59)</f>
        <v>17227300</v>
      </c>
      <c r="L164" s="50">
        <f>VLOOKUP($A164,'Data shares'!$C:$FB,61)*100</f>
        <v>-42.69</v>
      </c>
      <c r="M164" s="49">
        <f>VLOOKUP($A164,'Data shares'!$C:$FB,62)</f>
        <v>7455600</v>
      </c>
      <c r="N164" s="49">
        <f>VLOOKUP($A164,'Data shares'!$C:$FB,63)</f>
        <v>9726100</v>
      </c>
      <c r="O164" s="140">
        <f>VLOOKUP($A164,'Data shares'!$C:$FB,65)*100</f>
        <v>-23.34</v>
      </c>
    </row>
    <row r="165" spans="1:15" x14ac:dyDescent="0.25">
      <c r="A165" s="101" t="str">
        <f>'Data Vlaue (Cr)'!C160</f>
        <v>PFC</v>
      </c>
      <c r="B165" s="50">
        <f>VLOOKUP($A165,'Data shares'!$C:$FB,7)</f>
        <v>433.7</v>
      </c>
      <c r="C165" s="50">
        <f>VLOOKUP($A165,'Data shares'!$C:$FB,10)*100</f>
        <v>-1.18</v>
      </c>
      <c r="D165" s="49">
        <f>VLOOKUP($A165,'Data shares'!$C:$FB,66)</f>
        <v>46433400</v>
      </c>
      <c r="E165" s="49">
        <f>VLOOKUP($A165,'Data shares'!$C:$FB,67)</f>
        <v>69685200</v>
      </c>
      <c r="F165" s="50">
        <f>VLOOKUP($A165,'Data shares'!$C:$FB,69)*100</f>
        <v>-33.369999999999997</v>
      </c>
      <c r="G165" s="49">
        <f>VLOOKUP($A165,'Data shares'!$C:$FB,42)</f>
        <v>22545900</v>
      </c>
      <c r="H165" s="49">
        <f>VLOOKUP($A165,'Data shares'!$C:$FB,43)</f>
        <v>33120100</v>
      </c>
      <c r="I165" s="50">
        <f>VLOOKUP($A165,'Data shares'!$C:$FB,45)*100</f>
        <v>-31.929999999999996</v>
      </c>
      <c r="J165" s="49">
        <f>VLOOKUP($A165,'Data shares'!$C:$FB,58)</f>
        <v>15876900</v>
      </c>
      <c r="K165" s="49">
        <f>VLOOKUP($A165,'Data shares'!$C:$FB,59)</f>
        <v>24739000</v>
      </c>
      <c r="L165" s="50">
        <f>VLOOKUP($A165,'Data shares'!$C:$FB,61)*100</f>
        <v>-35.82</v>
      </c>
      <c r="M165" s="49">
        <f>VLOOKUP($A165,'Data shares'!$C:$FB,62)</f>
        <v>8010600</v>
      </c>
      <c r="N165" s="49">
        <f>VLOOKUP($A165,'Data shares'!$C:$FB,63)</f>
        <v>11826100</v>
      </c>
      <c r="O165" s="140">
        <f>VLOOKUP($A165,'Data shares'!$C:$FB,65)*100</f>
        <v>-32.26</v>
      </c>
    </row>
    <row r="166" spans="1:15" x14ac:dyDescent="0.25">
      <c r="A166" s="101" t="str">
        <f>'Data Vlaue (Cr)'!C161</f>
        <v>PGEL</v>
      </c>
      <c r="B166" s="50">
        <f>VLOOKUP($A166,'Data shares'!$C:$FB,7)</f>
        <v>466.95</v>
      </c>
      <c r="C166" s="50">
        <f>VLOOKUP($A166,'Data shares'!$C:$FB,10)*100</f>
        <v>-0.91</v>
      </c>
      <c r="D166" s="49">
        <f>VLOOKUP($A166,'Data shares'!$C:$FB,66)</f>
        <v>27876800</v>
      </c>
      <c r="E166" s="49">
        <f>VLOOKUP($A166,'Data shares'!$C:$FB,67)</f>
        <v>29102300</v>
      </c>
      <c r="F166" s="50">
        <f>VLOOKUP($A166,'Data shares'!$C:$FB,69)*100</f>
        <v>-4.21</v>
      </c>
      <c r="G166" s="49">
        <f>VLOOKUP($A166,'Data shares'!$C:$FB,42)</f>
        <v>10327450</v>
      </c>
      <c r="H166" s="49">
        <f>VLOOKUP($A166,'Data shares'!$C:$FB,43)</f>
        <v>10112750</v>
      </c>
      <c r="I166" s="50">
        <f>VLOOKUP($A166,'Data shares'!$C:$FB,45)*100</f>
        <v>2.12</v>
      </c>
      <c r="J166" s="49">
        <f>VLOOKUP($A166,'Data shares'!$C:$FB,58)</f>
        <v>10938300</v>
      </c>
      <c r="K166" s="49">
        <f>VLOOKUP($A166,'Data shares'!$C:$FB,59)</f>
        <v>13476700</v>
      </c>
      <c r="L166" s="50">
        <f>VLOOKUP($A166,'Data shares'!$C:$FB,61)*100</f>
        <v>-18.84</v>
      </c>
      <c r="M166" s="49">
        <f>VLOOKUP($A166,'Data shares'!$C:$FB,62)</f>
        <v>6611050</v>
      </c>
      <c r="N166" s="49">
        <f>VLOOKUP($A166,'Data shares'!$C:$FB,63)</f>
        <v>5512850</v>
      </c>
      <c r="O166" s="140">
        <f>VLOOKUP($A166,'Data shares'!$C:$FB,65)*100</f>
        <v>19.919999999999998</v>
      </c>
    </row>
    <row r="167" spans="1:15" x14ac:dyDescent="0.25">
      <c r="A167" s="101" t="str">
        <f>'Data Vlaue (Cr)'!C162</f>
        <v>PHOENIXLTD</v>
      </c>
      <c r="B167" s="50">
        <f>VLOOKUP($A167,'Data shares'!$C:$FB,7)</f>
        <v>1785.4</v>
      </c>
      <c r="C167" s="50">
        <f>VLOOKUP($A167,'Data shares'!$C:$FB,10)*100</f>
        <v>-1.34</v>
      </c>
      <c r="D167" s="49">
        <f>VLOOKUP($A167,'Data shares'!$C:$FB,66)</f>
        <v>1634850</v>
      </c>
      <c r="E167" s="49">
        <f>VLOOKUP($A167,'Data shares'!$C:$FB,67)</f>
        <v>3751300</v>
      </c>
      <c r="F167" s="50">
        <f>VLOOKUP($A167,'Data shares'!$C:$FB,69)*100</f>
        <v>-56.42</v>
      </c>
      <c r="G167" s="49">
        <f>VLOOKUP($A167,'Data shares'!$C:$FB,42)</f>
        <v>704200</v>
      </c>
      <c r="H167" s="49">
        <f>VLOOKUP($A167,'Data shares'!$C:$FB,43)</f>
        <v>2155650</v>
      </c>
      <c r="I167" s="50">
        <f>VLOOKUP($A167,'Data shares'!$C:$FB,45)*100</f>
        <v>-67.33</v>
      </c>
      <c r="J167" s="49">
        <f>VLOOKUP($A167,'Data shares'!$C:$FB,58)</f>
        <v>663250</v>
      </c>
      <c r="K167" s="49">
        <f>VLOOKUP($A167,'Data shares'!$C:$FB,59)</f>
        <v>953050</v>
      </c>
      <c r="L167" s="50">
        <f>VLOOKUP($A167,'Data shares'!$C:$FB,61)*100</f>
        <v>-30.409999999999997</v>
      </c>
      <c r="M167" s="49">
        <f>VLOOKUP($A167,'Data shares'!$C:$FB,62)</f>
        <v>267400</v>
      </c>
      <c r="N167" s="49">
        <f>VLOOKUP($A167,'Data shares'!$C:$FB,63)</f>
        <v>642600</v>
      </c>
      <c r="O167" s="140">
        <f>VLOOKUP($A167,'Data shares'!$C:$FB,65)*100</f>
        <v>-58.39</v>
      </c>
    </row>
    <row r="168" spans="1:15" x14ac:dyDescent="0.25">
      <c r="A168" s="101" t="str">
        <f>'Data Vlaue (Cr)'!C163</f>
        <v>PIDILITIND</v>
      </c>
      <c r="B168" s="50">
        <f>VLOOKUP($A168,'Data shares'!$C:$FB,7)</f>
        <v>1478.5</v>
      </c>
      <c r="C168" s="50">
        <f>VLOOKUP($A168,'Data shares'!$C:$FB,10)*100</f>
        <v>0.09</v>
      </c>
      <c r="D168" s="49">
        <f>VLOOKUP($A168,'Data shares'!$C:$FB,66)</f>
        <v>5578000</v>
      </c>
      <c r="E168" s="49">
        <f>VLOOKUP($A168,'Data shares'!$C:$FB,67)</f>
        <v>9740000</v>
      </c>
      <c r="F168" s="50">
        <f>VLOOKUP($A168,'Data shares'!$C:$FB,69)*100</f>
        <v>-42.730000000000004</v>
      </c>
      <c r="G168" s="49">
        <f>VLOOKUP($A168,'Data shares'!$C:$FB,42)</f>
        <v>2715000</v>
      </c>
      <c r="H168" s="49">
        <f>VLOOKUP($A168,'Data shares'!$C:$FB,43)</f>
        <v>4916500</v>
      </c>
      <c r="I168" s="50">
        <f>VLOOKUP($A168,'Data shares'!$C:$FB,45)*100</f>
        <v>-44.78</v>
      </c>
      <c r="J168" s="49">
        <f>VLOOKUP($A168,'Data shares'!$C:$FB,58)</f>
        <v>2031500</v>
      </c>
      <c r="K168" s="49">
        <f>VLOOKUP($A168,'Data shares'!$C:$FB,59)</f>
        <v>3567000</v>
      </c>
      <c r="L168" s="50">
        <f>VLOOKUP($A168,'Data shares'!$C:$FB,61)*100</f>
        <v>-43.05</v>
      </c>
      <c r="M168" s="49">
        <f>VLOOKUP($A168,'Data shares'!$C:$FB,62)</f>
        <v>831500</v>
      </c>
      <c r="N168" s="49">
        <f>VLOOKUP($A168,'Data shares'!$C:$FB,63)</f>
        <v>1256500</v>
      </c>
      <c r="O168" s="140">
        <f>VLOOKUP($A168,'Data shares'!$C:$FB,65)*100</f>
        <v>-33.82</v>
      </c>
    </row>
    <row r="169" spans="1:15" x14ac:dyDescent="0.25">
      <c r="A169" s="101" t="str">
        <f>'Data Vlaue (Cr)'!C164</f>
        <v>PIIND</v>
      </c>
      <c r="B169" s="50">
        <f>VLOOKUP($A169,'Data shares'!$C:$FB,7)</f>
        <v>2837.9</v>
      </c>
      <c r="C169" s="50">
        <f>VLOOKUP($A169,'Data shares'!$C:$FB,10)*100</f>
        <v>-0.38999999999999996</v>
      </c>
      <c r="D169" s="49">
        <f>VLOOKUP($A169,'Data shares'!$C:$FB,66)</f>
        <v>3965675</v>
      </c>
      <c r="E169" s="49">
        <f>VLOOKUP($A169,'Data shares'!$C:$FB,67)</f>
        <v>9425850</v>
      </c>
      <c r="F169" s="50">
        <f>VLOOKUP($A169,'Data shares'!$C:$FB,69)*100</f>
        <v>-57.930000000000007</v>
      </c>
      <c r="G169" s="49">
        <f>VLOOKUP($A169,'Data shares'!$C:$FB,42)</f>
        <v>1292900</v>
      </c>
      <c r="H169" s="49">
        <f>VLOOKUP($A169,'Data shares'!$C:$FB,43)</f>
        <v>2772875</v>
      </c>
      <c r="I169" s="50">
        <f>VLOOKUP($A169,'Data shares'!$C:$FB,45)*100</f>
        <v>-53.37</v>
      </c>
      <c r="J169" s="49">
        <f>VLOOKUP($A169,'Data shares'!$C:$FB,58)</f>
        <v>1590050</v>
      </c>
      <c r="K169" s="49">
        <f>VLOOKUP($A169,'Data shares'!$C:$FB,59)</f>
        <v>5007800</v>
      </c>
      <c r="L169" s="50">
        <f>VLOOKUP($A169,'Data shares'!$C:$FB,61)*100</f>
        <v>-68.25</v>
      </c>
      <c r="M169" s="49">
        <f>VLOOKUP($A169,'Data shares'!$C:$FB,62)</f>
        <v>1082725</v>
      </c>
      <c r="N169" s="49">
        <f>VLOOKUP($A169,'Data shares'!$C:$FB,63)</f>
        <v>1645175</v>
      </c>
      <c r="O169" s="140">
        <f>VLOOKUP($A169,'Data shares'!$C:$FB,65)*100</f>
        <v>-34.19</v>
      </c>
    </row>
    <row r="170" spans="1:15" x14ac:dyDescent="0.25">
      <c r="A170" s="101" t="str">
        <f>'Data Vlaue (Cr)'!C165</f>
        <v>PNB</v>
      </c>
      <c r="B170" s="50">
        <f>VLOOKUP($A170,'Data shares'!$C:$FB,7)</f>
        <v>105.91</v>
      </c>
      <c r="C170" s="50">
        <f>VLOOKUP($A170,'Data shares'!$C:$FB,10)*100</f>
        <v>-0.33</v>
      </c>
      <c r="D170" s="49">
        <f>VLOOKUP($A170,'Data shares'!$C:$FB,66)</f>
        <v>285752000</v>
      </c>
      <c r="E170" s="49">
        <f>VLOOKUP($A170,'Data shares'!$C:$FB,67)</f>
        <v>482360000</v>
      </c>
      <c r="F170" s="50">
        <f>VLOOKUP($A170,'Data shares'!$C:$FB,69)*100</f>
        <v>-40.760000000000005</v>
      </c>
      <c r="G170" s="49">
        <f>VLOOKUP($A170,'Data shares'!$C:$FB,42)</f>
        <v>141776000</v>
      </c>
      <c r="H170" s="49">
        <f>VLOOKUP($A170,'Data shares'!$C:$FB,43)</f>
        <v>219768000</v>
      </c>
      <c r="I170" s="50">
        <f>VLOOKUP($A170,'Data shares'!$C:$FB,45)*100</f>
        <v>-35.49</v>
      </c>
      <c r="J170" s="49">
        <f>VLOOKUP($A170,'Data shares'!$C:$FB,58)</f>
        <v>86824000</v>
      </c>
      <c r="K170" s="49">
        <f>VLOOKUP($A170,'Data shares'!$C:$FB,59)</f>
        <v>169296000</v>
      </c>
      <c r="L170" s="50">
        <f>VLOOKUP($A170,'Data shares'!$C:$FB,61)*100</f>
        <v>-48.71</v>
      </c>
      <c r="M170" s="49">
        <f>VLOOKUP($A170,'Data shares'!$C:$FB,62)</f>
        <v>57152000</v>
      </c>
      <c r="N170" s="49">
        <f>VLOOKUP($A170,'Data shares'!$C:$FB,63)</f>
        <v>93296000</v>
      </c>
      <c r="O170" s="140">
        <f>VLOOKUP($A170,'Data shares'!$C:$FB,65)*100</f>
        <v>-38.74</v>
      </c>
    </row>
    <row r="171" spans="1:15" x14ac:dyDescent="0.25">
      <c r="A171" s="101" t="str">
        <f>'Data Vlaue (Cr)'!C166</f>
        <v>PNBHOUSING</v>
      </c>
      <c r="B171" s="50">
        <f>VLOOKUP($A171,'Data shares'!$C:$FB,7)</f>
        <v>1092.5999999999999</v>
      </c>
      <c r="C171" s="50">
        <f>VLOOKUP($A171,'Data shares'!$C:$FB,10)*100</f>
        <v>0.64</v>
      </c>
      <c r="D171" s="49">
        <f>VLOOKUP($A171,'Data shares'!$C:$FB,66)</f>
        <v>5597150</v>
      </c>
      <c r="E171" s="49">
        <f>VLOOKUP($A171,'Data shares'!$C:$FB,67)</f>
        <v>14554800</v>
      </c>
      <c r="F171" s="50">
        <f>VLOOKUP($A171,'Data shares'!$C:$FB,69)*100</f>
        <v>-61.539999999999992</v>
      </c>
      <c r="G171" s="49">
        <f>VLOOKUP($A171,'Data shares'!$C:$FB,42)</f>
        <v>2670850</v>
      </c>
      <c r="H171" s="49">
        <f>VLOOKUP($A171,'Data shares'!$C:$FB,43)</f>
        <v>8549450</v>
      </c>
      <c r="I171" s="50">
        <f>VLOOKUP($A171,'Data shares'!$C:$FB,45)*100</f>
        <v>-68.760000000000005</v>
      </c>
      <c r="J171" s="49">
        <f>VLOOKUP($A171,'Data shares'!$C:$FB,58)</f>
        <v>1513850</v>
      </c>
      <c r="K171" s="49">
        <f>VLOOKUP($A171,'Data shares'!$C:$FB,59)</f>
        <v>4613050</v>
      </c>
      <c r="L171" s="50">
        <f>VLOOKUP($A171,'Data shares'!$C:$FB,61)*100</f>
        <v>-67.179999999999993</v>
      </c>
      <c r="M171" s="49">
        <f>VLOOKUP($A171,'Data shares'!$C:$FB,62)</f>
        <v>1412450</v>
      </c>
      <c r="N171" s="49">
        <f>VLOOKUP($A171,'Data shares'!$C:$FB,63)</f>
        <v>1392300</v>
      </c>
      <c r="O171" s="140">
        <f>VLOOKUP($A171,'Data shares'!$C:$FB,65)*100</f>
        <v>1.4500000000000002</v>
      </c>
    </row>
    <row r="172" spans="1:15" x14ac:dyDescent="0.25">
      <c r="A172" s="101" t="str">
        <f>'Data Vlaue (Cr)'!C167</f>
        <v>POLICYBZR</v>
      </c>
      <c r="B172" s="50">
        <f>VLOOKUP($A172,'Data shares'!$C:$FB,7)</f>
        <v>1789</v>
      </c>
      <c r="C172" s="50">
        <f>VLOOKUP($A172,'Data shares'!$C:$FB,10)*100</f>
        <v>-0.13999999999999999</v>
      </c>
      <c r="D172" s="49">
        <f>VLOOKUP($A172,'Data shares'!$C:$FB,66)</f>
        <v>3650500</v>
      </c>
      <c r="E172" s="49">
        <f>VLOOKUP($A172,'Data shares'!$C:$FB,67)</f>
        <v>12145700</v>
      </c>
      <c r="F172" s="50">
        <f>VLOOKUP($A172,'Data shares'!$C:$FB,69)*100</f>
        <v>-69.94</v>
      </c>
      <c r="G172" s="49">
        <f>VLOOKUP($A172,'Data shares'!$C:$FB,42)</f>
        <v>1493100</v>
      </c>
      <c r="H172" s="49">
        <f>VLOOKUP($A172,'Data shares'!$C:$FB,43)</f>
        <v>7042700</v>
      </c>
      <c r="I172" s="50">
        <f>VLOOKUP($A172,'Data shares'!$C:$FB,45)*100</f>
        <v>-78.8</v>
      </c>
      <c r="J172" s="49">
        <f>VLOOKUP($A172,'Data shares'!$C:$FB,58)</f>
        <v>1297800</v>
      </c>
      <c r="K172" s="49">
        <f>VLOOKUP($A172,'Data shares'!$C:$FB,59)</f>
        <v>2745400</v>
      </c>
      <c r="L172" s="50">
        <f>VLOOKUP($A172,'Data shares'!$C:$FB,61)*100</f>
        <v>-52.73</v>
      </c>
      <c r="M172" s="49">
        <f>VLOOKUP($A172,'Data shares'!$C:$FB,62)</f>
        <v>859600</v>
      </c>
      <c r="N172" s="49">
        <f>VLOOKUP($A172,'Data shares'!$C:$FB,63)</f>
        <v>2357600</v>
      </c>
      <c r="O172" s="140">
        <f>VLOOKUP($A172,'Data shares'!$C:$FB,65)*100</f>
        <v>-63.54</v>
      </c>
    </row>
    <row r="173" spans="1:15" x14ac:dyDescent="0.25">
      <c r="A173" s="101" t="str">
        <f>'Data Vlaue (Cr)'!C168</f>
        <v>POLYCAB</v>
      </c>
      <c r="B173" s="50">
        <f>VLOOKUP($A173,'Data shares'!$C:$FB,7)</f>
        <v>9613.5</v>
      </c>
      <c r="C173" s="50">
        <f>VLOOKUP($A173,'Data shares'!$C:$FB,10)*100</f>
        <v>2.29</v>
      </c>
      <c r="D173" s="49">
        <f>VLOOKUP($A173,'Data shares'!$C:$FB,66)</f>
        <v>7549750</v>
      </c>
      <c r="E173" s="49">
        <f>VLOOKUP($A173,'Data shares'!$C:$FB,67)</f>
        <v>9856875</v>
      </c>
      <c r="F173" s="50">
        <f>VLOOKUP($A173,'Data shares'!$C:$FB,69)*100</f>
        <v>-23.41</v>
      </c>
      <c r="G173" s="49">
        <f>VLOOKUP($A173,'Data shares'!$C:$FB,42)</f>
        <v>1710750</v>
      </c>
      <c r="H173" s="49">
        <f>VLOOKUP($A173,'Data shares'!$C:$FB,43)</f>
        <v>1233250</v>
      </c>
      <c r="I173" s="50">
        <f>VLOOKUP($A173,'Data shares'!$C:$FB,45)*100</f>
        <v>38.72</v>
      </c>
      <c r="J173" s="49">
        <f>VLOOKUP($A173,'Data shares'!$C:$FB,58)</f>
        <v>3717625</v>
      </c>
      <c r="K173" s="49">
        <f>VLOOKUP($A173,'Data shares'!$C:$FB,59)</f>
        <v>5363250</v>
      </c>
      <c r="L173" s="50">
        <f>VLOOKUP($A173,'Data shares'!$C:$FB,61)*100</f>
        <v>-30.680000000000003</v>
      </c>
      <c r="M173" s="49">
        <f>VLOOKUP($A173,'Data shares'!$C:$FB,62)</f>
        <v>2121375</v>
      </c>
      <c r="N173" s="49">
        <f>VLOOKUP($A173,'Data shares'!$C:$FB,63)</f>
        <v>3260375</v>
      </c>
      <c r="O173" s="140">
        <f>VLOOKUP($A173,'Data shares'!$C:$FB,65)*100</f>
        <v>-34.93</v>
      </c>
    </row>
    <row r="174" spans="1:15" x14ac:dyDescent="0.25">
      <c r="A174" s="101" t="str">
        <f>'Data Vlaue (Cr)'!C169</f>
        <v>POWERGRID</v>
      </c>
      <c r="B174" s="50">
        <f>VLOOKUP($A174,'Data shares'!$C:$FB,7)</f>
        <v>292.55</v>
      </c>
      <c r="C174" s="50">
        <f>VLOOKUP($A174,'Data shares'!$C:$FB,10)*100</f>
        <v>-0.95</v>
      </c>
      <c r="D174" s="49">
        <f>VLOOKUP($A174,'Data shares'!$C:$FB,66)</f>
        <v>43223100</v>
      </c>
      <c r="E174" s="49">
        <f>VLOOKUP($A174,'Data shares'!$C:$FB,67)</f>
        <v>63357400</v>
      </c>
      <c r="F174" s="50">
        <f>VLOOKUP($A174,'Data shares'!$C:$FB,69)*100</f>
        <v>-31.78</v>
      </c>
      <c r="G174" s="49">
        <f>VLOOKUP($A174,'Data shares'!$C:$FB,42)</f>
        <v>18430000</v>
      </c>
      <c r="H174" s="49">
        <f>VLOOKUP($A174,'Data shares'!$C:$FB,43)</f>
        <v>26113600</v>
      </c>
      <c r="I174" s="50">
        <f>VLOOKUP($A174,'Data shares'!$C:$FB,45)*100</f>
        <v>-29.42</v>
      </c>
      <c r="J174" s="49">
        <f>VLOOKUP($A174,'Data shares'!$C:$FB,58)</f>
        <v>15241800</v>
      </c>
      <c r="K174" s="49">
        <f>VLOOKUP($A174,'Data shares'!$C:$FB,59)</f>
        <v>22233800</v>
      </c>
      <c r="L174" s="50">
        <f>VLOOKUP($A174,'Data shares'!$C:$FB,61)*100</f>
        <v>-31.45</v>
      </c>
      <c r="M174" s="49">
        <f>VLOOKUP($A174,'Data shares'!$C:$FB,62)</f>
        <v>9551300</v>
      </c>
      <c r="N174" s="49">
        <f>VLOOKUP($A174,'Data shares'!$C:$FB,63)</f>
        <v>15010000</v>
      </c>
      <c r="O174" s="140">
        <f>VLOOKUP($A174,'Data shares'!$C:$FB,65)*100</f>
        <v>-36.370000000000005</v>
      </c>
    </row>
    <row r="175" spans="1:15" x14ac:dyDescent="0.25">
      <c r="A175" s="101" t="str">
        <f>'Data Vlaue (Cr)'!C170</f>
        <v>POWERINDIA</v>
      </c>
      <c r="B175" s="50">
        <f>VLOOKUP($A175,'Data shares'!$C:$FB,7)</f>
        <v>35995</v>
      </c>
      <c r="C175" s="50">
        <f>VLOOKUP($A175,'Data shares'!$C:$FB,10)*100</f>
        <v>1.01</v>
      </c>
      <c r="D175" s="49">
        <f>VLOOKUP($A175,'Data shares'!$C:$FB,66)</f>
        <v>7626850</v>
      </c>
      <c r="E175" s="49">
        <f>VLOOKUP($A175,'Data shares'!$C:$FB,67)</f>
        <v>1793125</v>
      </c>
      <c r="F175" s="50">
        <f>VLOOKUP($A175,'Data shares'!$C:$FB,69)*100</f>
        <v>325.34000000000003</v>
      </c>
      <c r="G175" s="49">
        <f>VLOOKUP($A175,'Data shares'!$C:$FB,42)</f>
        <v>573050</v>
      </c>
      <c r="H175" s="49">
        <f>VLOOKUP($A175,'Data shares'!$C:$FB,43)</f>
        <v>309700</v>
      </c>
      <c r="I175" s="50">
        <f>VLOOKUP($A175,'Data shares'!$C:$FB,45)*100</f>
        <v>85.03</v>
      </c>
      <c r="J175" s="49">
        <f>VLOOKUP($A175,'Data shares'!$C:$FB,58)</f>
        <v>4975750</v>
      </c>
      <c r="K175" s="49">
        <f>VLOOKUP($A175,'Data shares'!$C:$FB,59)</f>
        <v>904150</v>
      </c>
      <c r="L175" s="50">
        <f>VLOOKUP($A175,'Data shares'!$C:$FB,61)*100</f>
        <v>450.31999999999994</v>
      </c>
      <c r="M175" s="49">
        <f>VLOOKUP($A175,'Data shares'!$C:$FB,62)</f>
        <v>2078050</v>
      </c>
      <c r="N175" s="49">
        <f>VLOOKUP($A175,'Data shares'!$C:$FB,63)</f>
        <v>579275</v>
      </c>
      <c r="O175" s="140">
        <f>VLOOKUP($A175,'Data shares'!$C:$FB,65)*100</f>
        <v>258.73</v>
      </c>
    </row>
    <row r="176" spans="1:15" x14ac:dyDescent="0.25">
      <c r="A176" s="101" t="str">
        <f>'Data Vlaue (Cr)'!C171</f>
        <v>PREMIERENE</v>
      </c>
      <c r="B176" s="50">
        <f>VLOOKUP($A176,'Data shares'!$C:$FB,7)</f>
        <v>1016.8</v>
      </c>
      <c r="C176" s="50">
        <f>VLOOKUP($A176,'Data shares'!$C:$FB,10)*100</f>
        <v>3.2300000000000004</v>
      </c>
      <c r="D176" s="49">
        <f>VLOOKUP($A176,'Data shares'!$C:$FB,66)</f>
        <v>30209925</v>
      </c>
      <c r="E176" s="49">
        <f>VLOOKUP($A176,'Data shares'!$C:$FB,67)</f>
        <v>27273400</v>
      </c>
      <c r="F176" s="50">
        <f>VLOOKUP($A176,'Data shares'!$C:$FB,69)*100</f>
        <v>10.77</v>
      </c>
      <c r="G176" s="49">
        <f>VLOOKUP($A176,'Data shares'!$C:$FB,42)</f>
        <v>10221775</v>
      </c>
      <c r="H176" s="49">
        <f>VLOOKUP($A176,'Data shares'!$C:$FB,43)</f>
        <v>14297375</v>
      </c>
      <c r="I176" s="50">
        <f>VLOOKUP($A176,'Data shares'!$C:$FB,45)*100</f>
        <v>-28.51</v>
      </c>
      <c r="J176" s="49">
        <f>VLOOKUP($A176,'Data shares'!$C:$FB,58)</f>
        <v>15193225</v>
      </c>
      <c r="K176" s="49">
        <f>VLOOKUP($A176,'Data shares'!$C:$FB,59)</f>
        <v>9516825</v>
      </c>
      <c r="L176" s="50">
        <f>VLOOKUP($A176,'Data shares'!$C:$FB,61)*100</f>
        <v>59.650000000000006</v>
      </c>
      <c r="M176" s="49">
        <f>VLOOKUP($A176,'Data shares'!$C:$FB,62)</f>
        <v>4794925</v>
      </c>
      <c r="N176" s="49">
        <f>VLOOKUP($A176,'Data shares'!$C:$FB,63)</f>
        <v>3459200</v>
      </c>
      <c r="O176" s="140">
        <f>VLOOKUP($A176,'Data shares'!$C:$FB,65)*100</f>
        <v>38.61</v>
      </c>
    </row>
    <row r="177" spans="1:15" x14ac:dyDescent="0.25">
      <c r="A177" s="101" t="str">
        <f>'Data Vlaue (Cr)'!C172</f>
        <v>PRESTIGE</v>
      </c>
      <c r="B177" s="50">
        <f>VLOOKUP($A177,'Data shares'!$C:$FB,7)</f>
        <v>1402.2</v>
      </c>
      <c r="C177" s="50">
        <f>VLOOKUP($A177,'Data shares'!$C:$FB,10)*100</f>
        <v>0.06</v>
      </c>
      <c r="D177" s="49">
        <f>VLOOKUP($A177,'Data shares'!$C:$FB,66)</f>
        <v>3641400</v>
      </c>
      <c r="E177" s="49">
        <f>VLOOKUP($A177,'Data shares'!$C:$FB,67)</f>
        <v>8698500</v>
      </c>
      <c r="F177" s="50">
        <f>VLOOKUP($A177,'Data shares'!$C:$FB,69)*100</f>
        <v>-58.14</v>
      </c>
      <c r="G177" s="49">
        <f>VLOOKUP($A177,'Data shares'!$C:$FB,42)</f>
        <v>1650150</v>
      </c>
      <c r="H177" s="49">
        <f>VLOOKUP($A177,'Data shares'!$C:$FB,43)</f>
        <v>4254750</v>
      </c>
      <c r="I177" s="50">
        <f>VLOOKUP($A177,'Data shares'!$C:$FB,45)*100</f>
        <v>-61.22</v>
      </c>
      <c r="J177" s="49">
        <f>VLOOKUP($A177,'Data shares'!$C:$FB,58)</f>
        <v>935100</v>
      </c>
      <c r="K177" s="49">
        <f>VLOOKUP($A177,'Data shares'!$C:$FB,59)</f>
        <v>3037500</v>
      </c>
      <c r="L177" s="50">
        <f>VLOOKUP($A177,'Data shares'!$C:$FB,61)*100</f>
        <v>-69.210000000000008</v>
      </c>
      <c r="M177" s="49">
        <f>VLOOKUP($A177,'Data shares'!$C:$FB,62)</f>
        <v>1056150</v>
      </c>
      <c r="N177" s="49">
        <f>VLOOKUP($A177,'Data shares'!$C:$FB,63)</f>
        <v>1406250</v>
      </c>
      <c r="O177" s="140">
        <f>VLOOKUP($A177,'Data shares'!$C:$FB,65)*100</f>
        <v>-24.9</v>
      </c>
    </row>
    <row r="178" spans="1:15" x14ac:dyDescent="0.25">
      <c r="A178" s="101" t="str">
        <f>'Data Vlaue (Cr)'!C173</f>
        <v>RBLBANK</v>
      </c>
      <c r="B178" s="50">
        <f>VLOOKUP($A178,'Data shares'!$C:$FB,7)</f>
        <v>344.25</v>
      </c>
      <c r="C178" s="50">
        <f>VLOOKUP($A178,'Data shares'!$C:$FB,10)*100</f>
        <v>0.26</v>
      </c>
      <c r="D178" s="49">
        <f>VLOOKUP($A178,'Data shares'!$C:$FB,66)</f>
        <v>67033775</v>
      </c>
      <c r="E178" s="49">
        <f>VLOOKUP($A178,'Data shares'!$C:$FB,67)</f>
        <v>121323100</v>
      </c>
      <c r="F178" s="50">
        <f>VLOOKUP($A178,'Data shares'!$C:$FB,69)*100</f>
        <v>-44.75</v>
      </c>
      <c r="G178" s="49">
        <f>VLOOKUP($A178,'Data shares'!$C:$FB,42)</f>
        <v>32870775</v>
      </c>
      <c r="H178" s="49">
        <f>VLOOKUP($A178,'Data shares'!$C:$FB,43)</f>
        <v>51435000</v>
      </c>
      <c r="I178" s="50">
        <f>VLOOKUP($A178,'Data shares'!$C:$FB,45)*100</f>
        <v>-36.090000000000003</v>
      </c>
      <c r="J178" s="49">
        <f>VLOOKUP($A178,'Data shares'!$C:$FB,58)</f>
        <v>20796250</v>
      </c>
      <c r="K178" s="49">
        <f>VLOOKUP($A178,'Data shares'!$C:$FB,59)</f>
        <v>47853600</v>
      </c>
      <c r="L178" s="50">
        <f>VLOOKUP($A178,'Data shares'!$C:$FB,61)*100</f>
        <v>-56.54</v>
      </c>
      <c r="M178" s="49">
        <f>VLOOKUP($A178,'Data shares'!$C:$FB,62)</f>
        <v>13366750</v>
      </c>
      <c r="N178" s="49">
        <f>VLOOKUP($A178,'Data shares'!$C:$FB,63)</f>
        <v>22034500</v>
      </c>
      <c r="O178" s="140">
        <f>VLOOKUP($A178,'Data shares'!$C:$FB,65)*100</f>
        <v>-39.340000000000003</v>
      </c>
    </row>
    <row r="179" spans="1:15" x14ac:dyDescent="0.25">
      <c r="A179" s="101" t="str">
        <f>'Data Vlaue (Cr)'!C174</f>
        <v>RECLTD</v>
      </c>
      <c r="B179" s="50">
        <f>VLOOKUP($A179,'Data shares'!$C:$FB,7)</f>
        <v>337.6</v>
      </c>
      <c r="C179" s="50">
        <f>VLOOKUP($A179,'Data shares'!$C:$FB,10)*100</f>
        <v>-1.34</v>
      </c>
      <c r="D179" s="49">
        <f>VLOOKUP($A179,'Data shares'!$C:$FB,66)</f>
        <v>64353800</v>
      </c>
      <c r="E179" s="49">
        <f>VLOOKUP($A179,'Data shares'!$C:$FB,67)</f>
        <v>87290000</v>
      </c>
      <c r="F179" s="50">
        <f>VLOOKUP($A179,'Data shares'!$C:$FB,69)*100</f>
        <v>-26.279999999999998</v>
      </c>
      <c r="G179" s="49">
        <f>VLOOKUP($A179,'Data shares'!$C:$FB,42)</f>
        <v>33861800</v>
      </c>
      <c r="H179" s="49">
        <f>VLOOKUP($A179,'Data shares'!$C:$FB,43)</f>
        <v>46509400</v>
      </c>
      <c r="I179" s="50">
        <f>VLOOKUP($A179,'Data shares'!$C:$FB,45)*100</f>
        <v>-27.189999999999998</v>
      </c>
      <c r="J179" s="49">
        <f>VLOOKUP($A179,'Data shares'!$C:$FB,58)</f>
        <v>18946200</v>
      </c>
      <c r="K179" s="49">
        <f>VLOOKUP($A179,'Data shares'!$C:$FB,59)</f>
        <v>26111400</v>
      </c>
      <c r="L179" s="50">
        <f>VLOOKUP($A179,'Data shares'!$C:$FB,61)*100</f>
        <v>-27.439999999999998</v>
      </c>
      <c r="M179" s="49">
        <f>VLOOKUP($A179,'Data shares'!$C:$FB,62)</f>
        <v>11545800</v>
      </c>
      <c r="N179" s="49">
        <f>VLOOKUP($A179,'Data shares'!$C:$FB,63)</f>
        <v>14669200</v>
      </c>
      <c r="O179" s="140">
        <f>VLOOKUP($A179,'Data shares'!$C:$FB,65)*100</f>
        <v>-21.29</v>
      </c>
    </row>
    <row r="180" spans="1:15" x14ac:dyDescent="0.25">
      <c r="A180" s="101" t="str">
        <f>'Data Vlaue (Cr)'!C175</f>
        <v>RELIANCE</v>
      </c>
      <c r="B180" s="50">
        <f>VLOOKUP($A180,'Data shares'!$C:$FB,7)</f>
        <v>1356.3</v>
      </c>
      <c r="C180" s="50">
        <f>VLOOKUP($A180,'Data shares'!$C:$FB,10)*100</f>
        <v>-0.77999999999999992</v>
      </c>
      <c r="D180" s="49">
        <f>VLOOKUP($A180,'Data shares'!$C:$FB,66)</f>
        <v>122308000</v>
      </c>
      <c r="E180" s="49">
        <f>VLOOKUP($A180,'Data shares'!$C:$FB,67)</f>
        <v>190622500</v>
      </c>
      <c r="F180" s="50">
        <f>VLOOKUP($A180,'Data shares'!$C:$FB,69)*100</f>
        <v>-35.839999999999996</v>
      </c>
      <c r="G180" s="49">
        <f>VLOOKUP($A180,'Data shares'!$C:$FB,42)</f>
        <v>28096000</v>
      </c>
      <c r="H180" s="49">
        <f>VLOOKUP($A180,'Data shares'!$C:$FB,43)</f>
        <v>47021500</v>
      </c>
      <c r="I180" s="50">
        <f>VLOOKUP($A180,'Data shares'!$C:$FB,45)*100</f>
        <v>-40.25</v>
      </c>
      <c r="J180" s="49">
        <f>VLOOKUP($A180,'Data shares'!$C:$FB,58)</f>
        <v>60967500</v>
      </c>
      <c r="K180" s="49">
        <f>VLOOKUP($A180,'Data shares'!$C:$FB,59)</f>
        <v>88809000</v>
      </c>
      <c r="L180" s="50">
        <f>VLOOKUP($A180,'Data shares'!$C:$FB,61)*100</f>
        <v>-31.35</v>
      </c>
      <c r="M180" s="49">
        <f>VLOOKUP($A180,'Data shares'!$C:$FB,62)</f>
        <v>33244500</v>
      </c>
      <c r="N180" s="49">
        <f>VLOOKUP($A180,'Data shares'!$C:$FB,63)</f>
        <v>54792000</v>
      </c>
      <c r="O180" s="140">
        <f>VLOOKUP($A180,'Data shares'!$C:$FB,65)*100</f>
        <v>-39.33</v>
      </c>
    </row>
    <row r="181" spans="1:15" x14ac:dyDescent="0.25">
      <c r="A181" s="101" t="str">
        <f>'Data Vlaue (Cr)'!C176</f>
        <v>RVNL</v>
      </c>
      <c r="B181" s="50">
        <f>VLOOKUP($A181,'Data shares'!$C:$FB,7)</f>
        <v>259.75</v>
      </c>
      <c r="C181" s="50">
        <f>VLOOKUP($A181,'Data shares'!$C:$FB,10)*100</f>
        <v>-4.66</v>
      </c>
      <c r="D181" s="49">
        <f>VLOOKUP($A181,'Data shares'!$C:$FB,66)</f>
        <v>97115050</v>
      </c>
      <c r="E181" s="49">
        <f>VLOOKUP($A181,'Data shares'!$C:$FB,67)</f>
        <v>71397450</v>
      </c>
      <c r="F181" s="50">
        <f>VLOOKUP($A181,'Data shares'!$C:$FB,69)*100</f>
        <v>36.020000000000003</v>
      </c>
      <c r="G181" s="49">
        <f>VLOOKUP($A181,'Data shares'!$C:$FB,42)</f>
        <v>26129350</v>
      </c>
      <c r="H181" s="49">
        <f>VLOOKUP($A181,'Data shares'!$C:$FB,43)</f>
        <v>30594550</v>
      </c>
      <c r="I181" s="50">
        <f>VLOOKUP($A181,'Data shares'!$C:$FB,45)*100</f>
        <v>-14.59</v>
      </c>
      <c r="J181" s="49">
        <f>VLOOKUP($A181,'Data shares'!$C:$FB,58)</f>
        <v>42434650</v>
      </c>
      <c r="K181" s="49">
        <f>VLOOKUP($A181,'Data shares'!$C:$FB,59)</f>
        <v>28668475</v>
      </c>
      <c r="L181" s="50">
        <f>VLOOKUP($A181,'Data shares'!$C:$FB,61)*100</f>
        <v>48.02</v>
      </c>
      <c r="M181" s="49">
        <f>VLOOKUP($A181,'Data shares'!$C:$FB,62)</f>
        <v>28551050</v>
      </c>
      <c r="N181" s="49">
        <f>VLOOKUP($A181,'Data shares'!$C:$FB,63)</f>
        <v>12134425</v>
      </c>
      <c r="O181" s="140">
        <f>VLOOKUP($A181,'Data shares'!$C:$FB,65)*100</f>
        <v>135.29</v>
      </c>
    </row>
    <row r="182" spans="1:15" x14ac:dyDescent="0.25">
      <c r="A182" s="101" t="str">
        <f>'Data Vlaue (Cr)'!C177</f>
        <v>SAIL</v>
      </c>
      <c r="B182" s="50">
        <f>VLOOKUP($A182,'Data shares'!$C:$FB,7)</f>
        <v>203.84</v>
      </c>
      <c r="C182" s="50">
        <f>VLOOKUP($A182,'Data shares'!$C:$FB,10)*100</f>
        <v>2.78</v>
      </c>
      <c r="D182" s="49">
        <f>VLOOKUP($A182,'Data shares'!$C:$FB,66)</f>
        <v>51897400</v>
      </c>
      <c r="E182" s="49">
        <f>VLOOKUP($A182,'Data shares'!$C:$FB,67)</f>
        <v>52000800</v>
      </c>
      <c r="F182" s="50">
        <f>VLOOKUP($A182,'Data shares'!$C:$FB,69)*100</f>
        <v>-0.2</v>
      </c>
      <c r="G182" s="49">
        <f>VLOOKUP($A182,'Data shares'!$C:$FB,42)</f>
        <v>48123300</v>
      </c>
      <c r="H182" s="49">
        <f>VLOOKUP($A182,'Data shares'!$C:$FB,43)</f>
        <v>51192400</v>
      </c>
      <c r="I182" s="50">
        <f>VLOOKUP($A182,'Data shares'!$C:$FB,45)*100</f>
        <v>-6</v>
      </c>
      <c r="J182" s="49">
        <f>VLOOKUP($A182,'Data shares'!$C:$FB,58)</f>
        <v>2053900</v>
      </c>
      <c r="K182" s="49">
        <f>VLOOKUP($A182,'Data shares'!$C:$FB,59)</f>
        <v>225600</v>
      </c>
      <c r="L182" s="50">
        <f>VLOOKUP($A182,'Data shares'!$C:$FB,61)*100</f>
        <v>810.42000000000007</v>
      </c>
      <c r="M182" s="49">
        <f>VLOOKUP($A182,'Data shares'!$C:$FB,62)</f>
        <v>1720200</v>
      </c>
      <c r="N182" s="49">
        <f>VLOOKUP($A182,'Data shares'!$C:$FB,63)</f>
        <v>582800</v>
      </c>
      <c r="O182" s="140">
        <f>VLOOKUP($A182,'Data shares'!$C:$FB,65)*100</f>
        <v>195.16</v>
      </c>
    </row>
    <row r="183" spans="1:15" x14ac:dyDescent="0.25">
      <c r="A183" s="101" t="str">
        <f>'Data Vlaue (Cr)'!C178</f>
        <v>SAMMAANCAP</v>
      </c>
      <c r="B183" s="50">
        <f>VLOOKUP($A183,'Data shares'!$C:$FB,7)</f>
        <v>167.71</v>
      </c>
      <c r="C183" s="50">
        <f>VLOOKUP($A183,'Data shares'!$C:$FB,10)*100</f>
        <v>-0.5</v>
      </c>
      <c r="D183" s="49">
        <f>VLOOKUP($A183,'Data shares'!$C:$FB,66)</f>
        <v>109005000</v>
      </c>
      <c r="E183" s="49">
        <f>VLOOKUP($A183,'Data shares'!$C:$FB,67)</f>
        <v>247469300</v>
      </c>
      <c r="F183" s="50">
        <f>VLOOKUP($A183,'Data shares'!$C:$FB,69)*100</f>
        <v>-55.95</v>
      </c>
      <c r="G183" s="49">
        <f>VLOOKUP($A183,'Data shares'!$C:$FB,42)</f>
        <v>51836500</v>
      </c>
      <c r="H183" s="49">
        <f>VLOOKUP($A183,'Data shares'!$C:$FB,43)</f>
        <v>75241400</v>
      </c>
      <c r="I183" s="50">
        <f>VLOOKUP($A183,'Data shares'!$C:$FB,45)*100</f>
        <v>-31.11</v>
      </c>
      <c r="J183" s="49">
        <f>VLOOKUP($A183,'Data shares'!$C:$FB,58)</f>
        <v>34197900</v>
      </c>
      <c r="K183" s="49">
        <f>VLOOKUP($A183,'Data shares'!$C:$FB,59)</f>
        <v>114410100</v>
      </c>
      <c r="L183" s="50">
        <f>VLOOKUP($A183,'Data shares'!$C:$FB,61)*100</f>
        <v>-70.11</v>
      </c>
      <c r="M183" s="49">
        <f>VLOOKUP($A183,'Data shares'!$C:$FB,62)</f>
        <v>22970600</v>
      </c>
      <c r="N183" s="49">
        <f>VLOOKUP($A183,'Data shares'!$C:$FB,63)</f>
        <v>57817800</v>
      </c>
      <c r="O183" s="140">
        <f>VLOOKUP($A183,'Data shares'!$C:$FB,65)*100</f>
        <v>-60.27</v>
      </c>
    </row>
    <row r="184" spans="1:15" x14ac:dyDescent="0.25">
      <c r="A184" s="101" t="str">
        <f>'Data Vlaue (Cr)'!C179</f>
        <v>SBICARD</v>
      </c>
      <c r="B184" s="50">
        <f>VLOOKUP($A184,'Data shares'!$C:$FB,7)</f>
        <v>628.70000000000005</v>
      </c>
      <c r="C184" s="50">
        <f>VLOOKUP($A184,'Data shares'!$C:$FB,10)*100</f>
        <v>-0.25</v>
      </c>
      <c r="D184" s="49">
        <f>VLOOKUP($A184,'Data shares'!$C:$FB,66)</f>
        <v>23976000</v>
      </c>
      <c r="E184" s="49">
        <f>VLOOKUP($A184,'Data shares'!$C:$FB,67)</f>
        <v>26748800</v>
      </c>
      <c r="F184" s="50">
        <f>VLOOKUP($A184,'Data shares'!$C:$FB,69)*100</f>
        <v>-10.37</v>
      </c>
      <c r="G184" s="49">
        <f>VLOOKUP($A184,'Data shares'!$C:$FB,42)</f>
        <v>11425600</v>
      </c>
      <c r="H184" s="49">
        <f>VLOOKUP($A184,'Data shares'!$C:$FB,43)</f>
        <v>13024000</v>
      </c>
      <c r="I184" s="50">
        <f>VLOOKUP($A184,'Data shares'!$C:$FB,45)*100</f>
        <v>-12.27</v>
      </c>
      <c r="J184" s="49">
        <f>VLOOKUP($A184,'Data shares'!$C:$FB,58)</f>
        <v>8490400</v>
      </c>
      <c r="K184" s="49">
        <f>VLOOKUP($A184,'Data shares'!$C:$FB,59)</f>
        <v>9685600</v>
      </c>
      <c r="L184" s="50">
        <f>VLOOKUP($A184,'Data shares'!$C:$FB,61)*100</f>
        <v>-12.34</v>
      </c>
      <c r="M184" s="49">
        <f>VLOOKUP($A184,'Data shares'!$C:$FB,62)</f>
        <v>4060000</v>
      </c>
      <c r="N184" s="49">
        <f>VLOOKUP($A184,'Data shares'!$C:$FB,63)</f>
        <v>4039200</v>
      </c>
      <c r="O184" s="140">
        <f>VLOOKUP($A184,'Data shares'!$C:$FB,65)*100</f>
        <v>0.51</v>
      </c>
    </row>
    <row r="185" spans="1:15" x14ac:dyDescent="0.25">
      <c r="A185" s="101" t="str">
        <f>'Data Vlaue (Cr)'!C180</f>
        <v>SBILIFE</v>
      </c>
      <c r="B185" s="50">
        <f>VLOOKUP($A185,'Data shares'!$C:$FB,7)</f>
        <v>1883.2</v>
      </c>
      <c r="C185" s="50">
        <f>VLOOKUP($A185,'Data shares'!$C:$FB,10)*100</f>
        <v>-0.98</v>
      </c>
      <c r="D185" s="49">
        <f>VLOOKUP($A185,'Data shares'!$C:$FB,66)</f>
        <v>7566750</v>
      </c>
      <c r="E185" s="49">
        <f>VLOOKUP($A185,'Data shares'!$C:$FB,67)</f>
        <v>10305375</v>
      </c>
      <c r="F185" s="50">
        <f>VLOOKUP($A185,'Data shares'!$C:$FB,69)*100</f>
        <v>-26.57</v>
      </c>
      <c r="G185" s="49">
        <f>VLOOKUP($A185,'Data shares'!$C:$FB,42)</f>
        <v>3378375</v>
      </c>
      <c r="H185" s="49">
        <f>VLOOKUP($A185,'Data shares'!$C:$FB,43)</f>
        <v>4129125</v>
      </c>
      <c r="I185" s="50">
        <f>VLOOKUP($A185,'Data shares'!$C:$FB,45)*100</f>
        <v>-18.18</v>
      </c>
      <c r="J185" s="49">
        <f>VLOOKUP($A185,'Data shares'!$C:$FB,58)</f>
        <v>2824875</v>
      </c>
      <c r="K185" s="49">
        <f>VLOOKUP($A185,'Data shares'!$C:$FB,59)</f>
        <v>4186500</v>
      </c>
      <c r="L185" s="50">
        <f>VLOOKUP($A185,'Data shares'!$C:$FB,61)*100</f>
        <v>-32.519999999999996</v>
      </c>
      <c r="M185" s="49">
        <f>VLOOKUP($A185,'Data shares'!$C:$FB,62)</f>
        <v>1363500</v>
      </c>
      <c r="N185" s="49">
        <f>VLOOKUP($A185,'Data shares'!$C:$FB,63)</f>
        <v>1989750</v>
      </c>
      <c r="O185" s="140">
        <f>VLOOKUP($A185,'Data shares'!$C:$FB,65)*100</f>
        <v>-31.47</v>
      </c>
    </row>
    <row r="186" spans="1:15" x14ac:dyDescent="0.25">
      <c r="A186" s="101" t="str">
        <f>'Data Vlaue (Cr)'!C181</f>
        <v>SBIN</v>
      </c>
      <c r="B186" s="50">
        <f>VLOOKUP($A186,'Data shares'!$C:$FB,7)</f>
        <v>968.5</v>
      </c>
      <c r="C186" s="50">
        <f>VLOOKUP($A186,'Data shares'!$C:$FB,10)*100</f>
        <v>-0.11</v>
      </c>
      <c r="D186" s="49">
        <f>VLOOKUP($A186,'Data shares'!$C:$FB,66)</f>
        <v>185461500</v>
      </c>
      <c r="E186" s="49">
        <f>VLOOKUP($A186,'Data shares'!$C:$FB,67)</f>
        <v>358134750</v>
      </c>
      <c r="F186" s="50">
        <f>VLOOKUP($A186,'Data shares'!$C:$FB,69)*100</f>
        <v>-48.209999999999994</v>
      </c>
      <c r="G186" s="49">
        <f>VLOOKUP($A186,'Data shares'!$C:$FB,42)</f>
        <v>46857000</v>
      </c>
      <c r="H186" s="49">
        <f>VLOOKUP($A186,'Data shares'!$C:$FB,43)</f>
        <v>56533500</v>
      </c>
      <c r="I186" s="50">
        <f>VLOOKUP($A186,'Data shares'!$C:$FB,45)*100</f>
        <v>-17.119999999999997</v>
      </c>
      <c r="J186" s="49">
        <f>VLOOKUP($A186,'Data shares'!$C:$FB,58)</f>
        <v>89844000</v>
      </c>
      <c r="K186" s="49">
        <f>VLOOKUP($A186,'Data shares'!$C:$FB,59)</f>
        <v>214686000</v>
      </c>
      <c r="L186" s="50">
        <f>VLOOKUP($A186,'Data shares'!$C:$FB,61)*100</f>
        <v>-58.15</v>
      </c>
      <c r="M186" s="49">
        <f>VLOOKUP($A186,'Data shares'!$C:$FB,62)</f>
        <v>48760500</v>
      </c>
      <c r="N186" s="49">
        <f>VLOOKUP($A186,'Data shares'!$C:$FB,63)</f>
        <v>86915250</v>
      </c>
      <c r="O186" s="140">
        <f>VLOOKUP($A186,'Data shares'!$C:$FB,65)*100</f>
        <v>-43.9</v>
      </c>
    </row>
    <row r="187" spans="1:15" x14ac:dyDescent="0.25">
      <c r="A187" s="101" t="str">
        <f>'Data Vlaue (Cr)'!C182</f>
        <v>SHREECEM</v>
      </c>
      <c r="B187" s="50">
        <f>VLOOKUP($A187,'Data shares'!$C:$FB,7)</f>
        <v>25180</v>
      </c>
      <c r="C187" s="50">
        <f>VLOOKUP($A187,'Data shares'!$C:$FB,10)*100</f>
        <v>-0.69</v>
      </c>
      <c r="D187" s="49">
        <f>VLOOKUP($A187,'Data shares'!$C:$FB,66)</f>
        <v>231175</v>
      </c>
      <c r="E187" s="49">
        <f>VLOOKUP($A187,'Data shares'!$C:$FB,67)</f>
        <v>500475</v>
      </c>
      <c r="F187" s="50">
        <f>VLOOKUP($A187,'Data shares'!$C:$FB,69)*100</f>
        <v>-53.81</v>
      </c>
      <c r="G187" s="49">
        <f>VLOOKUP($A187,'Data shares'!$C:$FB,42)</f>
        <v>123925</v>
      </c>
      <c r="H187" s="49">
        <f>VLOOKUP($A187,'Data shares'!$C:$FB,43)</f>
        <v>219575</v>
      </c>
      <c r="I187" s="50">
        <f>VLOOKUP($A187,'Data shares'!$C:$FB,45)*100</f>
        <v>-43.56</v>
      </c>
      <c r="J187" s="49">
        <f>VLOOKUP($A187,'Data shares'!$C:$FB,58)</f>
        <v>74300</v>
      </c>
      <c r="K187" s="49">
        <f>VLOOKUP($A187,'Data shares'!$C:$FB,59)</f>
        <v>215700</v>
      </c>
      <c r="L187" s="50">
        <f>VLOOKUP($A187,'Data shares'!$C:$FB,61)*100</f>
        <v>-65.55</v>
      </c>
      <c r="M187" s="49">
        <f>VLOOKUP($A187,'Data shares'!$C:$FB,62)</f>
        <v>32950</v>
      </c>
      <c r="N187" s="49">
        <f>VLOOKUP($A187,'Data shares'!$C:$FB,63)</f>
        <v>65200</v>
      </c>
      <c r="O187" s="140">
        <f>VLOOKUP($A187,'Data shares'!$C:$FB,65)*100</f>
        <v>-49.46</v>
      </c>
    </row>
    <row r="188" spans="1:15" x14ac:dyDescent="0.25">
      <c r="A188" s="101" t="str">
        <f>'Data Vlaue (Cr)'!C183</f>
        <v>SHRIRAMFIN</v>
      </c>
      <c r="B188" s="50">
        <f>VLOOKUP($A188,'Data shares'!$C:$FB,7)</f>
        <v>952.15</v>
      </c>
      <c r="C188" s="50">
        <f>VLOOKUP($A188,'Data shares'!$C:$FB,10)*100</f>
        <v>-1.02</v>
      </c>
      <c r="D188" s="49">
        <f>VLOOKUP($A188,'Data shares'!$C:$FB,66)</f>
        <v>32409300</v>
      </c>
      <c r="E188" s="49">
        <f>VLOOKUP($A188,'Data shares'!$C:$FB,67)</f>
        <v>60959250</v>
      </c>
      <c r="F188" s="50">
        <f>VLOOKUP($A188,'Data shares'!$C:$FB,69)*100</f>
        <v>-46.83</v>
      </c>
      <c r="G188" s="49">
        <f>VLOOKUP($A188,'Data shares'!$C:$FB,42)</f>
        <v>16920750</v>
      </c>
      <c r="H188" s="49">
        <f>VLOOKUP($A188,'Data shares'!$C:$FB,43)</f>
        <v>23380500</v>
      </c>
      <c r="I188" s="50">
        <f>VLOOKUP($A188,'Data shares'!$C:$FB,45)*100</f>
        <v>-27.63</v>
      </c>
      <c r="J188" s="49">
        <f>VLOOKUP($A188,'Data shares'!$C:$FB,58)</f>
        <v>9566700</v>
      </c>
      <c r="K188" s="49">
        <f>VLOOKUP($A188,'Data shares'!$C:$FB,59)</f>
        <v>27214275</v>
      </c>
      <c r="L188" s="50">
        <f>VLOOKUP($A188,'Data shares'!$C:$FB,61)*100</f>
        <v>-64.849999999999994</v>
      </c>
      <c r="M188" s="49">
        <f>VLOOKUP($A188,'Data shares'!$C:$FB,62)</f>
        <v>5921850</v>
      </c>
      <c r="N188" s="49">
        <f>VLOOKUP($A188,'Data shares'!$C:$FB,63)</f>
        <v>10364475</v>
      </c>
      <c r="O188" s="140">
        <f>VLOOKUP($A188,'Data shares'!$C:$FB,65)*100</f>
        <v>-42.86</v>
      </c>
    </row>
    <row r="189" spans="1:15" x14ac:dyDescent="0.25">
      <c r="A189" s="101" t="str">
        <f>'Data Vlaue (Cr)'!C184</f>
        <v>SIEMENS</v>
      </c>
      <c r="B189" s="50">
        <f>VLOOKUP($A189,'Data shares'!$C:$FB,7)</f>
        <v>3677.2</v>
      </c>
      <c r="C189" s="50">
        <f>VLOOKUP($A189,'Data shares'!$C:$FB,10)*100</f>
        <v>0.26</v>
      </c>
      <c r="D189" s="49">
        <f>VLOOKUP($A189,'Data shares'!$C:$FB,66)</f>
        <v>10227525</v>
      </c>
      <c r="E189" s="49">
        <f>VLOOKUP($A189,'Data shares'!$C:$FB,67)</f>
        <v>15421700</v>
      </c>
      <c r="F189" s="50">
        <f>VLOOKUP($A189,'Data shares'!$C:$FB,69)*100</f>
        <v>-33.68</v>
      </c>
      <c r="G189" s="49">
        <f>VLOOKUP($A189,'Data shares'!$C:$FB,42)</f>
        <v>1860600</v>
      </c>
      <c r="H189" s="49">
        <f>VLOOKUP($A189,'Data shares'!$C:$FB,43)</f>
        <v>2862300</v>
      </c>
      <c r="I189" s="50">
        <f>VLOOKUP($A189,'Data shares'!$C:$FB,45)*100</f>
        <v>-35</v>
      </c>
      <c r="J189" s="49">
        <f>VLOOKUP($A189,'Data shares'!$C:$FB,58)</f>
        <v>5094775</v>
      </c>
      <c r="K189" s="49">
        <f>VLOOKUP($A189,'Data shares'!$C:$FB,59)</f>
        <v>5933025</v>
      </c>
      <c r="L189" s="50">
        <f>VLOOKUP($A189,'Data shares'!$C:$FB,61)*100</f>
        <v>-14.13</v>
      </c>
      <c r="M189" s="49">
        <f>VLOOKUP($A189,'Data shares'!$C:$FB,62)</f>
        <v>3272150</v>
      </c>
      <c r="N189" s="49">
        <f>VLOOKUP($A189,'Data shares'!$C:$FB,63)</f>
        <v>6626375</v>
      </c>
      <c r="O189" s="140">
        <f>VLOOKUP($A189,'Data shares'!$C:$FB,65)*100</f>
        <v>-50.62</v>
      </c>
    </row>
    <row r="190" spans="1:15" x14ac:dyDescent="0.25">
      <c r="A190" s="101" t="str">
        <f>'Data Vlaue (Cr)'!C185</f>
        <v>SOLARINDS</v>
      </c>
      <c r="B190" s="50">
        <f>VLOOKUP($A190,'Data shares'!$C:$FB,7)</f>
        <v>18479</v>
      </c>
      <c r="C190" s="50">
        <f>VLOOKUP($A190,'Data shares'!$C:$FB,10)*100</f>
        <v>0.55999999999999994</v>
      </c>
      <c r="D190" s="49">
        <f>VLOOKUP($A190,'Data shares'!$C:$FB,66)</f>
        <v>1248750</v>
      </c>
      <c r="E190" s="49">
        <f>VLOOKUP($A190,'Data shares'!$C:$FB,67)</f>
        <v>2604500</v>
      </c>
      <c r="F190" s="50">
        <f>VLOOKUP($A190,'Data shares'!$C:$FB,69)*100</f>
        <v>-52.05</v>
      </c>
      <c r="G190" s="49">
        <f>VLOOKUP($A190,'Data shares'!$C:$FB,42)</f>
        <v>330000</v>
      </c>
      <c r="H190" s="49">
        <f>VLOOKUP($A190,'Data shares'!$C:$FB,43)</f>
        <v>574000</v>
      </c>
      <c r="I190" s="50">
        <f>VLOOKUP($A190,'Data shares'!$C:$FB,45)*100</f>
        <v>-42.51</v>
      </c>
      <c r="J190" s="49">
        <f>VLOOKUP($A190,'Data shares'!$C:$FB,58)</f>
        <v>556300</v>
      </c>
      <c r="K190" s="49">
        <f>VLOOKUP($A190,'Data shares'!$C:$FB,59)</f>
        <v>1193150</v>
      </c>
      <c r="L190" s="50">
        <f>VLOOKUP($A190,'Data shares'!$C:$FB,61)*100</f>
        <v>-53.38</v>
      </c>
      <c r="M190" s="49">
        <f>VLOOKUP($A190,'Data shares'!$C:$FB,62)</f>
        <v>362450</v>
      </c>
      <c r="N190" s="49">
        <f>VLOOKUP($A190,'Data shares'!$C:$FB,63)</f>
        <v>837350</v>
      </c>
      <c r="O190" s="140">
        <f>VLOOKUP($A190,'Data shares'!$C:$FB,65)*100</f>
        <v>-56.710000000000008</v>
      </c>
    </row>
    <row r="191" spans="1:15" x14ac:dyDescent="0.25">
      <c r="A191" s="101" t="str">
        <f>'Data Vlaue (Cr)'!C186</f>
        <v>SONACOMS</v>
      </c>
      <c r="B191" s="50">
        <f>VLOOKUP($A191,'Data shares'!$C:$FB,7)</f>
        <v>608</v>
      </c>
      <c r="C191" s="50">
        <f>VLOOKUP($A191,'Data shares'!$C:$FB,10)*100</f>
        <v>2.25</v>
      </c>
      <c r="D191" s="49">
        <f>VLOOKUP($A191,'Data shares'!$C:$FB,66)</f>
        <v>17875200</v>
      </c>
      <c r="E191" s="49">
        <f>VLOOKUP($A191,'Data shares'!$C:$FB,67)</f>
        <v>20104700</v>
      </c>
      <c r="F191" s="50">
        <f>VLOOKUP($A191,'Data shares'!$C:$FB,69)*100</f>
        <v>-11.09</v>
      </c>
      <c r="G191" s="49">
        <f>VLOOKUP($A191,'Data shares'!$C:$FB,42)</f>
        <v>8978025</v>
      </c>
      <c r="H191" s="49">
        <f>VLOOKUP($A191,'Data shares'!$C:$FB,43)</f>
        <v>13084225</v>
      </c>
      <c r="I191" s="50">
        <f>VLOOKUP($A191,'Data shares'!$C:$FB,45)*100</f>
        <v>-31.380000000000003</v>
      </c>
      <c r="J191" s="49">
        <f>VLOOKUP($A191,'Data shares'!$C:$FB,58)</f>
        <v>5948600</v>
      </c>
      <c r="K191" s="49">
        <f>VLOOKUP($A191,'Data shares'!$C:$FB,59)</f>
        <v>4325475</v>
      </c>
      <c r="L191" s="50">
        <f>VLOOKUP($A191,'Data shares'!$C:$FB,61)*100</f>
        <v>37.519999999999996</v>
      </c>
      <c r="M191" s="49">
        <f>VLOOKUP($A191,'Data shares'!$C:$FB,62)</f>
        <v>2948575</v>
      </c>
      <c r="N191" s="49">
        <f>VLOOKUP($A191,'Data shares'!$C:$FB,63)</f>
        <v>2695000</v>
      </c>
      <c r="O191" s="140">
        <f>VLOOKUP($A191,'Data shares'!$C:$FB,65)*100</f>
        <v>9.41</v>
      </c>
    </row>
    <row r="192" spans="1:15" x14ac:dyDescent="0.25">
      <c r="A192" s="101" t="str">
        <f>'Data Vlaue (Cr)'!C187</f>
        <v>SRF</v>
      </c>
      <c r="B192" s="50">
        <f>VLOOKUP($A192,'Data shares'!$C:$FB,7)</f>
        <v>2749.7</v>
      </c>
      <c r="C192" s="50">
        <f>VLOOKUP($A192,'Data shares'!$C:$FB,10)*100</f>
        <v>1.43</v>
      </c>
      <c r="D192" s="49">
        <f>VLOOKUP($A192,'Data shares'!$C:$FB,66)</f>
        <v>6182400</v>
      </c>
      <c r="E192" s="49">
        <f>VLOOKUP($A192,'Data shares'!$C:$FB,67)</f>
        <v>5547000</v>
      </c>
      <c r="F192" s="50">
        <f>VLOOKUP($A192,'Data shares'!$C:$FB,69)*100</f>
        <v>11.450000000000001</v>
      </c>
      <c r="G192" s="49">
        <f>VLOOKUP($A192,'Data shares'!$C:$FB,42)</f>
        <v>1637600</v>
      </c>
      <c r="H192" s="49">
        <f>VLOOKUP($A192,'Data shares'!$C:$FB,43)</f>
        <v>2159400</v>
      </c>
      <c r="I192" s="50">
        <f>VLOOKUP($A192,'Data shares'!$C:$FB,45)*100</f>
        <v>-24.16</v>
      </c>
      <c r="J192" s="49">
        <f>VLOOKUP($A192,'Data shares'!$C:$FB,58)</f>
        <v>3288600</v>
      </c>
      <c r="K192" s="49">
        <f>VLOOKUP($A192,'Data shares'!$C:$FB,59)</f>
        <v>2414200</v>
      </c>
      <c r="L192" s="50">
        <f>VLOOKUP($A192,'Data shares'!$C:$FB,61)*100</f>
        <v>36.22</v>
      </c>
      <c r="M192" s="49">
        <f>VLOOKUP($A192,'Data shares'!$C:$FB,62)</f>
        <v>1256200</v>
      </c>
      <c r="N192" s="49">
        <f>VLOOKUP($A192,'Data shares'!$C:$FB,63)</f>
        <v>973400</v>
      </c>
      <c r="O192" s="140">
        <f>VLOOKUP($A192,'Data shares'!$C:$FB,65)*100</f>
        <v>29.049999999999997</v>
      </c>
    </row>
    <row r="193" spans="1:15" x14ac:dyDescent="0.25">
      <c r="A193" s="101" t="str">
        <f>'Data Vlaue (Cr)'!C188</f>
        <v>SUNPHARMA</v>
      </c>
      <c r="B193" s="50">
        <f>VLOOKUP($A193,'Data shares'!$C:$FB,7)</f>
        <v>1840.8</v>
      </c>
      <c r="C193" s="50">
        <f>VLOOKUP($A193,'Data shares'!$C:$FB,10)*100</f>
        <v>0.01</v>
      </c>
      <c r="D193" s="49">
        <f>VLOOKUP($A193,'Data shares'!$C:$FB,66)</f>
        <v>31150000</v>
      </c>
      <c r="E193" s="49">
        <f>VLOOKUP($A193,'Data shares'!$C:$FB,67)</f>
        <v>89863550</v>
      </c>
      <c r="F193" s="50">
        <f>VLOOKUP($A193,'Data shares'!$C:$FB,69)*100</f>
        <v>-65.34</v>
      </c>
      <c r="G193" s="49">
        <f>VLOOKUP($A193,'Data shares'!$C:$FB,42)</f>
        <v>6344100</v>
      </c>
      <c r="H193" s="49">
        <f>VLOOKUP($A193,'Data shares'!$C:$FB,43)</f>
        <v>17892700</v>
      </c>
      <c r="I193" s="50">
        <f>VLOOKUP($A193,'Data shares'!$C:$FB,45)*100</f>
        <v>-64.539999999999992</v>
      </c>
      <c r="J193" s="49">
        <f>VLOOKUP($A193,'Data shares'!$C:$FB,58)</f>
        <v>12798100</v>
      </c>
      <c r="K193" s="49">
        <f>VLOOKUP($A193,'Data shares'!$C:$FB,59)</f>
        <v>42303450</v>
      </c>
      <c r="L193" s="50">
        <f>VLOOKUP($A193,'Data shares'!$C:$FB,61)*100</f>
        <v>-69.75</v>
      </c>
      <c r="M193" s="49">
        <f>VLOOKUP($A193,'Data shares'!$C:$FB,62)</f>
        <v>12007800</v>
      </c>
      <c r="N193" s="49">
        <f>VLOOKUP($A193,'Data shares'!$C:$FB,63)</f>
        <v>29667400</v>
      </c>
      <c r="O193" s="140">
        <f>VLOOKUP($A193,'Data shares'!$C:$FB,65)*100</f>
        <v>-59.530000000000008</v>
      </c>
    </row>
    <row r="194" spans="1:15" x14ac:dyDescent="0.25">
      <c r="A194" s="101" t="str">
        <f>'Data Vlaue (Cr)'!C189</f>
        <v>SUPREMEIND</v>
      </c>
      <c r="B194" s="50">
        <f>VLOOKUP($A194,'Data shares'!$C:$FB,7)</f>
        <v>3570.9</v>
      </c>
      <c r="C194" s="50">
        <f>VLOOKUP($A194,'Data shares'!$C:$FB,10)*100</f>
        <v>-1.1599999999999999</v>
      </c>
      <c r="D194" s="49">
        <f>VLOOKUP($A194,'Data shares'!$C:$FB,66)</f>
        <v>1621550</v>
      </c>
      <c r="E194" s="49">
        <f>VLOOKUP($A194,'Data shares'!$C:$FB,67)</f>
        <v>3389225</v>
      </c>
      <c r="F194" s="50">
        <f>VLOOKUP($A194,'Data shares'!$C:$FB,69)*100</f>
        <v>-52.16</v>
      </c>
      <c r="G194" s="49">
        <f>VLOOKUP($A194,'Data shares'!$C:$FB,42)</f>
        <v>858900</v>
      </c>
      <c r="H194" s="49">
        <f>VLOOKUP($A194,'Data shares'!$C:$FB,43)</f>
        <v>1329125</v>
      </c>
      <c r="I194" s="50">
        <f>VLOOKUP($A194,'Data shares'!$C:$FB,45)*100</f>
        <v>-35.380000000000003</v>
      </c>
      <c r="J194" s="49">
        <f>VLOOKUP($A194,'Data shares'!$C:$FB,58)</f>
        <v>553875</v>
      </c>
      <c r="K194" s="49">
        <f>VLOOKUP($A194,'Data shares'!$C:$FB,59)</f>
        <v>1146775</v>
      </c>
      <c r="L194" s="50">
        <f>VLOOKUP($A194,'Data shares'!$C:$FB,61)*100</f>
        <v>-51.7</v>
      </c>
      <c r="M194" s="49">
        <f>VLOOKUP($A194,'Data shares'!$C:$FB,62)</f>
        <v>208775</v>
      </c>
      <c r="N194" s="49">
        <f>VLOOKUP($A194,'Data shares'!$C:$FB,63)</f>
        <v>913325</v>
      </c>
      <c r="O194" s="140">
        <f>VLOOKUP($A194,'Data shares'!$C:$FB,65)*100</f>
        <v>-77.14</v>
      </c>
    </row>
    <row r="195" spans="1:15" x14ac:dyDescent="0.25">
      <c r="A195" s="101" t="str">
        <f>'Data Vlaue (Cr)'!C190</f>
        <v>SUZLON</v>
      </c>
      <c r="B195" s="50">
        <f>VLOOKUP($A195,'Data shares'!$C:$FB,7)</f>
        <v>54.58</v>
      </c>
      <c r="C195" s="50">
        <f>VLOOKUP($A195,'Data shares'!$C:$FB,10)*100</f>
        <v>1.0900000000000001</v>
      </c>
      <c r="D195" s="49">
        <f>VLOOKUP($A195,'Data shares'!$C:$FB,66)</f>
        <v>603303200</v>
      </c>
      <c r="E195" s="49">
        <f>VLOOKUP($A195,'Data shares'!$C:$FB,67)</f>
        <v>739905600</v>
      </c>
      <c r="F195" s="50">
        <f>VLOOKUP($A195,'Data shares'!$C:$FB,69)*100</f>
        <v>-18.459999999999997</v>
      </c>
      <c r="G195" s="49">
        <f>VLOOKUP($A195,'Data shares'!$C:$FB,42)</f>
        <v>202412700</v>
      </c>
      <c r="H195" s="49">
        <f>VLOOKUP($A195,'Data shares'!$C:$FB,43)</f>
        <v>294440625</v>
      </c>
      <c r="I195" s="50">
        <f>VLOOKUP($A195,'Data shares'!$C:$FB,45)*100</f>
        <v>-31.259999999999998</v>
      </c>
      <c r="J195" s="49">
        <f>VLOOKUP($A195,'Data shares'!$C:$FB,58)</f>
        <v>257113225</v>
      </c>
      <c r="K195" s="49">
        <f>VLOOKUP($A195,'Data shares'!$C:$FB,59)</f>
        <v>277500700</v>
      </c>
      <c r="L195" s="50">
        <f>VLOOKUP($A195,'Data shares'!$C:$FB,61)*100</f>
        <v>-7.35</v>
      </c>
      <c r="M195" s="49">
        <f>VLOOKUP($A195,'Data shares'!$C:$FB,62)</f>
        <v>143777275</v>
      </c>
      <c r="N195" s="49">
        <f>VLOOKUP($A195,'Data shares'!$C:$FB,63)</f>
        <v>167964275</v>
      </c>
      <c r="O195" s="140">
        <f>VLOOKUP($A195,'Data shares'!$C:$FB,65)*100</f>
        <v>-14.399999999999999</v>
      </c>
    </row>
    <row r="196" spans="1:15" x14ac:dyDescent="0.25">
      <c r="A196" s="101" t="str">
        <f>'Data Vlaue (Cr)'!C191</f>
        <v>SWIGGY</v>
      </c>
      <c r="B196" s="50">
        <f>VLOOKUP($A196,'Data shares'!$C:$FB,7)</f>
        <v>253.9</v>
      </c>
      <c r="C196" s="50">
        <f>VLOOKUP($A196,'Data shares'!$C:$FB,10)*100</f>
        <v>1.54</v>
      </c>
      <c r="D196" s="49">
        <f>VLOOKUP($A196,'Data shares'!$C:$FB,66)</f>
        <v>28977000</v>
      </c>
      <c r="E196" s="49">
        <f>VLOOKUP($A196,'Data shares'!$C:$FB,67)</f>
        <v>40500200</v>
      </c>
      <c r="F196" s="50">
        <f>VLOOKUP($A196,'Data shares'!$C:$FB,69)*100</f>
        <v>-28.449999999999996</v>
      </c>
      <c r="G196" s="49">
        <f>VLOOKUP($A196,'Data shares'!$C:$FB,42)</f>
        <v>15055300</v>
      </c>
      <c r="H196" s="49">
        <f>VLOOKUP($A196,'Data shares'!$C:$FB,43)</f>
        <v>25509900</v>
      </c>
      <c r="I196" s="50">
        <f>VLOOKUP($A196,'Data shares'!$C:$FB,45)*100</f>
        <v>-40.98</v>
      </c>
      <c r="J196" s="49">
        <f>VLOOKUP($A196,'Data shares'!$C:$FB,58)</f>
        <v>9972300</v>
      </c>
      <c r="K196" s="49">
        <f>VLOOKUP($A196,'Data shares'!$C:$FB,59)</f>
        <v>10554700</v>
      </c>
      <c r="L196" s="50">
        <f>VLOOKUP($A196,'Data shares'!$C:$FB,61)*100</f>
        <v>-5.52</v>
      </c>
      <c r="M196" s="49">
        <f>VLOOKUP($A196,'Data shares'!$C:$FB,62)</f>
        <v>3949400</v>
      </c>
      <c r="N196" s="49">
        <f>VLOOKUP($A196,'Data shares'!$C:$FB,63)</f>
        <v>4435600</v>
      </c>
      <c r="O196" s="140">
        <f>VLOOKUP($A196,'Data shares'!$C:$FB,65)*100</f>
        <v>-10.96</v>
      </c>
    </row>
    <row r="197" spans="1:15" x14ac:dyDescent="0.25">
      <c r="A197" s="101" t="str">
        <f>'Data Vlaue (Cr)'!C192</f>
        <v>TATACONSUM</v>
      </c>
      <c r="B197" s="50">
        <f>VLOOKUP($A197,'Data shares'!$C:$FB,7)</f>
        <v>1187.5999999999999</v>
      </c>
      <c r="C197" s="50">
        <f>VLOOKUP($A197,'Data shares'!$C:$FB,10)*100</f>
        <v>0.03</v>
      </c>
      <c r="D197" s="49">
        <f>VLOOKUP($A197,'Data shares'!$C:$FB,66)</f>
        <v>11088000</v>
      </c>
      <c r="E197" s="49">
        <f>VLOOKUP($A197,'Data shares'!$C:$FB,67)</f>
        <v>13196700</v>
      </c>
      <c r="F197" s="50">
        <f>VLOOKUP($A197,'Data shares'!$C:$FB,69)*100</f>
        <v>-15.98</v>
      </c>
      <c r="G197" s="49">
        <f>VLOOKUP($A197,'Data shares'!$C:$FB,42)</f>
        <v>6280450</v>
      </c>
      <c r="H197" s="49">
        <f>VLOOKUP($A197,'Data shares'!$C:$FB,43)</f>
        <v>7155500</v>
      </c>
      <c r="I197" s="50">
        <f>VLOOKUP($A197,'Data shares'!$C:$FB,45)*100</f>
        <v>-12.23</v>
      </c>
      <c r="J197" s="49">
        <f>VLOOKUP($A197,'Data shares'!$C:$FB,58)</f>
        <v>3313200</v>
      </c>
      <c r="K197" s="49">
        <f>VLOOKUP($A197,'Data shares'!$C:$FB,59)</f>
        <v>4238300</v>
      </c>
      <c r="L197" s="50">
        <f>VLOOKUP($A197,'Data shares'!$C:$FB,61)*100</f>
        <v>-21.83</v>
      </c>
      <c r="M197" s="49">
        <f>VLOOKUP($A197,'Data shares'!$C:$FB,62)</f>
        <v>1494350</v>
      </c>
      <c r="N197" s="49">
        <f>VLOOKUP($A197,'Data shares'!$C:$FB,63)</f>
        <v>1802900</v>
      </c>
      <c r="O197" s="140">
        <f>VLOOKUP($A197,'Data shares'!$C:$FB,65)*100</f>
        <v>-17.11</v>
      </c>
    </row>
    <row r="198" spans="1:15" x14ac:dyDescent="0.25">
      <c r="A198" s="101" t="str">
        <f>'Data Vlaue (Cr)'!C193</f>
        <v>TATAELXSI</v>
      </c>
      <c r="B198" s="50">
        <f>VLOOKUP($A198,'Data shares'!$C:$FB,7)</f>
        <v>4335.6000000000004</v>
      </c>
      <c r="C198" s="50">
        <f>VLOOKUP($A198,'Data shares'!$C:$FB,10)*100</f>
        <v>0.19</v>
      </c>
      <c r="D198" s="49">
        <f>VLOOKUP($A198,'Data shares'!$C:$FB,66)</f>
        <v>1812700</v>
      </c>
      <c r="E198" s="49">
        <f>VLOOKUP($A198,'Data shares'!$C:$FB,67)</f>
        <v>4629400</v>
      </c>
      <c r="F198" s="50">
        <f>VLOOKUP($A198,'Data shares'!$C:$FB,69)*100</f>
        <v>-60.84</v>
      </c>
      <c r="G198" s="49">
        <f>VLOOKUP($A198,'Data shares'!$C:$FB,42)</f>
        <v>735700</v>
      </c>
      <c r="H198" s="49">
        <f>VLOOKUP($A198,'Data shares'!$C:$FB,43)</f>
        <v>1679000</v>
      </c>
      <c r="I198" s="50">
        <f>VLOOKUP($A198,'Data shares'!$C:$FB,45)*100</f>
        <v>-56.18</v>
      </c>
      <c r="J198" s="49">
        <f>VLOOKUP($A198,'Data shares'!$C:$FB,58)</f>
        <v>863900</v>
      </c>
      <c r="K198" s="49">
        <f>VLOOKUP($A198,'Data shares'!$C:$FB,59)</f>
        <v>2276200</v>
      </c>
      <c r="L198" s="50">
        <f>VLOOKUP($A198,'Data shares'!$C:$FB,61)*100</f>
        <v>-62.050000000000004</v>
      </c>
      <c r="M198" s="49">
        <f>VLOOKUP($A198,'Data shares'!$C:$FB,62)</f>
        <v>213100</v>
      </c>
      <c r="N198" s="49">
        <f>VLOOKUP($A198,'Data shares'!$C:$FB,63)</f>
        <v>674200</v>
      </c>
      <c r="O198" s="140">
        <f>VLOOKUP($A198,'Data shares'!$C:$FB,65)*100</f>
        <v>-68.39</v>
      </c>
    </row>
    <row r="199" spans="1:15" x14ac:dyDescent="0.25">
      <c r="A199" s="101" t="str">
        <f>'Data Vlaue (Cr)'!C194</f>
        <v>TATAPOWER</v>
      </c>
      <c r="B199" s="50">
        <f>VLOOKUP($A199,'Data shares'!$C:$FB,7)</f>
        <v>420.95</v>
      </c>
      <c r="C199" s="50">
        <f>VLOOKUP($A199,'Data shares'!$C:$FB,10)*100</f>
        <v>1.79</v>
      </c>
      <c r="D199" s="49">
        <f>VLOOKUP($A199,'Data shares'!$C:$FB,66)</f>
        <v>134864500</v>
      </c>
      <c r="E199" s="49">
        <f>VLOOKUP($A199,'Data shares'!$C:$FB,67)</f>
        <v>91012150</v>
      </c>
      <c r="F199" s="50">
        <f>VLOOKUP($A199,'Data shares'!$C:$FB,69)*100</f>
        <v>48.18</v>
      </c>
      <c r="G199" s="49">
        <f>VLOOKUP($A199,'Data shares'!$C:$FB,42)</f>
        <v>34237400</v>
      </c>
      <c r="H199" s="49">
        <f>VLOOKUP($A199,'Data shares'!$C:$FB,43)</f>
        <v>29007250</v>
      </c>
      <c r="I199" s="50">
        <f>VLOOKUP($A199,'Data shares'!$C:$FB,45)*100</f>
        <v>18.029999999999998</v>
      </c>
      <c r="J199" s="49">
        <f>VLOOKUP($A199,'Data shares'!$C:$FB,58)</f>
        <v>77416950</v>
      </c>
      <c r="K199" s="49">
        <f>VLOOKUP($A199,'Data shares'!$C:$FB,59)</f>
        <v>41180000</v>
      </c>
      <c r="L199" s="50">
        <f>VLOOKUP($A199,'Data shares'!$C:$FB,61)*100</f>
        <v>88</v>
      </c>
      <c r="M199" s="49">
        <f>VLOOKUP($A199,'Data shares'!$C:$FB,62)</f>
        <v>23210150</v>
      </c>
      <c r="N199" s="49">
        <f>VLOOKUP($A199,'Data shares'!$C:$FB,63)</f>
        <v>20824900</v>
      </c>
      <c r="O199" s="140">
        <f>VLOOKUP($A199,'Data shares'!$C:$FB,65)*100</f>
        <v>11.450000000000001</v>
      </c>
    </row>
    <row r="200" spans="1:15" x14ac:dyDescent="0.25">
      <c r="A200" s="101" t="str">
        <f>'Data Vlaue (Cr)'!C195</f>
        <v>TATASTEEL</v>
      </c>
      <c r="B200" s="50">
        <f>VLOOKUP($A200,'Data shares'!$C:$FB,7)</f>
        <v>210.47</v>
      </c>
      <c r="C200" s="50">
        <f>VLOOKUP($A200,'Data shares'!$C:$FB,10)*100</f>
        <v>0.12</v>
      </c>
      <c r="D200" s="49">
        <f>VLOOKUP($A200,'Data shares'!$C:$FB,66)</f>
        <v>253844250</v>
      </c>
      <c r="E200" s="49">
        <f>VLOOKUP($A200,'Data shares'!$C:$FB,67)</f>
        <v>353685750</v>
      </c>
      <c r="F200" s="50">
        <f>VLOOKUP($A200,'Data shares'!$C:$FB,69)*100</f>
        <v>-28.23</v>
      </c>
      <c r="G200" s="49">
        <f>VLOOKUP($A200,'Data shares'!$C:$FB,42)</f>
        <v>82186500</v>
      </c>
      <c r="H200" s="49">
        <f>VLOOKUP($A200,'Data shares'!$C:$FB,43)</f>
        <v>83396500</v>
      </c>
      <c r="I200" s="50">
        <f>VLOOKUP($A200,'Data shares'!$C:$FB,45)*100</f>
        <v>-1.4500000000000002</v>
      </c>
      <c r="J200" s="49">
        <f>VLOOKUP($A200,'Data shares'!$C:$FB,58)</f>
        <v>102022250</v>
      </c>
      <c r="K200" s="49">
        <f>VLOOKUP($A200,'Data shares'!$C:$FB,59)</f>
        <v>170439500</v>
      </c>
      <c r="L200" s="50">
        <f>VLOOKUP($A200,'Data shares'!$C:$FB,61)*100</f>
        <v>-40.14</v>
      </c>
      <c r="M200" s="49">
        <f>VLOOKUP($A200,'Data shares'!$C:$FB,62)</f>
        <v>69635500</v>
      </c>
      <c r="N200" s="49">
        <f>VLOOKUP($A200,'Data shares'!$C:$FB,63)</f>
        <v>99849750</v>
      </c>
      <c r="O200" s="140">
        <f>VLOOKUP($A200,'Data shares'!$C:$FB,65)*100</f>
        <v>-30.259999999999998</v>
      </c>
    </row>
    <row r="201" spans="1:15" x14ac:dyDescent="0.25">
      <c r="A201" s="101" t="str">
        <f>'Data Vlaue (Cr)'!C196</f>
        <v>TCS</v>
      </c>
      <c r="B201" s="50">
        <f>VLOOKUP($A201,'Data shares'!$C:$FB,7)</f>
        <v>2276.1999999999998</v>
      </c>
      <c r="C201" s="50">
        <f>VLOOKUP($A201,'Data shares'!$C:$FB,10)*100</f>
        <v>-1.39</v>
      </c>
      <c r="D201" s="49">
        <f>VLOOKUP($A201,'Data shares'!$C:$FB,66)</f>
        <v>34838300</v>
      </c>
      <c r="E201" s="49">
        <f>VLOOKUP($A201,'Data shares'!$C:$FB,67)</f>
        <v>58803150</v>
      </c>
      <c r="F201" s="50">
        <f>VLOOKUP($A201,'Data shares'!$C:$FB,69)*100</f>
        <v>-40.75</v>
      </c>
      <c r="G201" s="49">
        <f>VLOOKUP($A201,'Data shares'!$C:$FB,42)</f>
        <v>10298400</v>
      </c>
      <c r="H201" s="49">
        <f>VLOOKUP($A201,'Data shares'!$C:$FB,43)</f>
        <v>24371900</v>
      </c>
      <c r="I201" s="50">
        <f>VLOOKUP($A201,'Data shares'!$C:$FB,45)*100</f>
        <v>-57.74</v>
      </c>
      <c r="J201" s="49">
        <f>VLOOKUP($A201,'Data shares'!$C:$FB,58)</f>
        <v>14893375</v>
      </c>
      <c r="K201" s="49">
        <f>VLOOKUP($A201,'Data shares'!$C:$FB,59)</f>
        <v>22418025</v>
      </c>
      <c r="L201" s="50">
        <f>VLOOKUP($A201,'Data shares'!$C:$FB,61)*100</f>
        <v>-33.57</v>
      </c>
      <c r="M201" s="49">
        <f>VLOOKUP($A201,'Data shares'!$C:$FB,62)</f>
        <v>9646525</v>
      </c>
      <c r="N201" s="49">
        <f>VLOOKUP($A201,'Data shares'!$C:$FB,63)</f>
        <v>12013225</v>
      </c>
      <c r="O201" s="140">
        <f>VLOOKUP($A201,'Data shares'!$C:$FB,65)*100</f>
        <v>-19.7</v>
      </c>
    </row>
    <row r="202" spans="1:15" x14ac:dyDescent="0.25">
      <c r="A202" s="101" t="str">
        <f>'Data Vlaue (Cr)'!C197</f>
        <v>TECHM</v>
      </c>
      <c r="B202" s="50">
        <f>VLOOKUP($A202,'Data shares'!$C:$FB,7)</f>
        <v>1458.7</v>
      </c>
      <c r="C202" s="50">
        <f>VLOOKUP($A202,'Data shares'!$C:$FB,10)*100</f>
        <v>1.6199999999999999</v>
      </c>
      <c r="D202" s="49">
        <f>VLOOKUP($A202,'Data shares'!$C:$FB,66)</f>
        <v>15642600</v>
      </c>
      <c r="E202" s="49">
        <f>VLOOKUP($A202,'Data shares'!$C:$FB,67)</f>
        <v>23791800</v>
      </c>
      <c r="F202" s="50">
        <f>VLOOKUP($A202,'Data shares'!$C:$FB,69)*100</f>
        <v>-34.25</v>
      </c>
      <c r="G202" s="49">
        <f>VLOOKUP($A202,'Data shares'!$C:$FB,42)</f>
        <v>7375800</v>
      </c>
      <c r="H202" s="49">
        <f>VLOOKUP($A202,'Data shares'!$C:$FB,43)</f>
        <v>11551200</v>
      </c>
      <c r="I202" s="50">
        <f>VLOOKUP($A202,'Data shares'!$C:$FB,45)*100</f>
        <v>-36.15</v>
      </c>
      <c r="J202" s="49">
        <f>VLOOKUP($A202,'Data shares'!$C:$FB,58)</f>
        <v>5721000</v>
      </c>
      <c r="K202" s="49">
        <f>VLOOKUP($A202,'Data shares'!$C:$FB,59)</f>
        <v>8628600</v>
      </c>
      <c r="L202" s="50">
        <f>VLOOKUP($A202,'Data shares'!$C:$FB,61)*100</f>
        <v>-33.700000000000003</v>
      </c>
      <c r="M202" s="49">
        <f>VLOOKUP($A202,'Data shares'!$C:$FB,62)</f>
        <v>2545800</v>
      </c>
      <c r="N202" s="49">
        <f>VLOOKUP($A202,'Data shares'!$C:$FB,63)</f>
        <v>3612000</v>
      </c>
      <c r="O202" s="140">
        <f>VLOOKUP($A202,'Data shares'!$C:$FB,65)*100</f>
        <v>-29.520000000000003</v>
      </c>
    </row>
    <row r="203" spans="1:15" x14ac:dyDescent="0.25">
      <c r="A203" s="101" t="str">
        <f>'Data Vlaue (Cr)'!C198</f>
        <v>TIINDIA</v>
      </c>
      <c r="B203" s="50">
        <f>VLOOKUP($A203,'Data shares'!$C:$FB,7)</f>
        <v>3039.1</v>
      </c>
      <c r="C203" s="50">
        <f>VLOOKUP($A203,'Data shares'!$C:$FB,10)*100</f>
        <v>-0.27999999999999997</v>
      </c>
      <c r="D203" s="49">
        <f>VLOOKUP($A203,'Data shares'!$C:$FB,66)</f>
        <v>1577200</v>
      </c>
      <c r="E203" s="49">
        <f>VLOOKUP($A203,'Data shares'!$C:$FB,67)</f>
        <v>4507800</v>
      </c>
      <c r="F203" s="50">
        <f>VLOOKUP($A203,'Data shares'!$C:$FB,69)*100</f>
        <v>-65.010000000000005</v>
      </c>
      <c r="G203" s="49">
        <f>VLOOKUP($A203,'Data shares'!$C:$FB,42)</f>
        <v>569600</v>
      </c>
      <c r="H203" s="49">
        <f>VLOOKUP($A203,'Data shares'!$C:$FB,43)</f>
        <v>1560400</v>
      </c>
      <c r="I203" s="50">
        <f>VLOOKUP($A203,'Data shares'!$C:$FB,45)*100</f>
        <v>-63.5</v>
      </c>
      <c r="J203" s="49">
        <f>VLOOKUP($A203,'Data shares'!$C:$FB,58)</f>
        <v>755400</v>
      </c>
      <c r="K203" s="49">
        <f>VLOOKUP($A203,'Data shares'!$C:$FB,59)</f>
        <v>2226600</v>
      </c>
      <c r="L203" s="50">
        <f>VLOOKUP($A203,'Data shares'!$C:$FB,61)*100</f>
        <v>-66.069999999999993</v>
      </c>
      <c r="M203" s="49">
        <f>VLOOKUP($A203,'Data shares'!$C:$FB,62)</f>
        <v>252200</v>
      </c>
      <c r="N203" s="49">
        <f>VLOOKUP($A203,'Data shares'!$C:$FB,63)</f>
        <v>720800</v>
      </c>
      <c r="O203" s="140">
        <f>VLOOKUP($A203,'Data shares'!$C:$FB,65)*100</f>
        <v>-65.010000000000005</v>
      </c>
    </row>
    <row r="204" spans="1:15" x14ac:dyDescent="0.25">
      <c r="A204" s="101" t="str">
        <f>'Data Vlaue (Cr)'!C199</f>
        <v>TITAN</v>
      </c>
      <c r="B204" s="50">
        <f>VLOOKUP($A204,'Data shares'!$C:$FB,7)</f>
        <v>4105.8999999999996</v>
      </c>
      <c r="C204" s="50">
        <f>VLOOKUP($A204,'Data shares'!$C:$FB,10)*100</f>
        <v>-1.28</v>
      </c>
      <c r="D204" s="49">
        <f>VLOOKUP($A204,'Data shares'!$C:$FB,66)</f>
        <v>11038650</v>
      </c>
      <c r="E204" s="49">
        <f>VLOOKUP($A204,'Data shares'!$C:$FB,67)</f>
        <v>18243575</v>
      </c>
      <c r="F204" s="50">
        <f>VLOOKUP($A204,'Data shares'!$C:$FB,69)*100</f>
        <v>-39.489999999999995</v>
      </c>
      <c r="G204" s="49">
        <f>VLOOKUP($A204,'Data shares'!$C:$FB,42)</f>
        <v>2812250</v>
      </c>
      <c r="H204" s="49">
        <f>VLOOKUP($A204,'Data shares'!$C:$FB,43)</f>
        <v>4730775</v>
      </c>
      <c r="I204" s="50">
        <f>VLOOKUP($A204,'Data shares'!$C:$FB,45)*100</f>
        <v>-40.550000000000004</v>
      </c>
      <c r="J204" s="49">
        <f>VLOOKUP($A204,'Data shares'!$C:$FB,58)</f>
        <v>5309675</v>
      </c>
      <c r="K204" s="49">
        <f>VLOOKUP($A204,'Data shares'!$C:$FB,59)</f>
        <v>9118025</v>
      </c>
      <c r="L204" s="50">
        <f>VLOOKUP($A204,'Data shares'!$C:$FB,61)*100</f>
        <v>-41.77</v>
      </c>
      <c r="M204" s="49">
        <f>VLOOKUP($A204,'Data shares'!$C:$FB,62)</f>
        <v>2916725</v>
      </c>
      <c r="N204" s="49">
        <f>VLOOKUP($A204,'Data shares'!$C:$FB,63)</f>
        <v>4394775</v>
      </c>
      <c r="O204" s="140">
        <f>VLOOKUP($A204,'Data shares'!$C:$FB,65)*100</f>
        <v>-33.629999999999995</v>
      </c>
    </row>
    <row r="205" spans="1:15" x14ac:dyDescent="0.25">
      <c r="A205" s="101" t="str">
        <f>'Data Vlaue (Cr)'!C200</f>
        <v>TMPV</v>
      </c>
      <c r="B205" s="50">
        <f>VLOOKUP($A205,'Data shares'!$C:$FB,7)</f>
        <v>385.6</v>
      </c>
      <c r="C205" s="50">
        <f>VLOOKUP($A205,'Data shares'!$C:$FB,10)*100</f>
        <v>3.3099999999999996</v>
      </c>
      <c r="D205" s="49">
        <f>VLOOKUP($A205,'Data shares'!$C:$FB,66)</f>
        <v>159017600</v>
      </c>
      <c r="E205" s="49">
        <f>VLOOKUP($A205,'Data shares'!$C:$FB,67)</f>
        <v>198757600</v>
      </c>
      <c r="F205" s="50">
        <f>VLOOKUP($A205,'Data shares'!$C:$FB,69)*100</f>
        <v>-19.989999999999998</v>
      </c>
      <c r="G205" s="49">
        <f>VLOOKUP($A205,'Data shares'!$C:$FB,42)</f>
        <v>33264800</v>
      </c>
      <c r="H205" s="49">
        <f>VLOOKUP($A205,'Data shares'!$C:$FB,43)</f>
        <v>44659200</v>
      </c>
      <c r="I205" s="50">
        <f>VLOOKUP($A205,'Data shares'!$C:$FB,45)*100</f>
        <v>-25.509999999999998</v>
      </c>
      <c r="J205" s="49">
        <f>VLOOKUP($A205,'Data shares'!$C:$FB,58)</f>
        <v>95011200</v>
      </c>
      <c r="K205" s="49">
        <f>VLOOKUP($A205,'Data shares'!$C:$FB,59)</f>
        <v>109451200</v>
      </c>
      <c r="L205" s="50">
        <f>VLOOKUP($A205,'Data shares'!$C:$FB,61)*100</f>
        <v>-13.19</v>
      </c>
      <c r="M205" s="49">
        <f>VLOOKUP($A205,'Data shares'!$C:$FB,62)</f>
        <v>30741600</v>
      </c>
      <c r="N205" s="49">
        <f>VLOOKUP($A205,'Data shares'!$C:$FB,63)</f>
        <v>44647200</v>
      </c>
      <c r="O205" s="140">
        <f>VLOOKUP($A205,'Data shares'!$C:$FB,65)*100</f>
        <v>-31.15</v>
      </c>
    </row>
    <row r="206" spans="1:15" x14ac:dyDescent="0.25">
      <c r="A206" s="101" t="str">
        <f>'Data Vlaue (Cr)'!C201</f>
        <v>TORNTPHARM</v>
      </c>
      <c r="B206" s="50">
        <f>VLOOKUP($A206,'Data shares'!$C:$FB,7)</f>
        <v>4452.1000000000004</v>
      </c>
      <c r="C206" s="50">
        <f>VLOOKUP($A206,'Data shares'!$C:$FB,10)*100</f>
        <v>-2.64</v>
      </c>
      <c r="D206" s="49">
        <f>VLOOKUP($A206,'Data shares'!$C:$FB,66)</f>
        <v>4869375</v>
      </c>
      <c r="E206" s="49">
        <f>VLOOKUP($A206,'Data shares'!$C:$FB,67)</f>
        <v>26213125</v>
      </c>
      <c r="F206" s="50">
        <f>VLOOKUP($A206,'Data shares'!$C:$FB,69)*100</f>
        <v>-81.42</v>
      </c>
      <c r="G206" s="49">
        <f>VLOOKUP($A206,'Data shares'!$C:$FB,42)</f>
        <v>960000</v>
      </c>
      <c r="H206" s="49">
        <f>VLOOKUP($A206,'Data shares'!$C:$FB,43)</f>
        <v>2622625</v>
      </c>
      <c r="I206" s="50">
        <f>VLOOKUP($A206,'Data shares'!$C:$FB,45)*100</f>
        <v>-63.4</v>
      </c>
      <c r="J206" s="49">
        <f>VLOOKUP($A206,'Data shares'!$C:$FB,58)</f>
        <v>2076375</v>
      </c>
      <c r="K206" s="49">
        <f>VLOOKUP($A206,'Data shares'!$C:$FB,59)</f>
        <v>16586000</v>
      </c>
      <c r="L206" s="50">
        <f>VLOOKUP($A206,'Data shares'!$C:$FB,61)*100</f>
        <v>-87.48</v>
      </c>
      <c r="M206" s="49">
        <f>VLOOKUP($A206,'Data shares'!$C:$FB,62)</f>
        <v>1833000</v>
      </c>
      <c r="N206" s="49">
        <f>VLOOKUP($A206,'Data shares'!$C:$FB,63)</f>
        <v>7004500</v>
      </c>
      <c r="O206" s="140">
        <f>VLOOKUP($A206,'Data shares'!$C:$FB,65)*100</f>
        <v>-73.83</v>
      </c>
    </row>
    <row r="207" spans="1:15" x14ac:dyDescent="0.25">
      <c r="A207" s="101" t="str">
        <f>'Data Vlaue (Cr)'!C202</f>
        <v>TRENT</v>
      </c>
      <c r="B207" s="50">
        <f>VLOOKUP($A207,'Data shares'!$C:$FB,7)</f>
        <v>4239.6000000000004</v>
      </c>
      <c r="C207" s="50">
        <f>VLOOKUP($A207,'Data shares'!$C:$FB,10)*100</f>
        <v>-1.4000000000000001</v>
      </c>
      <c r="D207" s="49">
        <f>VLOOKUP($A207,'Data shares'!$C:$FB,66)</f>
        <v>6982700</v>
      </c>
      <c r="E207" s="49">
        <f>VLOOKUP($A207,'Data shares'!$C:$FB,67)</f>
        <v>12682000</v>
      </c>
      <c r="F207" s="50">
        <f>VLOOKUP($A207,'Data shares'!$C:$FB,69)*100</f>
        <v>-44.940000000000005</v>
      </c>
      <c r="G207" s="49">
        <f>VLOOKUP($A207,'Data shares'!$C:$FB,42)</f>
        <v>1698700</v>
      </c>
      <c r="H207" s="49">
        <f>VLOOKUP($A207,'Data shares'!$C:$FB,43)</f>
        <v>3075700</v>
      </c>
      <c r="I207" s="50">
        <f>VLOOKUP($A207,'Data shares'!$C:$FB,45)*100</f>
        <v>-44.769999999999996</v>
      </c>
      <c r="J207" s="49">
        <f>VLOOKUP($A207,'Data shares'!$C:$FB,58)</f>
        <v>3483700</v>
      </c>
      <c r="K207" s="49">
        <f>VLOOKUP($A207,'Data shares'!$C:$FB,59)</f>
        <v>6878900</v>
      </c>
      <c r="L207" s="50">
        <f>VLOOKUP($A207,'Data shares'!$C:$FB,61)*100</f>
        <v>-49.36</v>
      </c>
      <c r="M207" s="49">
        <f>VLOOKUP($A207,'Data shares'!$C:$FB,62)</f>
        <v>1800300</v>
      </c>
      <c r="N207" s="49">
        <f>VLOOKUP($A207,'Data shares'!$C:$FB,63)</f>
        <v>2727400</v>
      </c>
      <c r="O207" s="140">
        <f>VLOOKUP($A207,'Data shares'!$C:$FB,65)*100</f>
        <v>-33.989999999999995</v>
      </c>
    </row>
    <row r="208" spans="1:15" x14ac:dyDescent="0.25">
      <c r="A208" s="101" t="str">
        <f>'Data Vlaue (Cr)'!C203</f>
        <v>TVSMOTOR</v>
      </c>
      <c r="B208" s="50">
        <f>VLOOKUP($A208,'Data shares'!$C:$FB,7)</f>
        <v>3454.9</v>
      </c>
      <c r="C208" s="50">
        <f>VLOOKUP($A208,'Data shares'!$C:$FB,10)*100</f>
        <v>-0.42</v>
      </c>
      <c r="D208" s="49">
        <f>VLOOKUP($A208,'Data shares'!$C:$FB,66)</f>
        <v>6498275</v>
      </c>
      <c r="E208" s="49">
        <f>VLOOKUP($A208,'Data shares'!$C:$FB,67)</f>
        <v>15109325</v>
      </c>
      <c r="F208" s="50">
        <f>VLOOKUP($A208,'Data shares'!$C:$FB,69)*100</f>
        <v>-56.989999999999995</v>
      </c>
      <c r="G208" s="49">
        <f>VLOOKUP($A208,'Data shares'!$C:$FB,42)</f>
        <v>2157575</v>
      </c>
      <c r="H208" s="49">
        <f>VLOOKUP($A208,'Data shares'!$C:$FB,43)</f>
        <v>7635075</v>
      </c>
      <c r="I208" s="50">
        <f>VLOOKUP($A208,'Data shares'!$C:$FB,45)*100</f>
        <v>-71.740000000000009</v>
      </c>
      <c r="J208" s="49">
        <f>VLOOKUP($A208,'Data shares'!$C:$FB,58)</f>
        <v>2193275</v>
      </c>
      <c r="K208" s="49">
        <f>VLOOKUP($A208,'Data shares'!$C:$FB,59)</f>
        <v>5237925</v>
      </c>
      <c r="L208" s="50">
        <f>VLOOKUP($A208,'Data shares'!$C:$FB,61)*100</f>
        <v>-58.13</v>
      </c>
      <c r="M208" s="49">
        <f>VLOOKUP($A208,'Data shares'!$C:$FB,62)</f>
        <v>2147425</v>
      </c>
      <c r="N208" s="49">
        <f>VLOOKUP($A208,'Data shares'!$C:$FB,63)</f>
        <v>2236325</v>
      </c>
      <c r="O208" s="140">
        <f>VLOOKUP($A208,'Data shares'!$C:$FB,65)*100</f>
        <v>-3.9800000000000004</v>
      </c>
    </row>
    <row r="209" spans="1:15" x14ac:dyDescent="0.25">
      <c r="A209" s="101" t="str">
        <f>'Data Vlaue (Cr)'!C204</f>
        <v>ULTRACEMCO</v>
      </c>
      <c r="B209" s="50">
        <f>VLOOKUP($A209,'Data shares'!$C:$FB,7)</f>
        <v>11623</v>
      </c>
      <c r="C209" s="50">
        <f>VLOOKUP($A209,'Data shares'!$C:$FB,10)*100</f>
        <v>-0.88</v>
      </c>
      <c r="D209" s="49">
        <f>VLOOKUP($A209,'Data shares'!$C:$FB,66)</f>
        <v>1571850</v>
      </c>
      <c r="E209" s="49">
        <f>VLOOKUP($A209,'Data shares'!$C:$FB,67)</f>
        <v>2867350</v>
      </c>
      <c r="F209" s="50">
        <f>VLOOKUP($A209,'Data shares'!$C:$FB,69)*100</f>
        <v>-45.18</v>
      </c>
      <c r="G209" s="49">
        <f>VLOOKUP($A209,'Data shares'!$C:$FB,42)</f>
        <v>599750</v>
      </c>
      <c r="H209" s="49">
        <f>VLOOKUP($A209,'Data shares'!$C:$FB,43)</f>
        <v>1179250</v>
      </c>
      <c r="I209" s="50">
        <f>VLOOKUP($A209,'Data shares'!$C:$FB,45)*100</f>
        <v>-49.14</v>
      </c>
      <c r="J209" s="49">
        <f>VLOOKUP($A209,'Data shares'!$C:$FB,58)</f>
        <v>675400</v>
      </c>
      <c r="K209" s="49">
        <f>VLOOKUP($A209,'Data shares'!$C:$FB,59)</f>
        <v>1203600</v>
      </c>
      <c r="L209" s="50">
        <f>VLOOKUP($A209,'Data shares'!$C:$FB,61)*100</f>
        <v>-43.89</v>
      </c>
      <c r="M209" s="49">
        <f>VLOOKUP($A209,'Data shares'!$C:$FB,62)</f>
        <v>296700</v>
      </c>
      <c r="N209" s="49">
        <f>VLOOKUP($A209,'Data shares'!$C:$FB,63)</f>
        <v>484500</v>
      </c>
      <c r="O209" s="140">
        <f>VLOOKUP($A209,'Data shares'!$C:$FB,65)*100</f>
        <v>-38.76</v>
      </c>
    </row>
    <row r="210" spans="1:15" x14ac:dyDescent="0.25">
      <c r="A210" s="101" t="str">
        <f>'Data Vlaue (Cr)'!C205</f>
        <v>UNIONBANK</v>
      </c>
      <c r="B210" s="50">
        <f>VLOOKUP($A210,'Data shares'!$C:$FB,7)</f>
        <v>167.56</v>
      </c>
      <c r="C210" s="50">
        <f>VLOOKUP($A210,'Data shares'!$C:$FB,10)*100</f>
        <v>-0.77999999999999992</v>
      </c>
      <c r="D210" s="49">
        <f>VLOOKUP($A210,'Data shares'!$C:$FB,66)</f>
        <v>123975225</v>
      </c>
      <c r="E210" s="49">
        <f>VLOOKUP($A210,'Data shares'!$C:$FB,67)</f>
        <v>221750025</v>
      </c>
      <c r="F210" s="50">
        <f>VLOOKUP($A210,'Data shares'!$C:$FB,69)*100</f>
        <v>-44.09</v>
      </c>
      <c r="G210" s="49">
        <f>VLOOKUP($A210,'Data shares'!$C:$FB,42)</f>
        <v>52188450</v>
      </c>
      <c r="H210" s="49">
        <f>VLOOKUP($A210,'Data shares'!$C:$FB,43)</f>
        <v>103332600</v>
      </c>
      <c r="I210" s="50">
        <f>VLOOKUP($A210,'Data shares'!$C:$FB,45)*100</f>
        <v>-49.49</v>
      </c>
      <c r="J210" s="49">
        <f>VLOOKUP($A210,'Data shares'!$C:$FB,58)</f>
        <v>53338950</v>
      </c>
      <c r="K210" s="49">
        <f>VLOOKUP($A210,'Data shares'!$C:$FB,59)</f>
        <v>88535400</v>
      </c>
      <c r="L210" s="50">
        <f>VLOOKUP($A210,'Data shares'!$C:$FB,61)*100</f>
        <v>-39.75</v>
      </c>
      <c r="M210" s="49">
        <f>VLOOKUP($A210,'Data shares'!$C:$FB,62)</f>
        <v>18447825</v>
      </c>
      <c r="N210" s="49">
        <f>VLOOKUP($A210,'Data shares'!$C:$FB,63)</f>
        <v>29882025</v>
      </c>
      <c r="O210" s="140">
        <f>VLOOKUP($A210,'Data shares'!$C:$FB,65)*100</f>
        <v>-38.26</v>
      </c>
    </row>
    <row r="211" spans="1:15" x14ac:dyDescent="0.25">
      <c r="A211" s="101" t="str">
        <f>'Data Vlaue (Cr)'!C206</f>
        <v>UNITDSPR</v>
      </c>
      <c r="B211" s="50">
        <f>VLOOKUP($A211,'Data shares'!$C:$FB,7)</f>
        <v>1293.4000000000001</v>
      </c>
      <c r="C211" s="50">
        <f>VLOOKUP($A211,'Data shares'!$C:$FB,10)*100</f>
        <v>0.72</v>
      </c>
      <c r="D211" s="49">
        <f>VLOOKUP($A211,'Data shares'!$C:$FB,66)</f>
        <v>8592800</v>
      </c>
      <c r="E211" s="49">
        <f>VLOOKUP($A211,'Data shares'!$C:$FB,67)</f>
        <v>11309600</v>
      </c>
      <c r="F211" s="50">
        <f>VLOOKUP($A211,'Data shares'!$C:$FB,69)*100</f>
        <v>-24.02</v>
      </c>
      <c r="G211" s="49">
        <f>VLOOKUP($A211,'Data shares'!$C:$FB,42)</f>
        <v>3879600</v>
      </c>
      <c r="H211" s="49">
        <f>VLOOKUP($A211,'Data shares'!$C:$FB,43)</f>
        <v>6219600</v>
      </c>
      <c r="I211" s="50">
        <f>VLOOKUP($A211,'Data shares'!$C:$FB,45)*100</f>
        <v>-37.619999999999997</v>
      </c>
      <c r="J211" s="49">
        <f>VLOOKUP($A211,'Data shares'!$C:$FB,58)</f>
        <v>2552000</v>
      </c>
      <c r="K211" s="49">
        <f>VLOOKUP($A211,'Data shares'!$C:$FB,59)</f>
        <v>2886800</v>
      </c>
      <c r="L211" s="50">
        <f>VLOOKUP($A211,'Data shares'!$C:$FB,61)*100</f>
        <v>-11.600000000000001</v>
      </c>
      <c r="M211" s="49">
        <f>VLOOKUP($A211,'Data shares'!$C:$FB,62)</f>
        <v>2161200</v>
      </c>
      <c r="N211" s="49">
        <f>VLOOKUP($A211,'Data shares'!$C:$FB,63)</f>
        <v>2203200</v>
      </c>
      <c r="O211" s="140">
        <f>VLOOKUP($A211,'Data shares'!$C:$FB,65)*100</f>
        <v>-1.91</v>
      </c>
    </row>
    <row r="212" spans="1:15" x14ac:dyDescent="0.25">
      <c r="A212" s="101" t="str">
        <f>'Data Vlaue (Cr)'!C207</f>
        <v>UNOMINDA</v>
      </c>
      <c r="B212" s="50">
        <f>VLOOKUP($A212,'Data shares'!$C:$FB,7)</f>
        <v>1114.9000000000001</v>
      </c>
      <c r="C212" s="50">
        <f>VLOOKUP($A212,'Data shares'!$C:$FB,10)*100</f>
        <v>-0.32</v>
      </c>
      <c r="D212" s="49">
        <f>VLOOKUP($A212,'Data shares'!$C:$FB,66)</f>
        <v>4269650</v>
      </c>
      <c r="E212" s="49">
        <f>VLOOKUP($A212,'Data shares'!$C:$FB,67)</f>
        <v>7541050</v>
      </c>
      <c r="F212" s="50">
        <f>VLOOKUP($A212,'Data shares'!$C:$FB,69)*100</f>
        <v>-43.38</v>
      </c>
      <c r="G212" s="49">
        <f>VLOOKUP($A212,'Data shares'!$C:$FB,42)</f>
        <v>1765500</v>
      </c>
      <c r="H212" s="49">
        <f>VLOOKUP($A212,'Data shares'!$C:$FB,43)</f>
        <v>2813800</v>
      </c>
      <c r="I212" s="50">
        <f>VLOOKUP($A212,'Data shares'!$C:$FB,45)*100</f>
        <v>-37.26</v>
      </c>
      <c r="J212" s="49">
        <f>VLOOKUP($A212,'Data shares'!$C:$FB,58)</f>
        <v>2037750</v>
      </c>
      <c r="K212" s="49">
        <f>VLOOKUP($A212,'Data shares'!$C:$FB,59)</f>
        <v>3582150</v>
      </c>
      <c r="L212" s="50">
        <f>VLOOKUP($A212,'Data shares'!$C:$FB,61)*100</f>
        <v>-43.11</v>
      </c>
      <c r="M212" s="49">
        <f>VLOOKUP($A212,'Data shares'!$C:$FB,62)</f>
        <v>466400</v>
      </c>
      <c r="N212" s="49">
        <f>VLOOKUP($A212,'Data shares'!$C:$FB,63)</f>
        <v>1145100</v>
      </c>
      <c r="O212" s="140">
        <f>VLOOKUP($A212,'Data shares'!$C:$FB,65)*100</f>
        <v>-59.27</v>
      </c>
    </row>
    <row r="213" spans="1:15" x14ac:dyDescent="0.25">
      <c r="A213" s="101" t="str">
        <f>'Data Vlaue (Cr)'!C208</f>
        <v>UPL</v>
      </c>
      <c r="B213" s="50">
        <f>VLOOKUP($A213,'Data shares'!$C:$FB,7)</f>
        <v>655</v>
      </c>
      <c r="C213" s="50">
        <f>VLOOKUP($A213,'Data shares'!$C:$FB,10)*100</f>
        <v>0.41000000000000003</v>
      </c>
      <c r="D213" s="49">
        <f>VLOOKUP($A213,'Data shares'!$C:$FB,66)</f>
        <v>30093195</v>
      </c>
      <c r="E213" s="49">
        <f>VLOOKUP($A213,'Data shares'!$C:$FB,67)</f>
        <v>34536240</v>
      </c>
      <c r="F213" s="50">
        <f>VLOOKUP($A213,'Data shares'!$C:$FB,69)*100</f>
        <v>-12.86</v>
      </c>
      <c r="G213" s="49">
        <f>VLOOKUP($A213,'Data shares'!$C:$FB,42)</f>
        <v>14891450</v>
      </c>
      <c r="H213" s="49">
        <f>VLOOKUP($A213,'Data shares'!$C:$FB,43)</f>
        <v>16178700</v>
      </c>
      <c r="I213" s="50">
        <f>VLOOKUP($A213,'Data shares'!$C:$FB,45)*100</f>
        <v>-7.9600000000000009</v>
      </c>
      <c r="J213" s="49">
        <f>VLOOKUP($A213,'Data shares'!$C:$FB,58)</f>
        <v>10131335</v>
      </c>
      <c r="K213" s="49">
        <f>VLOOKUP($A213,'Data shares'!$C:$FB,59)</f>
        <v>12582530</v>
      </c>
      <c r="L213" s="50">
        <f>VLOOKUP($A213,'Data shares'!$C:$FB,61)*100</f>
        <v>-19.48</v>
      </c>
      <c r="M213" s="49">
        <f>VLOOKUP($A213,'Data shares'!$C:$FB,62)</f>
        <v>5070410</v>
      </c>
      <c r="N213" s="49">
        <f>VLOOKUP($A213,'Data shares'!$C:$FB,63)</f>
        <v>5775010</v>
      </c>
      <c r="O213" s="140">
        <f>VLOOKUP($A213,'Data shares'!$C:$FB,65)*100</f>
        <v>-12.2</v>
      </c>
    </row>
    <row r="214" spans="1:15" x14ac:dyDescent="0.25">
      <c r="A214" s="101" t="str">
        <f>'Data Vlaue (Cr)'!C209</f>
        <v>VBL</v>
      </c>
      <c r="B214" s="50">
        <f>VLOOKUP($A214,'Data shares'!$C:$FB,7)</f>
        <v>531.29999999999995</v>
      </c>
      <c r="C214" s="50">
        <f>VLOOKUP($A214,'Data shares'!$C:$FB,10)*100</f>
        <v>0.11</v>
      </c>
      <c r="D214" s="49">
        <f>VLOOKUP($A214,'Data shares'!$C:$FB,66)</f>
        <v>31980375</v>
      </c>
      <c r="E214" s="49">
        <f>VLOOKUP($A214,'Data shares'!$C:$FB,67)</f>
        <v>69936750</v>
      </c>
      <c r="F214" s="50">
        <f>VLOOKUP($A214,'Data shares'!$C:$FB,69)*100</f>
        <v>-54.269999999999996</v>
      </c>
      <c r="G214" s="49">
        <f>VLOOKUP($A214,'Data shares'!$C:$FB,42)</f>
        <v>15728625</v>
      </c>
      <c r="H214" s="49">
        <f>VLOOKUP($A214,'Data shares'!$C:$FB,43)</f>
        <v>22489875</v>
      </c>
      <c r="I214" s="50">
        <f>VLOOKUP($A214,'Data shares'!$C:$FB,45)*100</f>
        <v>-30.06</v>
      </c>
      <c r="J214" s="49">
        <f>VLOOKUP($A214,'Data shares'!$C:$FB,58)</f>
        <v>10100250</v>
      </c>
      <c r="K214" s="49">
        <f>VLOOKUP($A214,'Data shares'!$C:$FB,59)</f>
        <v>29206125</v>
      </c>
      <c r="L214" s="50">
        <f>VLOOKUP($A214,'Data shares'!$C:$FB,61)*100</f>
        <v>-65.42</v>
      </c>
      <c r="M214" s="49">
        <f>VLOOKUP($A214,'Data shares'!$C:$FB,62)</f>
        <v>6151500</v>
      </c>
      <c r="N214" s="49">
        <f>VLOOKUP($A214,'Data shares'!$C:$FB,63)</f>
        <v>18240750</v>
      </c>
      <c r="O214" s="140">
        <f>VLOOKUP($A214,'Data shares'!$C:$FB,65)*100</f>
        <v>-66.28</v>
      </c>
    </row>
    <row r="215" spans="1:15" x14ac:dyDescent="0.25">
      <c r="A215" s="101" t="str">
        <f>'Data Vlaue (Cr)'!C210</f>
        <v>VEDL</v>
      </c>
      <c r="B215" s="50">
        <f>VLOOKUP($A215,'Data shares'!$C:$FB,7)</f>
        <v>344.9</v>
      </c>
      <c r="C215" s="50">
        <f>VLOOKUP($A215,'Data shares'!$C:$FB,10)*100</f>
        <v>3.73</v>
      </c>
      <c r="D215" s="49">
        <f>VLOOKUP($A215,'Data shares'!$C:$FB,66)</f>
        <v>192989550</v>
      </c>
      <c r="E215" s="49">
        <f>VLOOKUP($A215,'Data shares'!$C:$FB,67)</f>
        <v>108581850</v>
      </c>
      <c r="F215" s="50">
        <f>VLOOKUP($A215,'Data shares'!$C:$FB,69)*100</f>
        <v>77.739999999999995</v>
      </c>
      <c r="G215" s="49">
        <f>VLOOKUP($A215,'Data shares'!$C:$FB,42)</f>
        <v>37616500</v>
      </c>
      <c r="H215" s="49">
        <f>VLOOKUP($A215,'Data shares'!$C:$FB,43)</f>
        <v>33678900</v>
      </c>
      <c r="I215" s="50">
        <f>VLOOKUP($A215,'Data shares'!$C:$FB,45)*100</f>
        <v>11.690000000000001</v>
      </c>
      <c r="J215" s="49">
        <f>VLOOKUP($A215,'Data shares'!$C:$FB,58)</f>
        <v>111844400</v>
      </c>
      <c r="K215" s="49">
        <f>VLOOKUP($A215,'Data shares'!$C:$FB,59)</f>
        <v>47963050</v>
      </c>
      <c r="L215" s="50">
        <f>VLOOKUP($A215,'Data shares'!$C:$FB,61)*100</f>
        <v>133.19</v>
      </c>
      <c r="M215" s="49">
        <f>VLOOKUP($A215,'Data shares'!$C:$FB,62)</f>
        <v>43528650</v>
      </c>
      <c r="N215" s="49">
        <f>VLOOKUP($A215,'Data shares'!$C:$FB,63)</f>
        <v>26939900</v>
      </c>
      <c r="O215" s="140">
        <f>VLOOKUP($A215,'Data shares'!$C:$FB,65)*100</f>
        <v>61.58</v>
      </c>
    </row>
    <row r="216" spans="1:15" x14ac:dyDescent="0.25">
      <c r="A216" s="101" t="str">
        <f>'Data Vlaue (Cr)'!C211</f>
        <v>VMM</v>
      </c>
      <c r="B216" s="50">
        <f>VLOOKUP($A216,'Data shares'!$C:$FB,7)</f>
        <v>121.08</v>
      </c>
      <c r="C216" s="50">
        <f>VLOOKUP($A216,'Data shares'!$C:$FB,10)*100</f>
        <v>0.02</v>
      </c>
      <c r="D216" s="49">
        <f>VLOOKUP($A216,'Data shares'!$C:$FB,66)</f>
        <v>20690100</v>
      </c>
      <c r="E216" s="49">
        <f>VLOOKUP($A216,'Data shares'!$C:$FB,67)</f>
        <v>30288250</v>
      </c>
      <c r="F216" s="50">
        <f>VLOOKUP($A216,'Data shares'!$C:$FB,69)*100</f>
        <v>-31.69</v>
      </c>
      <c r="G216" s="49">
        <f>VLOOKUP($A216,'Data shares'!$C:$FB,42)</f>
        <v>10626350</v>
      </c>
      <c r="H216" s="49">
        <f>VLOOKUP($A216,'Data shares'!$C:$FB,43)</f>
        <v>20724050</v>
      </c>
      <c r="I216" s="50">
        <f>VLOOKUP($A216,'Data shares'!$C:$FB,45)*100</f>
        <v>-48.72</v>
      </c>
      <c r="J216" s="49">
        <f>VLOOKUP($A216,'Data shares'!$C:$FB,58)</f>
        <v>7342900</v>
      </c>
      <c r="K216" s="49">
        <f>VLOOKUP($A216,'Data shares'!$C:$FB,59)</f>
        <v>7430200</v>
      </c>
      <c r="L216" s="50">
        <f>VLOOKUP($A216,'Data shares'!$C:$FB,61)*100</f>
        <v>-1.17</v>
      </c>
      <c r="M216" s="49">
        <f>VLOOKUP($A216,'Data shares'!$C:$FB,62)</f>
        <v>2720850</v>
      </c>
      <c r="N216" s="49">
        <f>VLOOKUP($A216,'Data shares'!$C:$FB,63)</f>
        <v>2134000</v>
      </c>
      <c r="O216" s="140">
        <f>VLOOKUP($A216,'Data shares'!$C:$FB,65)*100</f>
        <v>27.500000000000004</v>
      </c>
    </row>
    <row r="217" spans="1:15" x14ac:dyDescent="0.25">
      <c r="A217" s="101" t="str">
        <f>'Data Vlaue (Cr)'!C212</f>
        <v>VOLTAS</v>
      </c>
      <c r="B217" s="50">
        <f>VLOOKUP($A217,'Data shares'!$C:$FB,7)</f>
        <v>1271.4000000000001</v>
      </c>
      <c r="C217" s="50">
        <f>VLOOKUP($A217,'Data shares'!$C:$FB,10)*100</f>
        <v>-0.98</v>
      </c>
      <c r="D217" s="49">
        <f>VLOOKUP($A217,'Data shares'!$C:$FB,66)</f>
        <v>9932250</v>
      </c>
      <c r="E217" s="49">
        <f>VLOOKUP($A217,'Data shares'!$C:$FB,67)</f>
        <v>21184500</v>
      </c>
      <c r="F217" s="50">
        <f>VLOOKUP($A217,'Data shares'!$C:$FB,69)*100</f>
        <v>-53.12</v>
      </c>
      <c r="G217" s="49">
        <f>VLOOKUP($A217,'Data shares'!$C:$FB,42)</f>
        <v>4489125</v>
      </c>
      <c r="H217" s="49">
        <f>VLOOKUP($A217,'Data shares'!$C:$FB,43)</f>
        <v>7002375</v>
      </c>
      <c r="I217" s="50">
        <f>VLOOKUP($A217,'Data shares'!$C:$FB,45)*100</f>
        <v>-35.89</v>
      </c>
      <c r="J217" s="49">
        <f>VLOOKUP($A217,'Data shares'!$C:$FB,58)</f>
        <v>3530250</v>
      </c>
      <c r="K217" s="49">
        <f>VLOOKUP($A217,'Data shares'!$C:$FB,59)</f>
        <v>9910125</v>
      </c>
      <c r="L217" s="50">
        <f>VLOOKUP($A217,'Data shares'!$C:$FB,61)*100</f>
        <v>-64.38000000000001</v>
      </c>
      <c r="M217" s="49">
        <f>VLOOKUP($A217,'Data shares'!$C:$FB,62)</f>
        <v>1912875</v>
      </c>
      <c r="N217" s="49">
        <f>VLOOKUP($A217,'Data shares'!$C:$FB,63)</f>
        <v>4272000</v>
      </c>
      <c r="O217" s="140">
        <f>VLOOKUP($A217,'Data shares'!$C:$FB,65)*100</f>
        <v>-55.22</v>
      </c>
    </row>
    <row r="218" spans="1:15" x14ac:dyDescent="0.25">
      <c r="A218" s="101" t="str">
        <f>'Data Vlaue (Cr)'!C213</f>
        <v>WAAREEENER</v>
      </c>
      <c r="B218" s="50">
        <f>VLOOKUP($A218,'Data shares'!$C:$FB,7)</f>
        <v>3088.1</v>
      </c>
      <c r="C218" s="50">
        <f>VLOOKUP($A218,'Data shares'!$C:$FB,10)*100</f>
        <v>3.4799999999999995</v>
      </c>
      <c r="D218" s="49">
        <f>VLOOKUP($A218,'Data shares'!$C:$FB,66)</f>
        <v>22111950</v>
      </c>
      <c r="E218" s="49">
        <f>VLOOKUP($A218,'Data shares'!$C:$FB,67)</f>
        <v>12765725</v>
      </c>
      <c r="F218" s="50">
        <f>VLOOKUP($A218,'Data shares'!$C:$FB,69)*100</f>
        <v>73.209999999999994</v>
      </c>
      <c r="G218" s="49">
        <f>VLOOKUP($A218,'Data shares'!$C:$FB,42)</f>
        <v>3932600</v>
      </c>
      <c r="H218" s="49">
        <f>VLOOKUP($A218,'Data shares'!$C:$FB,43)</f>
        <v>3656100</v>
      </c>
      <c r="I218" s="50">
        <f>VLOOKUP($A218,'Data shares'!$C:$FB,45)*100</f>
        <v>7.5600000000000005</v>
      </c>
      <c r="J218" s="49">
        <f>VLOOKUP($A218,'Data shares'!$C:$FB,58)</f>
        <v>13625500</v>
      </c>
      <c r="K218" s="49">
        <f>VLOOKUP($A218,'Data shares'!$C:$FB,59)</f>
        <v>7265300</v>
      </c>
      <c r="L218" s="50">
        <f>VLOOKUP($A218,'Data shares'!$C:$FB,61)*100</f>
        <v>87.539999999999992</v>
      </c>
      <c r="M218" s="49">
        <f>VLOOKUP($A218,'Data shares'!$C:$FB,62)</f>
        <v>4553850</v>
      </c>
      <c r="N218" s="49">
        <f>VLOOKUP($A218,'Data shares'!$C:$FB,63)</f>
        <v>1844325</v>
      </c>
      <c r="O218" s="140">
        <f>VLOOKUP($A218,'Data shares'!$C:$FB,65)*100</f>
        <v>146.91</v>
      </c>
    </row>
    <row r="219" spans="1:15" x14ac:dyDescent="0.25">
      <c r="A219" s="101" t="str">
        <f>'Data Vlaue (Cr)'!C214</f>
        <v>WIPRO</v>
      </c>
      <c r="B219" s="50">
        <f>VLOOKUP($A219,'Data shares'!$C:$FB,7)</f>
        <v>203.73</v>
      </c>
      <c r="C219" s="50">
        <f>VLOOKUP($A219,'Data shares'!$C:$FB,10)*100</f>
        <v>-1.5</v>
      </c>
      <c r="D219" s="49">
        <f>VLOOKUP($A219,'Data shares'!$C:$FB,66)</f>
        <v>473889000</v>
      </c>
      <c r="E219" s="49">
        <f>VLOOKUP($A219,'Data shares'!$C:$FB,67)</f>
        <v>733695000</v>
      </c>
      <c r="F219" s="50">
        <f>VLOOKUP($A219,'Data shares'!$C:$FB,69)*100</f>
        <v>-35.410000000000004</v>
      </c>
      <c r="G219" s="49">
        <f>VLOOKUP($A219,'Data shares'!$C:$FB,42)</f>
        <v>181542000</v>
      </c>
      <c r="H219" s="49">
        <f>VLOOKUP($A219,'Data shares'!$C:$FB,43)</f>
        <v>241779000</v>
      </c>
      <c r="I219" s="50">
        <f>VLOOKUP($A219,'Data shares'!$C:$FB,45)*100</f>
        <v>-24.91</v>
      </c>
      <c r="J219" s="49">
        <f>VLOOKUP($A219,'Data shares'!$C:$FB,58)</f>
        <v>185523000</v>
      </c>
      <c r="K219" s="49">
        <f>VLOOKUP($A219,'Data shares'!$C:$FB,59)</f>
        <v>340401000</v>
      </c>
      <c r="L219" s="50">
        <f>VLOOKUP($A219,'Data shares'!$C:$FB,61)*100</f>
        <v>-45.5</v>
      </c>
      <c r="M219" s="49">
        <f>VLOOKUP($A219,'Data shares'!$C:$FB,62)</f>
        <v>106824000</v>
      </c>
      <c r="N219" s="49">
        <f>VLOOKUP($A219,'Data shares'!$C:$FB,63)</f>
        <v>151515000</v>
      </c>
      <c r="O219" s="140">
        <f>VLOOKUP($A219,'Data shares'!$C:$FB,65)*100</f>
        <v>-29.5</v>
      </c>
    </row>
    <row r="220" spans="1:15" x14ac:dyDescent="0.25">
      <c r="A220" s="101" t="str">
        <f>'Data Vlaue (Cr)'!C215</f>
        <v>YESBANK</v>
      </c>
      <c r="B220" s="50">
        <f>VLOOKUP($A220,'Data shares'!$C:$FB,7)</f>
        <v>22.83</v>
      </c>
      <c r="C220" s="50">
        <f>VLOOKUP($A220,'Data shares'!$C:$FB,10)*100</f>
        <v>2.42</v>
      </c>
      <c r="D220" s="49">
        <f>VLOOKUP($A220,'Data shares'!$C:$FB,66)</f>
        <v>1218964500</v>
      </c>
      <c r="E220" s="49">
        <f>VLOOKUP($A220,'Data shares'!$C:$FB,67)</f>
        <v>1092232000</v>
      </c>
      <c r="F220" s="50">
        <f>VLOOKUP($A220,'Data shares'!$C:$FB,69)*100</f>
        <v>11.600000000000001</v>
      </c>
      <c r="G220" s="49">
        <f>VLOOKUP($A220,'Data shares'!$C:$FB,42)</f>
        <v>654903800</v>
      </c>
      <c r="H220" s="49">
        <f>VLOOKUP($A220,'Data shares'!$C:$FB,43)</f>
        <v>578366700</v>
      </c>
      <c r="I220" s="50">
        <f>VLOOKUP($A220,'Data shares'!$C:$FB,45)*100</f>
        <v>13.23</v>
      </c>
      <c r="J220" s="49">
        <f>VLOOKUP($A220,'Data shares'!$C:$FB,58)</f>
        <v>394316900</v>
      </c>
      <c r="K220" s="49">
        <f>VLOOKUP($A220,'Data shares'!$C:$FB,59)</f>
        <v>302540800</v>
      </c>
      <c r="L220" s="50">
        <f>VLOOKUP($A220,'Data shares'!$C:$FB,61)*100</f>
        <v>30.34</v>
      </c>
      <c r="M220" s="49">
        <f>VLOOKUP($A220,'Data shares'!$C:$FB,62)</f>
        <v>169743800</v>
      </c>
      <c r="N220" s="49">
        <f>VLOOKUP($A220,'Data shares'!$C:$FB,63)</f>
        <v>211324500</v>
      </c>
      <c r="O220" s="140">
        <f>VLOOKUP($A220,'Data shares'!$C:$FB,65)*100</f>
        <v>-19.68</v>
      </c>
    </row>
    <row r="221" spans="1:15" x14ac:dyDescent="0.25">
      <c r="A221" s="101" t="str">
        <f>'Data Vlaue (Cr)'!C216</f>
        <v>ZYDUSLIFE</v>
      </c>
      <c r="B221" s="50">
        <f>VLOOKUP($A221,'Data shares'!$C:$FB,7)</f>
        <v>1079.05</v>
      </c>
      <c r="C221" s="50">
        <f>VLOOKUP($A221,'Data shares'!$C:$FB,10)*100</f>
        <v>0.57000000000000006</v>
      </c>
      <c r="D221" s="49">
        <f>VLOOKUP($A221,'Data shares'!$C:$FB,66)</f>
        <v>16324200</v>
      </c>
      <c r="E221" s="49">
        <f>VLOOKUP($A221,'Data shares'!$C:$FB,67)</f>
        <v>39277800</v>
      </c>
      <c r="F221" s="50">
        <f>VLOOKUP($A221,'Data shares'!$C:$FB,69)*100</f>
        <v>-58.440000000000005</v>
      </c>
      <c r="G221" s="49">
        <f>VLOOKUP($A221,'Data shares'!$C:$FB,42)</f>
        <v>4752900</v>
      </c>
      <c r="H221" s="49">
        <f>VLOOKUP($A221,'Data shares'!$C:$FB,43)</f>
        <v>9605700</v>
      </c>
      <c r="I221" s="50">
        <f>VLOOKUP($A221,'Data shares'!$C:$FB,45)*100</f>
        <v>-50.519999999999996</v>
      </c>
      <c r="J221" s="49">
        <f>VLOOKUP($A221,'Data shares'!$C:$FB,58)</f>
        <v>8036100</v>
      </c>
      <c r="K221" s="49">
        <f>VLOOKUP($A221,'Data shares'!$C:$FB,59)</f>
        <v>22990500</v>
      </c>
      <c r="L221" s="50">
        <f>VLOOKUP($A221,'Data shares'!$C:$FB,61)*100</f>
        <v>-65.05</v>
      </c>
      <c r="M221" s="49">
        <f>VLOOKUP($A221,'Data shares'!$C:$FB,62)</f>
        <v>3535200</v>
      </c>
      <c r="N221" s="49">
        <f>VLOOKUP($A221,'Data shares'!$C:$FB,63)</f>
        <v>6681600</v>
      </c>
      <c r="O221" s="140">
        <f>VLOOKUP($A221,'Data shares'!$C:$FB,65)*100</f>
        <v>-47.089999999999996</v>
      </c>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50"/>
      <c r="C225" s="50"/>
      <c r="D225" s="49"/>
      <c r="E225" s="49"/>
      <c r="F225" s="50"/>
      <c r="G225" s="49"/>
      <c r="H225" s="49"/>
      <c r="I225" s="50"/>
      <c r="J225" s="49"/>
      <c r="K225" s="49"/>
      <c r="L225" s="50"/>
      <c r="M225" s="49"/>
      <c r="N225" s="49"/>
      <c r="O225" s="140"/>
    </row>
    <row r="226" spans="1:15" x14ac:dyDescent="0.25">
      <c r="A226" s="101"/>
      <c r="B226" s="50"/>
      <c r="C226" s="50"/>
      <c r="D226" s="49"/>
      <c r="E226" s="49"/>
      <c r="F226" s="50"/>
      <c r="G226" s="49"/>
      <c r="H226" s="49"/>
      <c r="I226" s="50"/>
      <c r="J226" s="49"/>
      <c r="K226" s="49"/>
      <c r="L226" s="50"/>
      <c r="M226" s="49"/>
      <c r="N226" s="49"/>
      <c r="O226" s="140"/>
    </row>
    <row r="227" spans="1:15" x14ac:dyDescent="0.25">
      <c r="A227" s="101"/>
      <c r="B227" s="50"/>
      <c r="C227" s="50"/>
      <c r="D227" s="49"/>
      <c r="E227" s="49"/>
      <c r="F227" s="50"/>
      <c r="G227" s="49"/>
      <c r="H227" s="49"/>
      <c r="I227" s="50"/>
      <c r="J227" s="49"/>
      <c r="K227" s="49"/>
      <c r="L227" s="50"/>
      <c r="M227" s="49"/>
      <c r="N227" s="49"/>
      <c r="O227" s="140"/>
    </row>
    <row r="228" spans="1:15" x14ac:dyDescent="0.25">
      <c r="A228" s="101"/>
      <c r="B228" s="50"/>
      <c r="C228" s="50"/>
      <c r="D228" s="49"/>
      <c r="E228" s="49"/>
      <c r="F228" s="50"/>
      <c r="G228" s="49"/>
      <c r="H228" s="49"/>
      <c r="I228" s="50"/>
      <c r="J228" s="49"/>
      <c r="K228" s="49"/>
      <c r="L228" s="50"/>
      <c r="M228" s="49"/>
      <c r="N228" s="49"/>
      <c r="O228" s="140"/>
    </row>
    <row r="229" spans="1:15" x14ac:dyDescent="0.25">
      <c r="A229" s="101"/>
      <c r="B229" s="17"/>
      <c r="C229" s="17"/>
      <c r="D229" s="17"/>
      <c r="E229" s="17"/>
      <c r="F229" s="17"/>
      <c r="G229" s="17"/>
      <c r="H229" s="17"/>
      <c r="I229" s="17"/>
      <c r="J229" s="17"/>
      <c r="K229" s="17"/>
      <c r="L229" s="17"/>
      <c r="M229" s="17"/>
      <c r="N229" s="17"/>
      <c r="O229" s="17"/>
    </row>
    <row r="230" spans="1:15" x14ac:dyDescent="0.25">
      <c r="A230" s="102"/>
      <c r="B230" s="17"/>
      <c r="C230" s="17"/>
      <c r="D230" s="17"/>
      <c r="E230" s="17"/>
      <c r="F230" s="17"/>
      <c r="G230" s="17"/>
      <c r="H230" s="17"/>
      <c r="I230" s="17"/>
      <c r="J230" s="17"/>
      <c r="K230" s="17"/>
      <c r="L230" s="17"/>
      <c r="M230" s="17"/>
      <c r="N230" s="17"/>
      <c r="O230" s="17"/>
    </row>
    <row r="231" spans="1:15" x14ac:dyDescent="0.25">
      <c r="A231" s="133" t="s">
        <v>391</v>
      </c>
      <c r="B231" s="133"/>
      <c r="C231" s="133"/>
      <c r="D231" s="133">
        <f>SUM(D7:D225)</f>
        <v>40358713090</v>
      </c>
      <c r="E231" s="133">
        <f>SUM(E7:E225)</f>
        <v>29544154621</v>
      </c>
      <c r="F231" s="134">
        <f>(D231-E231)/E231</f>
        <v>0.36604731486589925</v>
      </c>
      <c r="G231" s="133">
        <f>SUM(G7:G225)</f>
        <v>7362769915</v>
      </c>
      <c r="H231" s="133">
        <f>SUM(H7:H225)</f>
        <v>9306840766</v>
      </c>
      <c r="I231" s="134">
        <f>(G231-H231)/H231</f>
        <v>-0.2088862267958996</v>
      </c>
      <c r="J231" s="133">
        <f>SUM(J7:J225)</f>
        <v>17543049797</v>
      </c>
      <c r="K231" s="133">
        <f>SUM(K7:K225)</f>
        <v>12396566290</v>
      </c>
      <c r="L231" s="134">
        <f>(J231-K231)/K231</f>
        <v>0.41515395365178981</v>
      </c>
      <c r="M231" s="133">
        <f>SUM(M7:M225)</f>
        <v>15452893378</v>
      </c>
      <c r="N231" s="133">
        <f>SUM(N7:N225)</f>
        <v>7840747565</v>
      </c>
      <c r="O231" s="134">
        <f>(M231-N231)/N231</f>
        <v>0.97084439333049743</v>
      </c>
    </row>
    <row r="232" spans="1:15" x14ac:dyDescent="0.25">
      <c r="A232" s="133" t="s">
        <v>398</v>
      </c>
      <c r="B232" s="133"/>
      <c r="C232" s="133"/>
      <c r="D232" s="133">
        <f>D231/10000000</f>
        <v>4035.8713090000001</v>
      </c>
      <c r="E232" s="133">
        <f>E231/10000000</f>
        <v>2954.4154620999998</v>
      </c>
      <c r="F232" s="134">
        <f>(D232-E232)/E232</f>
        <v>0.36604731486589942</v>
      </c>
      <c r="G232" s="133">
        <f>G231/10000000</f>
        <v>736.27699150000001</v>
      </c>
      <c r="H232" s="133">
        <f>H231/10000000</f>
        <v>930.68407660000003</v>
      </c>
      <c r="I232" s="134">
        <f>(G232-H232)/H232</f>
        <v>-0.2088862267958996</v>
      </c>
      <c r="J232" s="133">
        <f>J231/10000000</f>
        <v>1754.3049797000001</v>
      </c>
      <c r="K232" s="133">
        <f>K231/10000000</f>
        <v>1239.6566290000001</v>
      </c>
      <c r="L232" s="134">
        <f>(J232-K232)/K232</f>
        <v>0.41515395365178981</v>
      </c>
      <c r="M232" s="133">
        <f>M231/10000000</f>
        <v>1545.2893378000001</v>
      </c>
      <c r="N232" s="133">
        <f>N231/10000000</f>
        <v>784.07475650000003</v>
      </c>
      <c r="O232" s="134">
        <f>(M232-N232)/N232</f>
        <v>0.97084439333049743</v>
      </c>
    </row>
    <row r="233" spans="1:15" x14ac:dyDescent="0.25">
      <c r="A233" s="17"/>
      <c r="B233" s="17"/>
      <c r="C233" s="17"/>
      <c r="D233" s="17"/>
      <c r="E233" s="17"/>
      <c r="F233" s="17"/>
      <c r="G233" s="17"/>
      <c r="H233" s="17"/>
      <c r="I233" s="17"/>
      <c r="J233" s="17"/>
      <c r="K233" s="17"/>
      <c r="L233" s="17"/>
      <c r="M233" s="17"/>
      <c r="N233" s="17"/>
      <c r="O233"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7" activePane="bottomLeft" state="frozen"/>
      <selection pane="bottomLeft" activeCell="Q27" sqref="Q27"/>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7" t="s">
        <v>311</v>
      </c>
      <c r="B3" s="308"/>
      <c r="C3" s="308"/>
      <c r="D3" s="308"/>
      <c r="E3" s="308"/>
      <c r="F3" s="308"/>
      <c r="G3" s="308"/>
      <c r="H3" s="308"/>
      <c r="I3" s="308"/>
      <c r="J3" s="308"/>
      <c r="K3" s="308"/>
      <c r="L3" s="267"/>
      <c r="M3" s="267"/>
      <c r="N3" s="267"/>
      <c r="O3" s="309"/>
    </row>
    <row r="4" spans="1:19" s="104" customFormat="1" x14ac:dyDescent="0.25">
      <c r="A4" s="286" t="s">
        <v>330</v>
      </c>
      <c r="B4" s="286" t="s">
        <v>311</v>
      </c>
      <c r="C4" s="286"/>
      <c r="D4" s="286"/>
      <c r="E4" s="286"/>
      <c r="F4" s="286"/>
      <c r="G4" s="286"/>
      <c r="H4" s="286" t="s">
        <v>365</v>
      </c>
      <c r="I4" s="286"/>
      <c r="J4" s="286"/>
      <c r="K4" s="286"/>
      <c r="L4" s="286" t="s">
        <v>309</v>
      </c>
      <c r="M4" s="286"/>
      <c r="N4" s="286"/>
      <c r="O4" s="286"/>
    </row>
    <row r="5" spans="1:19" s="104" customFormat="1" x14ac:dyDescent="0.25">
      <c r="A5" s="305"/>
      <c r="B5" s="305" t="s">
        <v>316</v>
      </c>
      <c r="C5" s="305"/>
      <c r="D5" s="305"/>
      <c r="E5" s="305" t="s">
        <v>317</v>
      </c>
      <c r="F5" s="305"/>
      <c r="G5" s="305"/>
      <c r="H5" s="305" t="s">
        <v>336</v>
      </c>
      <c r="I5" s="305"/>
      <c r="J5" s="305" t="s">
        <v>342</v>
      </c>
      <c r="K5" s="305"/>
      <c r="L5" s="305" t="s">
        <v>336</v>
      </c>
      <c r="M5" s="305"/>
      <c r="N5" s="305" t="s">
        <v>342</v>
      </c>
      <c r="O5" s="306"/>
    </row>
    <row r="6" spans="1:19" s="104" customFormat="1" x14ac:dyDescent="0.25">
      <c r="A6" s="76" t="s">
        <v>318</v>
      </c>
      <c r="B6" s="3">
        <f>'Total Valume'!B6</f>
        <v>46168</v>
      </c>
      <c r="C6" s="76" t="s">
        <v>322</v>
      </c>
      <c r="D6" s="76" t="s">
        <v>328</v>
      </c>
      <c r="E6" s="3">
        <f>B6</f>
        <v>46168</v>
      </c>
      <c r="F6" s="76" t="s">
        <v>322</v>
      </c>
      <c r="G6" s="76" t="s">
        <v>328</v>
      </c>
      <c r="H6" s="3">
        <f>E6</f>
        <v>46168</v>
      </c>
      <c r="I6" s="76" t="s">
        <v>333</v>
      </c>
      <c r="J6" s="3">
        <f>E6</f>
        <v>46168</v>
      </c>
      <c r="K6" s="76" t="s">
        <v>333</v>
      </c>
      <c r="L6" s="3">
        <f>E6</f>
        <v>46168</v>
      </c>
      <c r="M6" s="76" t="s">
        <v>333</v>
      </c>
      <c r="N6" s="3">
        <f>E6</f>
        <v>46168</v>
      </c>
      <c r="O6" s="76" t="s">
        <v>333</v>
      </c>
    </row>
    <row r="7" spans="1:19" x14ac:dyDescent="0.25">
      <c r="A7" s="105" t="str">
        <f>'Data Vlaue (Cr)'!C2</f>
        <v>360ONE</v>
      </c>
      <c r="B7" s="143">
        <f>VLOOKUP($A7,'Data shares'!$C:$FA,118)</f>
        <v>0.47</v>
      </c>
      <c r="C7" s="143">
        <f>VLOOKUP($A7,'Data shares'!$C:$FA,119)</f>
        <v>0.98</v>
      </c>
      <c r="D7" s="143">
        <f>VLOOKUP($A7,'Data shares'!$C:$FA,121)*100</f>
        <v>-52.04</v>
      </c>
      <c r="E7" s="143">
        <f>VLOOKUP($A7,'Data shares'!$C:$FA,124)</f>
        <v>0.56000000000000005</v>
      </c>
      <c r="F7" s="143">
        <f>VLOOKUP($A7,'Data shares'!$C:$FA,125)</f>
        <v>0.74</v>
      </c>
      <c r="G7" s="143">
        <f>VLOOKUP($A7,'Data shares'!$C:$FA,127)*100</f>
        <v>-24.32</v>
      </c>
      <c r="H7" s="103">
        <f>VLOOKUP($A7,'OI(Volume)'!$A$7:$O$445,8)</f>
        <v>380500</v>
      </c>
      <c r="I7" s="103">
        <f>VLOOKUP($A7,'OI(Volume)'!$A$7:$O$445,9)</f>
        <v>-542500</v>
      </c>
      <c r="J7" s="103">
        <f>VLOOKUP($A7,'OI(Volume)'!$A$7:$O$445,11)</f>
        <v>180500</v>
      </c>
      <c r="K7" s="103">
        <f>VLOOKUP($A7,'OI(Volume)'!$A$7:$O$445,12)</f>
        <v>-728500</v>
      </c>
      <c r="L7" s="103">
        <f>VLOOKUP($A7,'OI(Value)'!$A$7:$O$329,8,0)</f>
        <v>43</v>
      </c>
      <c r="M7" s="103">
        <f>VLOOKUP($A7,'OI(Value)'!$A$7:$O$329,9,0)</f>
        <v>-62</v>
      </c>
      <c r="N7" s="103">
        <f>VLOOKUP($A7,'OI(Value)'!$A$7:$O$329,11,0)</f>
        <v>20</v>
      </c>
      <c r="O7" s="103">
        <f>VLOOKUP($A7,'OI(Value)'!$A$7:$O$329,12,0)</f>
        <v>-83</v>
      </c>
      <c r="P7" s="179">
        <f>VLOOKUP(A7,'OI(Value)'!A7:O182,8,0)</f>
        <v>43</v>
      </c>
      <c r="Q7" s="179">
        <f>VLOOKUP(A7,'OI(Value)'!A7:O182,9,0)</f>
        <v>-62</v>
      </c>
      <c r="R7" s="179">
        <f>VLOOKUP(A7,'OI(Value)'!A7:O182,11,0)</f>
        <v>20</v>
      </c>
      <c r="S7" s="179">
        <f>VLOOKUP(A7,'OI(Value)'!A7:O182,12,0)</f>
        <v>-83</v>
      </c>
    </row>
    <row r="8" spans="1:19" x14ac:dyDescent="0.25">
      <c r="A8" s="105" t="str">
        <f>'Data Vlaue (Cr)'!C3</f>
        <v>ABB</v>
      </c>
      <c r="B8" s="143">
        <f>VLOOKUP($A8,'Data shares'!$C:$FA,118)</f>
        <v>0.88</v>
      </c>
      <c r="C8" s="143">
        <f>VLOOKUP($A8,'Data shares'!$C:$FA,119)</f>
        <v>0.62</v>
      </c>
      <c r="D8" s="143">
        <f>VLOOKUP($A8,'Data shares'!$C:$FA,121)*100</f>
        <v>41.94</v>
      </c>
      <c r="E8" s="143">
        <f>VLOOKUP($A8,'Data shares'!$C:$FA,124)</f>
        <v>0.54</v>
      </c>
      <c r="F8" s="143">
        <f>VLOOKUP($A8,'Data shares'!$C:$FA,125)</f>
        <v>0.48</v>
      </c>
      <c r="G8" s="143">
        <f>VLOOKUP($A8,'Data shares'!$C:$FA,127)*100</f>
        <v>12.5</v>
      </c>
      <c r="H8" s="103">
        <f>VLOOKUP($A8,'OI(Volume)'!$A$7:$O$445,8)</f>
        <v>537000</v>
      </c>
      <c r="I8" s="103">
        <f>VLOOKUP($A8,'OI(Volume)'!$A$7:$O$445,9)</f>
        <v>-1305625</v>
      </c>
      <c r="J8" s="103">
        <f>VLOOKUP($A8,'OI(Volume)'!$A$7:$O$445,11)</f>
        <v>471125</v>
      </c>
      <c r="K8" s="103">
        <f>VLOOKUP($A8,'OI(Volume)'!$A$7:$O$445,12)</f>
        <v>-676500</v>
      </c>
      <c r="L8" s="103">
        <f>VLOOKUP($A8,'OI(Value)'!$A$7:$O$329,8,0)</f>
        <v>364</v>
      </c>
      <c r="M8" s="103">
        <f>VLOOKUP($A8,'OI(Value)'!$A$7:$O$329,9,0)</f>
        <v>-886</v>
      </c>
      <c r="N8" s="103">
        <f>VLOOKUP($A8,'OI(Value)'!$A$7:$O$329,11,0)</f>
        <v>320</v>
      </c>
      <c r="O8" s="103">
        <f>VLOOKUP($A8,'OI(Value)'!$A$7:$O$329,12,0)</f>
        <v>-459</v>
      </c>
      <c r="P8" s="179">
        <f>VLOOKUP(A8,'OI(Value)'!A8:O232,8,0)</f>
        <v>364</v>
      </c>
      <c r="Q8" s="179">
        <f>VLOOKUP(A8,'OI(Value)'!A8:O232,9,0)</f>
        <v>-886</v>
      </c>
      <c r="R8" s="179">
        <f>VLOOKUP(A8,'OI(Value)'!A8:O232,11,0)</f>
        <v>320</v>
      </c>
      <c r="S8" s="179">
        <f>VLOOKUP(A8,'OI(Value)'!A8:O232,11,0)</f>
        <v>320</v>
      </c>
    </row>
    <row r="9" spans="1:19" x14ac:dyDescent="0.25">
      <c r="A9" s="105" t="str">
        <f>'Data Vlaue (Cr)'!C4</f>
        <v>ABCAPITAL</v>
      </c>
      <c r="B9" s="143">
        <f>VLOOKUP($A9,'Data shares'!$C:$FA,118)</f>
        <v>0.86</v>
      </c>
      <c r="C9" s="143">
        <f>VLOOKUP($A9,'Data shares'!$C:$FA,119)</f>
        <v>0.81</v>
      </c>
      <c r="D9" s="143">
        <f>VLOOKUP($A9,'Data shares'!$C:$FA,121)*100</f>
        <v>6.17</v>
      </c>
      <c r="E9" s="143">
        <f>VLOOKUP($A9,'Data shares'!$C:$FA,124)</f>
        <v>0.51</v>
      </c>
      <c r="F9" s="143">
        <f>VLOOKUP($A9,'Data shares'!$C:$FA,125)</f>
        <v>0.64</v>
      </c>
      <c r="G9" s="143">
        <f>VLOOKUP($A9,'Data shares'!$C:$FA,127)*100</f>
        <v>-20.309999999999999</v>
      </c>
      <c r="H9" s="103">
        <f>VLOOKUP($A9,'OI(Volume)'!$A$7:$O$445,8)</f>
        <v>5719500</v>
      </c>
      <c r="I9" s="103">
        <f>VLOOKUP($A9,'OI(Volume)'!$A$7:$O$445,9)</f>
        <v>-10161800</v>
      </c>
      <c r="J9" s="103">
        <f>VLOOKUP($A9,'OI(Volume)'!$A$7:$O$445,11)</f>
        <v>4938300</v>
      </c>
      <c r="K9" s="103">
        <f>VLOOKUP($A9,'OI(Volume)'!$A$7:$O$445,12)</f>
        <v>-7849200</v>
      </c>
      <c r="L9" s="103">
        <f>VLOOKUP($A9,'OI(Value)'!$A$7:$O$329,8,0)</f>
        <v>209</v>
      </c>
      <c r="M9" s="103">
        <f>VLOOKUP($A9,'OI(Value)'!$A$7:$O$329,9,0)</f>
        <v>-371</v>
      </c>
      <c r="N9" s="103">
        <f>VLOOKUP($A9,'OI(Value)'!$A$7:$O$329,11,0)</f>
        <v>180</v>
      </c>
      <c r="O9" s="103">
        <f>VLOOKUP($A9,'OI(Value)'!$A$7:$O$329,12,0)</f>
        <v>-286</v>
      </c>
      <c r="P9" s="179">
        <f>VLOOKUP(A9,'OI(Value)'!A9:O233,8,0)</f>
        <v>209</v>
      </c>
      <c r="Q9" s="179">
        <f>VLOOKUP(A9,'OI(Value)'!A9:O233,9,0)</f>
        <v>-371</v>
      </c>
      <c r="R9" s="179">
        <f>VLOOKUP(A9,'OI(Value)'!A9:O233,11,0)</f>
        <v>180</v>
      </c>
      <c r="S9" s="179">
        <f>VLOOKUP(A9,'OI(Value)'!A9:O233,11,0)</f>
        <v>180</v>
      </c>
    </row>
    <row r="10" spans="1:19" x14ac:dyDescent="0.25">
      <c r="A10" s="105" t="str">
        <f>'Data Vlaue (Cr)'!C5</f>
        <v>ADANIENSOL</v>
      </c>
      <c r="B10" s="143">
        <f>VLOOKUP($A10,'Data shares'!$C:$FA,118)</f>
        <v>0.69</v>
      </c>
      <c r="C10" s="143">
        <f>VLOOKUP($A10,'Data shares'!$C:$FA,119)</f>
        <v>0.57999999999999996</v>
      </c>
      <c r="D10" s="143">
        <f>VLOOKUP($A10,'Data shares'!$C:$FA,121)*100</f>
        <v>18.970000000000002</v>
      </c>
      <c r="E10" s="143">
        <f>VLOOKUP($A10,'Data shares'!$C:$FA,124)</f>
        <v>0.35</v>
      </c>
      <c r="F10" s="143">
        <f>VLOOKUP($A10,'Data shares'!$C:$FA,125)</f>
        <v>0.35</v>
      </c>
      <c r="G10" s="143">
        <f>VLOOKUP($A10,'Data shares'!$C:$FA,127)*100</f>
        <v>0</v>
      </c>
      <c r="H10" s="103">
        <f>VLOOKUP($A10,'OI(Volume)'!$A$7:$O$445,8)</f>
        <v>2636550</v>
      </c>
      <c r="I10" s="103">
        <f>VLOOKUP($A10,'OI(Volume)'!$A$7:$O$445,9)</f>
        <v>-3928500</v>
      </c>
      <c r="J10" s="103">
        <f>VLOOKUP($A10,'OI(Volume)'!$A$7:$O$445,11)</f>
        <v>1825200</v>
      </c>
      <c r="K10" s="103">
        <f>VLOOKUP($A10,'OI(Volume)'!$A$7:$O$445,12)</f>
        <v>-1970325</v>
      </c>
      <c r="L10" s="103">
        <f>VLOOKUP($A10,'OI(Value)'!$A$7:$O$329,8,0)</f>
        <v>387</v>
      </c>
      <c r="M10" s="103">
        <f>VLOOKUP($A10,'OI(Value)'!$A$7:$O$329,9,0)</f>
        <v>-577</v>
      </c>
      <c r="N10" s="103">
        <f>VLOOKUP($A10,'OI(Value)'!$A$7:$O$329,11,0)</f>
        <v>268</v>
      </c>
      <c r="O10" s="103">
        <f>VLOOKUP($A10,'OI(Value)'!$A$7:$O$329,12,0)</f>
        <v>-289</v>
      </c>
      <c r="P10" s="179">
        <f>VLOOKUP(A10,'OI(Value)'!A10:O234,8,0)</f>
        <v>387</v>
      </c>
      <c r="Q10" s="179">
        <f>VLOOKUP(A10,'OI(Value)'!A10:O234,9,0)</f>
        <v>-577</v>
      </c>
      <c r="R10" s="179">
        <f>VLOOKUP(A10,'OI(Value)'!A10:O234,11,0)</f>
        <v>268</v>
      </c>
      <c r="S10" s="179">
        <f>VLOOKUP(A10,'OI(Value)'!A10:O234,11,0)</f>
        <v>268</v>
      </c>
    </row>
    <row r="11" spans="1:19" x14ac:dyDescent="0.25">
      <c r="A11" s="105" t="str">
        <f>'Data Vlaue (Cr)'!C6</f>
        <v>ADANIENT</v>
      </c>
      <c r="B11" s="143">
        <f>VLOOKUP($A11,'Data shares'!$C:$FA,118)</f>
        <v>0.9</v>
      </c>
      <c r="C11" s="143">
        <f>VLOOKUP($A11,'Data shares'!$C:$FA,119)</f>
        <v>0.86</v>
      </c>
      <c r="D11" s="143">
        <f>VLOOKUP($A11,'Data shares'!$C:$FA,121)*100</f>
        <v>4.6500000000000004</v>
      </c>
      <c r="E11" s="143">
        <f>VLOOKUP($A11,'Data shares'!$C:$FA,124)</f>
        <v>0.46</v>
      </c>
      <c r="F11" s="143">
        <f>VLOOKUP($A11,'Data shares'!$C:$FA,125)</f>
        <v>0.36</v>
      </c>
      <c r="G11" s="143">
        <f>VLOOKUP($A11,'Data shares'!$C:$FA,127)*100</f>
        <v>27.779999999999998</v>
      </c>
      <c r="H11" s="103">
        <f>VLOOKUP($A11,'OI(Volume)'!$A$7:$O$445,8)</f>
        <v>4455780</v>
      </c>
      <c r="I11" s="103">
        <f>VLOOKUP($A11,'OI(Volume)'!$A$7:$O$445,9)</f>
        <v>-5841954</v>
      </c>
      <c r="J11" s="103">
        <f>VLOOKUP($A11,'OI(Volume)'!$A$7:$O$445,11)</f>
        <v>3993825</v>
      </c>
      <c r="K11" s="103">
        <f>VLOOKUP($A11,'OI(Volume)'!$A$7:$O$445,12)</f>
        <v>-4826271</v>
      </c>
      <c r="L11" s="103">
        <f>VLOOKUP($A11,'OI(Value)'!$A$7:$O$329,8,0)</f>
        <v>1330</v>
      </c>
      <c r="M11" s="103">
        <f>VLOOKUP($A11,'OI(Value)'!$A$7:$O$329,9,0)</f>
        <v>-1744</v>
      </c>
      <c r="N11" s="103">
        <f>VLOOKUP($A11,'OI(Value)'!$A$7:$O$329,11,0)</f>
        <v>1193</v>
      </c>
      <c r="O11" s="103">
        <f>VLOOKUP($A11,'OI(Value)'!$A$7:$O$329,12,0)</f>
        <v>-1441</v>
      </c>
      <c r="P11" s="179">
        <f>VLOOKUP(A11,'OI(Value)'!A11:O235,8,0)</f>
        <v>1330</v>
      </c>
      <c r="Q11" s="179">
        <f>VLOOKUP(A11,'OI(Value)'!A11:O235,9,0)</f>
        <v>-1744</v>
      </c>
      <c r="R11" s="179">
        <f>VLOOKUP(A11,'OI(Value)'!A11:O235,11,0)</f>
        <v>1193</v>
      </c>
      <c r="S11" s="179">
        <f>VLOOKUP(A11,'OI(Value)'!A11:O235,11,0)</f>
        <v>1193</v>
      </c>
    </row>
    <row r="12" spans="1:19" x14ac:dyDescent="0.25">
      <c r="A12" s="105" t="str">
        <f>'Data Vlaue (Cr)'!C7</f>
        <v>ADANIGREEN</v>
      </c>
      <c r="B12" s="143">
        <f>VLOOKUP($A12,'Data shares'!$C:$FA,118)</f>
        <v>0.72</v>
      </c>
      <c r="C12" s="143">
        <f>VLOOKUP($A12,'Data shares'!$C:$FA,119)</f>
        <v>0.79</v>
      </c>
      <c r="D12" s="143">
        <f>VLOOKUP($A12,'Data shares'!$C:$FA,121)*100</f>
        <v>-8.86</v>
      </c>
      <c r="E12" s="143">
        <f>VLOOKUP($A12,'Data shares'!$C:$FA,124)</f>
        <v>0.37</v>
      </c>
      <c r="F12" s="143">
        <f>VLOOKUP($A12,'Data shares'!$C:$FA,125)</f>
        <v>0.36</v>
      </c>
      <c r="G12" s="143">
        <f>VLOOKUP($A12,'Data shares'!$C:$FA,127)*100</f>
        <v>2.78</v>
      </c>
      <c r="H12" s="103">
        <f>VLOOKUP($A12,'OI(Volume)'!$A$7:$O$445,8)</f>
        <v>4041000</v>
      </c>
      <c r="I12" s="103">
        <f>VLOOKUP($A12,'OI(Volume)'!$A$7:$O$445,9)</f>
        <v>-5802600</v>
      </c>
      <c r="J12" s="103">
        <f>VLOOKUP($A12,'OI(Volume)'!$A$7:$O$445,11)</f>
        <v>2894400</v>
      </c>
      <c r="K12" s="103">
        <f>VLOOKUP($A12,'OI(Volume)'!$A$7:$O$445,12)</f>
        <v>-4875600</v>
      </c>
      <c r="L12" s="103">
        <f>VLOOKUP($A12,'OI(Value)'!$A$7:$O$329,8,0)</f>
        <v>593</v>
      </c>
      <c r="M12" s="103">
        <f>VLOOKUP($A12,'OI(Value)'!$A$7:$O$329,9,0)</f>
        <v>-852</v>
      </c>
      <c r="N12" s="103">
        <f>VLOOKUP($A12,'OI(Value)'!$A$7:$O$329,11,0)</f>
        <v>425</v>
      </c>
      <c r="O12" s="103">
        <f>VLOOKUP($A12,'OI(Value)'!$A$7:$O$329,12,0)</f>
        <v>-716</v>
      </c>
      <c r="P12" s="179">
        <f>VLOOKUP(A12,'OI(Value)'!A12:O236,8,0)</f>
        <v>593</v>
      </c>
      <c r="Q12" s="179">
        <f>VLOOKUP(A12,'OI(Value)'!A12:O236,9,0)</f>
        <v>-852</v>
      </c>
      <c r="R12" s="179">
        <f>VLOOKUP(A12,'OI(Value)'!A12:O236,11,0)</f>
        <v>425</v>
      </c>
      <c r="S12" s="179">
        <f>VLOOKUP(A12,'OI(Value)'!A12:O236,11,0)</f>
        <v>425</v>
      </c>
    </row>
    <row r="13" spans="1:19" x14ac:dyDescent="0.25">
      <c r="A13" s="105" t="str">
        <f>'Data Vlaue (Cr)'!C8</f>
        <v>ADANIPORTS</v>
      </c>
      <c r="B13" s="143">
        <f>VLOOKUP($A13,'Data shares'!$C:$FA,118)</f>
        <v>0.53</v>
      </c>
      <c r="C13" s="143">
        <f>VLOOKUP($A13,'Data shares'!$C:$FA,119)</f>
        <v>0.72</v>
      </c>
      <c r="D13" s="143">
        <f>VLOOKUP($A13,'Data shares'!$C:$FA,121)*100</f>
        <v>-26.39</v>
      </c>
      <c r="E13" s="143">
        <f>VLOOKUP($A13,'Data shares'!$C:$FA,124)</f>
        <v>0.45</v>
      </c>
      <c r="F13" s="143">
        <f>VLOOKUP($A13,'Data shares'!$C:$FA,125)</f>
        <v>0.54</v>
      </c>
      <c r="G13" s="143">
        <f>VLOOKUP($A13,'Data shares'!$C:$FA,127)*100</f>
        <v>-16.669999999999998</v>
      </c>
      <c r="H13" s="103">
        <f>VLOOKUP($A13,'OI(Volume)'!$A$7:$O$445,8)</f>
        <v>3743950</v>
      </c>
      <c r="I13" s="103">
        <f>VLOOKUP($A13,'OI(Volume)'!$A$7:$O$445,9)</f>
        <v>-5713300</v>
      </c>
      <c r="J13" s="103">
        <f>VLOOKUP($A13,'OI(Volume)'!$A$7:$O$445,11)</f>
        <v>1993575</v>
      </c>
      <c r="K13" s="103">
        <f>VLOOKUP($A13,'OI(Volume)'!$A$7:$O$445,12)</f>
        <v>-4846900</v>
      </c>
      <c r="L13" s="103">
        <f>VLOOKUP($A13,'OI(Value)'!$A$7:$O$329,8,0)</f>
        <v>680</v>
      </c>
      <c r="M13" s="103">
        <f>VLOOKUP($A13,'OI(Value)'!$A$7:$O$329,9,0)</f>
        <v>-1038</v>
      </c>
      <c r="N13" s="103">
        <f>VLOOKUP($A13,'OI(Value)'!$A$7:$O$329,11,0)</f>
        <v>362</v>
      </c>
      <c r="O13" s="103">
        <f>VLOOKUP($A13,'OI(Value)'!$A$7:$O$329,12,0)</f>
        <v>-880</v>
      </c>
      <c r="P13" s="179">
        <f>VLOOKUP(A13,'OI(Value)'!A13:O237,8,0)</f>
        <v>680</v>
      </c>
      <c r="Q13" s="179">
        <f>VLOOKUP(A13,'OI(Value)'!A13:O237,9,0)</f>
        <v>-1038</v>
      </c>
      <c r="R13" s="179">
        <f>VLOOKUP(A13,'OI(Value)'!A13:O237,11,0)</f>
        <v>362</v>
      </c>
      <c r="S13" s="179">
        <f>VLOOKUP(A13,'OI(Value)'!A13:O237,11,0)</f>
        <v>362</v>
      </c>
    </row>
    <row r="14" spans="1:19" x14ac:dyDescent="0.25">
      <c r="A14" s="105" t="str">
        <f>'Data Vlaue (Cr)'!C9</f>
        <v>ADANIPOWER</v>
      </c>
      <c r="B14" s="143">
        <f>VLOOKUP($A14,'Data shares'!$C:$FA,118)</f>
        <v>0.71</v>
      </c>
      <c r="C14" s="143">
        <f>VLOOKUP($A14,'Data shares'!$C:$FA,119)</f>
        <v>0.63</v>
      </c>
      <c r="D14" s="143">
        <f>VLOOKUP($A14,'Data shares'!$C:$FA,121)*100</f>
        <v>12.7</v>
      </c>
      <c r="E14" s="143">
        <f>VLOOKUP($A14,'Data shares'!$C:$FA,124)</f>
        <v>0.31</v>
      </c>
      <c r="F14" s="143">
        <f>VLOOKUP($A14,'Data shares'!$C:$FA,125)</f>
        <v>0.28999999999999998</v>
      </c>
      <c r="G14" s="143">
        <f>VLOOKUP($A14,'Data shares'!$C:$FA,127)*100</f>
        <v>6.9</v>
      </c>
      <c r="H14" s="103">
        <f>VLOOKUP($A14,'OI(Volume)'!$A$7:$O$445,8)</f>
        <v>22624150</v>
      </c>
      <c r="I14" s="103">
        <f>VLOOKUP($A14,'OI(Volume)'!$A$7:$O$445,9)</f>
        <v>-18499050</v>
      </c>
      <c r="J14" s="103">
        <f>VLOOKUP($A14,'OI(Volume)'!$A$7:$O$445,11)</f>
        <v>16070850</v>
      </c>
      <c r="K14" s="103">
        <f>VLOOKUP($A14,'OI(Volume)'!$A$7:$O$445,12)</f>
        <v>-9673750</v>
      </c>
      <c r="L14" s="103">
        <f>VLOOKUP($A14,'OI(Value)'!$A$7:$O$329,8,0)</f>
        <v>558</v>
      </c>
      <c r="M14" s="103">
        <f>VLOOKUP($A14,'OI(Value)'!$A$7:$O$329,9,0)</f>
        <v>-456</v>
      </c>
      <c r="N14" s="103">
        <f>VLOOKUP($A14,'OI(Value)'!$A$7:$O$329,11,0)</f>
        <v>396</v>
      </c>
      <c r="O14" s="103">
        <f>VLOOKUP($A14,'OI(Value)'!$A$7:$O$329,12,0)</f>
        <v>-238</v>
      </c>
      <c r="P14" s="179">
        <f>VLOOKUP(A14,'OI(Value)'!A14:O238,8,0)</f>
        <v>558</v>
      </c>
      <c r="Q14" s="179">
        <f>VLOOKUP(A14,'OI(Value)'!A14:O238,9,0)</f>
        <v>-456</v>
      </c>
      <c r="R14" s="179">
        <f>VLOOKUP(A14,'OI(Value)'!A14:O238,11,0)</f>
        <v>396</v>
      </c>
      <c r="S14" s="179">
        <f>VLOOKUP(A14,'OI(Value)'!A14:O238,11,0)</f>
        <v>396</v>
      </c>
    </row>
    <row r="15" spans="1:19" x14ac:dyDescent="0.25">
      <c r="A15" s="105" t="str">
        <f>'Data Vlaue (Cr)'!C10</f>
        <v>ALKEM</v>
      </c>
      <c r="B15" s="143">
        <f>VLOOKUP($A15,'Data shares'!$C:$FA,118)</f>
        <v>0.78</v>
      </c>
      <c r="C15" s="143">
        <f>VLOOKUP($A15,'Data shares'!$C:$FA,119)</f>
        <v>0.51</v>
      </c>
      <c r="D15" s="143">
        <f>VLOOKUP($A15,'Data shares'!$C:$FA,121)*100</f>
        <v>52.94</v>
      </c>
      <c r="E15" s="143">
        <f>VLOOKUP($A15,'Data shares'!$C:$FA,124)</f>
        <v>1.82</v>
      </c>
      <c r="F15" s="143">
        <f>VLOOKUP($A15,'Data shares'!$C:$FA,125)</f>
        <v>0.42</v>
      </c>
      <c r="G15" s="143">
        <f>VLOOKUP($A15,'Data shares'!$C:$FA,127)*100</f>
        <v>333.33</v>
      </c>
      <c r="H15" s="103">
        <f>VLOOKUP($A15,'OI(Volume)'!$A$7:$O$445,8)</f>
        <v>110000</v>
      </c>
      <c r="I15" s="103">
        <f>VLOOKUP($A15,'OI(Volume)'!$A$7:$O$445,9)</f>
        <v>-290250</v>
      </c>
      <c r="J15" s="103">
        <f>VLOOKUP($A15,'OI(Volume)'!$A$7:$O$445,11)</f>
        <v>86000</v>
      </c>
      <c r="K15" s="103">
        <f>VLOOKUP($A15,'OI(Volume)'!$A$7:$O$445,12)</f>
        <v>-119000</v>
      </c>
      <c r="L15" s="103">
        <f>VLOOKUP($A15,'OI(Value)'!$A$7:$O$329,8,0)</f>
        <v>60</v>
      </c>
      <c r="M15" s="103">
        <f>VLOOKUP($A15,'OI(Value)'!$A$7:$O$329,9,0)</f>
        <v>-157</v>
      </c>
      <c r="N15" s="103">
        <f>VLOOKUP($A15,'OI(Value)'!$A$7:$O$329,11,0)</f>
        <v>47</v>
      </c>
      <c r="O15" s="103">
        <f>VLOOKUP($A15,'OI(Value)'!$A$7:$O$329,12,0)</f>
        <v>-65</v>
      </c>
      <c r="P15" s="179">
        <f>VLOOKUP(A15,'OI(Value)'!A15:O239,8,0)</f>
        <v>60</v>
      </c>
      <c r="Q15" s="179">
        <f>VLOOKUP(A15,'OI(Value)'!A15:O239,9,0)</f>
        <v>-157</v>
      </c>
      <c r="R15" s="179">
        <f>VLOOKUP(A15,'OI(Value)'!A15:O239,11,0)</f>
        <v>47</v>
      </c>
      <c r="S15" s="179">
        <f>VLOOKUP(A15,'OI(Value)'!A15:O239,11,0)</f>
        <v>47</v>
      </c>
    </row>
    <row r="16" spans="1:19" x14ac:dyDescent="0.25">
      <c r="A16" s="105" t="str">
        <f>'Data Vlaue (Cr)'!C11</f>
        <v>AMBER</v>
      </c>
      <c r="B16" s="143">
        <f>VLOOKUP($A16,'Data shares'!$C:$FA,118)</f>
        <v>0.97</v>
      </c>
      <c r="C16" s="143">
        <f>VLOOKUP($A16,'Data shares'!$C:$FA,119)</f>
        <v>0.57999999999999996</v>
      </c>
      <c r="D16" s="143">
        <f>VLOOKUP($A16,'Data shares'!$C:$FA,121)*100</f>
        <v>67.239999999999995</v>
      </c>
      <c r="E16" s="143">
        <f>VLOOKUP($A16,'Data shares'!$C:$FA,124)</f>
        <v>0.52</v>
      </c>
      <c r="F16" s="143">
        <f>VLOOKUP($A16,'Data shares'!$C:$FA,125)</f>
        <v>0.78</v>
      </c>
      <c r="G16" s="143">
        <f>VLOOKUP($A16,'Data shares'!$C:$FA,127)*100</f>
        <v>-33.33</v>
      </c>
      <c r="H16" s="103">
        <f>VLOOKUP($A16,'OI(Volume)'!$A$7:$O$445,8)</f>
        <v>1133800</v>
      </c>
      <c r="I16" s="103">
        <f>VLOOKUP($A16,'OI(Volume)'!$A$7:$O$445,9)</f>
        <v>-2249900</v>
      </c>
      <c r="J16" s="103">
        <f>VLOOKUP($A16,'OI(Volume)'!$A$7:$O$445,11)</f>
        <v>1100500</v>
      </c>
      <c r="K16" s="103">
        <f>VLOOKUP($A16,'OI(Volume)'!$A$7:$O$445,12)</f>
        <v>-859100</v>
      </c>
      <c r="L16" s="103">
        <f>VLOOKUP($A16,'OI(Value)'!$A$7:$O$329,8,0)</f>
        <v>836</v>
      </c>
      <c r="M16" s="103">
        <f>VLOOKUP($A16,'OI(Value)'!$A$7:$O$329,9,0)</f>
        <v>-1660</v>
      </c>
      <c r="N16" s="103">
        <f>VLOOKUP($A16,'OI(Value)'!$A$7:$O$329,11,0)</f>
        <v>812</v>
      </c>
      <c r="O16" s="103">
        <f>VLOOKUP($A16,'OI(Value)'!$A$7:$O$329,12,0)</f>
        <v>-634</v>
      </c>
      <c r="P16" s="179">
        <f>VLOOKUP(A16,'OI(Value)'!A16:O240,8,0)</f>
        <v>836</v>
      </c>
      <c r="Q16" s="179">
        <f>VLOOKUP(A16,'OI(Value)'!A16:O240,9,0)</f>
        <v>-1660</v>
      </c>
      <c r="R16" s="179">
        <f>VLOOKUP(A16,'OI(Value)'!A16:O240,11,0)</f>
        <v>812</v>
      </c>
      <c r="S16" s="179">
        <f>VLOOKUP(A16,'OI(Value)'!A16:O240,11,0)</f>
        <v>812</v>
      </c>
    </row>
    <row r="17" spans="1:19" x14ac:dyDescent="0.25">
      <c r="A17" s="105" t="str">
        <f>'Data Vlaue (Cr)'!C12</f>
        <v>AMBUJACEM</v>
      </c>
      <c r="B17" s="143">
        <f>VLOOKUP($A17,'Data shares'!$C:$FA,118)</f>
        <v>0.97</v>
      </c>
      <c r="C17" s="143">
        <f>VLOOKUP($A17,'Data shares'!$C:$FA,119)</f>
        <v>0.63</v>
      </c>
      <c r="D17" s="143">
        <f>VLOOKUP($A17,'Data shares'!$C:$FA,121)*100</f>
        <v>53.97</v>
      </c>
      <c r="E17" s="143">
        <f>VLOOKUP($A17,'Data shares'!$C:$FA,124)</f>
        <v>0.44</v>
      </c>
      <c r="F17" s="143">
        <f>VLOOKUP($A17,'Data shares'!$C:$FA,125)</f>
        <v>0.52</v>
      </c>
      <c r="G17" s="143">
        <f>VLOOKUP($A17,'Data shares'!$C:$FA,127)*100</f>
        <v>-15.379999999999999</v>
      </c>
      <c r="H17" s="103">
        <f>VLOOKUP($A17,'OI(Volume)'!$A$7:$O$445,8)</f>
        <v>7417200</v>
      </c>
      <c r="I17" s="103">
        <f>VLOOKUP($A17,'OI(Volume)'!$A$7:$O$445,9)</f>
        <v>-9834300</v>
      </c>
      <c r="J17" s="103">
        <f>VLOOKUP($A17,'OI(Volume)'!$A$7:$O$445,11)</f>
        <v>7200000</v>
      </c>
      <c r="K17" s="103">
        <f>VLOOKUP($A17,'OI(Volume)'!$A$7:$O$445,12)</f>
        <v>-3703350</v>
      </c>
      <c r="L17" s="103">
        <f>VLOOKUP($A17,'OI(Value)'!$A$7:$O$329,8,0)</f>
        <v>335</v>
      </c>
      <c r="M17" s="103">
        <f>VLOOKUP($A17,'OI(Value)'!$A$7:$O$329,9,0)</f>
        <v>-444</v>
      </c>
      <c r="N17" s="103">
        <f>VLOOKUP($A17,'OI(Value)'!$A$7:$O$329,11,0)</f>
        <v>325</v>
      </c>
      <c r="O17" s="103">
        <f>VLOOKUP($A17,'OI(Value)'!$A$7:$O$329,12,0)</f>
        <v>-167</v>
      </c>
      <c r="P17" s="179">
        <f>VLOOKUP(A17,'OI(Value)'!A17:O241,8,0)</f>
        <v>335</v>
      </c>
      <c r="Q17" s="179">
        <f>VLOOKUP(A17,'OI(Value)'!A17:O241,9,0)</f>
        <v>-444</v>
      </c>
      <c r="R17" s="179">
        <f>VLOOKUP(A17,'OI(Value)'!A17:O241,11,0)</f>
        <v>325</v>
      </c>
      <c r="S17" s="179">
        <f>VLOOKUP(A17,'OI(Value)'!A17:O241,11,0)</f>
        <v>325</v>
      </c>
    </row>
    <row r="18" spans="1:19" x14ac:dyDescent="0.25">
      <c r="A18" s="105" t="str">
        <f>'Data Vlaue (Cr)'!C13</f>
        <v>ANGELONE</v>
      </c>
      <c r="B18" s="143">
        <f>VLOOKUP($A18,'Data shares'!$C:$FA,118)</f>
        <v>0.89</v>
      </c>
      <c r="C18" s="143">
        <f>VLOOKUP($A18,'Data shares'!$C:$FA,119)</f>
        <v>0.9</v>
      </c>
      <c r="D18" s="143">
        <f>VLOOKUP($A18,'Data shares'!$C:$FA,121)*100</f>
        <v>-1.1100000000000001</v>
      </c>
      <c r="E18" s="143">
        <f>VLOOKUP($A18,'Data shares'!$C:$FA,124)</f>
        <v>0.75</v>
      </c>
      <c r="F18" s="143">
        <f>VLOOKUP($A18,'Data shares'!$C:$FA,125)</f>
        <v>0.57999999999999996</v>
      </c>
      <c r="G18" s="143">
        <f>VLOOKUP($A18,'Data shares'!$C:$FA,127)*100</f>
        <v>29.310000000000002</v>
      </c>
      <c r="H18" s="103">
        <f>VLOOKUP($A18,'OI(Volume)'!$A$7:$O$445,8)</f>
        <v>9327500</v>
      </c>
      <c r="I18" s="103">
        <f>VLOOKUP($A18,'OI(Volume)'!$A$7:$O$445,9)</f>
        <v>-11480000</v>
      </c>
      <c r="J18" s="103">
        <f>VLOOKUP($A18,'OI(Volume)'!$A$7:$O$445,11)</f>
        <v>8297500</v>
      </c>
      <c r="K18" s="103">
        <f>VLOOKUP($A18,'OI(Volume)'!$A$7:$O$445,12)</f>
        <v>-10532500</v>
      </c>
      <c r="L18" s="103">
        <f>VLOOKUP($A18,'OI(Value)'!$A$7:$O$329,8,0)</f>
        <v>323</v>
      </c>
      <c r="M18" s="103">
        <f>VLOOKUP($A18,'OI(Value)'!$A$7:$O$329,9,0)</f>
        <v>-397</v>
      </c>
      <c r="N18" s="103">
        <f>VLOOKUP($A18,'OI(Value)'!$A$7:$O$329,11,0)</f>
        <v>287</v>
      </c>
      <c r="O18" s="103">
        <f>VLOOKUP($A18,'OI(Value)'!$A$7:$O$329,12,0)</f>
        <v>-365</v>
      </c>
      <c r="P18" s="179">
        <f>VLOOKUP(A18,'OI(Value)'!A18:O242,8,0)</f>
        <v>323</v>
      </c>
      <c r="Q18" s="179">
        <f>VLOOKUP(A18,'OI(Value)'!A18:O242,9,0)</f>
        <v>-397</v>
      </c>
      <c r="R18" s="179">
        <f>VLOOKUP(A18,'OI(Value)'!A18:O242,11,0)</f>
        <v>287</v>
      </c>
      <c r="S18" s="179">
        <f>VLOOKUP(A18,'OI(Value)'!A18:O242,11,0)</f>
        <v>287</v>
      </c>
    </row>
    <row r="19" spans="1:19" x14ac:dyDescent="0.25">
      <c r="A19" s="105" t="str">
        <f>'Data Vlaue (Cr)'!C14</f>
        <v>APLAPOLLO</v>
      </c>
      <c r="B19" s="143">
        <f>VLOOKUP($A19,'Data shares'!$C:$FA,118)</f>
        <v>1.18</v>
      </c>
      <c r="C19" s="143">
        <f>VLOOKUP($A19,'Data shares'!$C:$FA,119)</f>
        <v>0.6</v>
      </c>
      <c r="D19" s="143">
        <f>VLOOKUP($A19,'Data shares'!$C:$FA,121)*100</f>
        <v>96.67</v>
      </c>
      <c r="E19" s="143">
        <f>VLOOKUP($A19,'Data shares'!$C:$FA,124)</f>
        <v>0.88</v>
      </c>
      <c r="F19" s="143">
        <f>VLOOKUP($A19,'Data shares'!$C:$FA,125)</f>
        <v>0.46</v>
      </c>
      <c r="G19" s="143">
        <f>VLOOKUP($A19,'Data shares'!$C:$FA,127)*100</f>
        <v>91.3</v>
      </c>
      <c r="H19" s="103">
        <f>VLOOKUP($A19,'OI(Volume)'!$A$7:$O$445,8)</f>
        <v>437850</v>
      </c>
      <c r="I19" s="103">
        <f>VLOOKUP($A19,'OI(Volume)'!$A$7:$O$445,9)</f>
        <v>-1577450</v>
      </c>
      <c r="J19" s="103">
        <f>VLOOKUP($A19,'OI(Volume)'!$A$7:$O$445,11)</f>
        <v>514500</v>
      </c>
      <c r="K19" s="103">
        <f>VLOOKUP($A19,'OI(Volume)'!$A$7:$O$445,12)</f>
        <v>-687750</v>
      </c>
      <c r="L19" s="103">
        <f>VLOOKUP($A19,'OI(Value)'!$A$7:$O$329,8,0)</f>
        <v>82</v>
      </c>
      <c r="M19" s="103">
        <f>VLOOKUP($A19,'OI(Value)'!$A$7:$O$329,9,0)</f>
        <v>-297</v>
      </c>
      <c r="N19" s="103">
        <f>VLOOKUP($A19,'OI(Value)'!$A$7:$O$329,11,0)</f>
        <v>97</v>
      </c>
      <c r="O19" s="103">
        <f>VLOOKUP($A19,'OI(Value)'!$A$7:$O$329,12,0)</f>
        <v>-130</v>
      </c>
      <c r="P19" s="179">
        <f>VLOOKUP(A19,'OI(Value)'!A19:O243,8,0)</f>
        <v>82</v>
      </c>
      <c r="Q19" s="179">
        <f>VLOOKUP(A19,'OI(Value)'!A19:O243,9,0)</f>
        <v>-297</v>
      </c>
      <c r="R19" s="179">
        <f>VLOOKUP(A19,'OI(Value)'!A19:O243,11,0)</f>
        <v>97</v>
      </c>
      <c r="S19" s="179">
        <f>VLOOKUP(A19,'OI(Value)'!A19:O243,11,0)</f>
        <v>97</v>
      </c>
    </row>
    <row r="20" spans="1:19" x14ac:dyDescent="0.25">
      <c r="A20" s="105" t="str">
        <f>'Data Vlaue (Cr)'!C15</f>
        <v>APOLLOHOSP</v>
      </c>
      <c r="B20" s="143">
        <f>VLOOKUP($A20,'Data shares'!$C:$FA,118)</f>
        <v>0.63</v>
      </c>
      <c r="C20" s="143">
        <f>VLOOKUP($A20,'Data shares'!$C:$FA,119)</f>
        <v>1.08</v>
      </c>
      <c r="D20" s="143">
        <f>VLOOKUP($A20,'Data shares'!$C:$FA,121)*100</f>
        <v>-41.67</v>
      </c>
      <c r="E20" s="143">
        <f>VLOOKUP($A20,'Data shares'!$C:$FA,124)</f>
        <v>0.99</v>
      </c>
      <c r="F20" s="143">
        <f>VLOOKUP($A20,'Data shares'!$C:$FA,125)</f>
        <v>0.82</v>
      </c>
      <c r="G20" s="143">
        <f>VLOOKUP($A20,'Data shares'!$C:$FA,127)*100</f>
        <v>20.73</v>
      </c>
      <c r="H20" s="103">
        <f>VLOOKUP($A20,'OI(Volume)'!$A$7:$O$445,8)</f>
        <v>541875</v>
      </c>
      <c r="I20" s="103">
        <f>VLOOKUP($A20,'OI(Volume)'!$A$7:$O$445,9)</f>
        <v>-736000</v>
      </c>
      <c r="J20" s="103">
        <f>VLOOKUP($A20,'OI(Volume)'!$A$7:$O$445,11)</f>
        <v>339375</v>
      </c>
      <c r="K20" s="103">
        <f>VLOOKUP($A20,'OI(Volume)'!$A$7:$O$445,12)</f>
        <v>-1041750</v>
      </c>
      <c r="L20" s="103">
        <f>VLOOKUP($A20,'OI(Value)'!$A$7:$O$329,8,0)</f>
        <v>451</v>
      </c>
      <c r="M20" s="103">
        <f>VLOOKUP($A20,'OI(Value)'!$A$7:$O$329,9,0)</f>
        <v>-612</v>
      </c>
      <c r="N20" s="103">
        <f>VLOOKUP($A20,'OI(Value)'!$A$7:$O$329,11,0)</f>
        <v>282</v>
      </c>
      <c r="O20" s="103">
        <f>VLOOKUP($A20,'OI(Value)'!$A$7:$O$329,12,0)</f>
        <v>-866</v>
      </c>
      <c r="P20" s="179">
        <f>VLOOKUP(A20,'OI(Value)'!A20:O244,8,0)</f>
        <v>451</v>
      </c>
      <c r="Q20" s="179">
        <f>VLOOKUP(A20,'OI(Value)'!A20:O244,9,0)</f>
        <v>-612</v>
      </c>
      <c r="R20" s="179">
        <f>VLOOKUP(A20,'OI(Value)'!A20:O244,11,0)</f>
        <v>282</v>
      </c>
      <c r="S20" s="179">
        <f>VLOOKUP(A20,'OI(Value)'!A20:O244,11,0)</f>
        <v>282</v>
      </c>
    </row>
    <row r="21" spans="1:19" x14ac:dyDescent="0.25">
      <c r="A21" s="105" t="str">
        <f>'Data Vlaue (Cr)'!C16</f>
        <v>ASHOKLEY</v>
      </c>
      <c r="B21" s="143">
        <f>VLOOKUP($A21,'Data shares'!$C:$FA,118)</f>
        <v>0.9</v>
      </c>
      <c r="C21" s="143">
        <f>VLOOKUP($A21,'Data shares'!$C:$FA,119)</f>
        <v>0.75</v>
      </c>
      <c r="D21" s="143">
        <f>VLOOKUP($A21,'Data shares'!$C:$FA,121)*100</f>
        <v>20</v>
      </c>
      <c r="E21" s="143">
        <f>VLOOKUP($A21,'Data shares'!$C:$FA,124)</f>
        <v>0.64</v>
      </c>
      <c r="F21" s="143">
        <f>VLOOKUP($A21,'Data shares'!$C:$FA,125)</f>
        <v>0.4</v>
      </c>
      <c r="G21" s="143">
        <f>VLOOKUP($A21,'Data shares'!$C:$FA,127)*100</f>
        <v>60</v>
      </c>
      <c r="H21" s="103">
        <f>VLOOKUP($A21,'OI(Volume)'!$A$7:$O$445,8)</f>
        <v>47235000</v>
      </c>
      <c r="I21" s="103">
        <f>VLOOKUP($A21,'OI(Volume)'!$A$7:$O$445,9)</f>
        <v>-54145000</v>
      </c>
      <c r="J21" s="103">
        <f>VLOOKUP($A21,'OI(Volume)'!$A$7:$O$445,11)</f>
        <v>42400000</v>
      </c>
      <c r="K21" s="103">
        <f>VLOOKUP($A21,'OI(Volume)'!$A$7:$O$445,12)</f>
        <v>-33375000</v>
      </c>
      <c r="L21" s="103">
        <f>VLOOKUP($A21,'OI(Value)'!$A$7:$O$329,8,0)</f>
        <v>759</v>
      </c>
      <c r="M21" s="103">
        <f>VLOOKUP($A21,'OI(Value)'!$A$7:$O$329,9,0)</f>
        <v>-870</v>
      </c>
      <c r="N21" s="103">
        <f>VLOOKUP($A21,'OI(Value)'!$A$7:$O$329,11,0)</f>
        <v>682</v>
      </c>
      <c r="O21" s="103">
        <f>VLOOKUP($A21,'OI(Value)'!$A$7:$O$329,12,0)</f>
        <v>-536</v>
      </c>
      <c r="P21" s="179">
        <f>VLOOKUP(A21,'OI(Value)'!A21:O245,8,0)</f>
        <v>759</v>
      </c>
      <c r="Q21" s="179">
        <f>VLOOKUP(A21,'OI(Value)'!A21:O245,9,0)</f>
        <v>-870</v>
      </c>
      <c r="R21" s="179">
        <f>VLOOKUP(A21,'OI(Value)'!A21:O245,11,0)</f>
        <v>682</v>
      </c>
      <c r="S21" s="179">
        <f>VLOOKUP(A21,'OI(Value)'!A21:O245,11,0)</f>
        <v>682</v>
      </c>
    </row>
    <row r="22" spans="1:19" x14ac:dyDescent="0.25">
      <c r="A22" s="105" t="str">
        <f>'Data Vlaue (Cr)'!C17</f>
        <v>ASIANPAINT</v>
      </c>
      <c r="B22" s="143">
        <f>VLOOKUP($A22,'Data shares'!$C:$FA,118)</f>
        <v>0.68</v>
      </c>
      <c r="C22" s="143">
        <f>VLOOKUP($A22,'Data shares'!$C:$FA,119)</f>
        <v>0.64</v>
      </c>
      <c r="D22" s="143">
        <f>VLOOKUP($A22,'Data shares'!$C:$FA,121)*100</f>
        <v>6.25</v>
      </c>
      <c r="E22" s="143">
        <f>VLOOKUP($A22,'Data shares'!$C:$FA,124)</f>
        <v>0.62</v>
      </c>
      <c r="F22" s="143">
        <f>VLOOKUP($A22,'Data shares'!$C:$FA,125)</f>
        <v>0.6</v>
      </c>
      <c r="G22" s="143">
        <f>VLOOKUP($A22,'Data shares'!$C:$FA,127)*100</f>
        <v>3.3300000000000005</v>
      </c>
      <c r="H22" s="103">
        <f>VLOOKUP($A22,'OI(Volume)'!$A$7:$O$445,8)</f>
        <v>1842750</v>
      </c>
      <c r="I22" s="103">
        <f>VLOOKUP($A22,'OI(Volume)'!$A$7:$O$445,9)</f>
        <v>-5512250</v>
      </c>
      <c r="J22" s="103">
        <f>VLOOKUP($A22,'OI(Volume)'!$A$7:$O$445,11)</f>
        <v>1262000</v>
      </c>
      <c r="K22" s="103">
        <f>VLOOKUP($A22,'OI(Volume)'!$A$7:$O$445,12)</f>
        <v>-3456500</v>
      </c>
      <c r="L22" s="103">
        <f>VLOOKUP($A22,'OI(Value)'!$A$7:$O$329,8,0)</f>
        <v>488</v>
      </c>
      <c r="M22" s="103">
        <f>VLOOKUP($A22,'OI(Value)'!$A$7:$O$329,9,0)</f>
        <v>-1459</v>
      </c>
      <c r="N22" s="103">
        <f>VLOOKUP($A22,'OI(Value)'!$A$7:$O$329,11,0)</f>
        <v>334</v>
      </c>
      <c r="O22" s="103">
        <f>VLOOKUP($A22,'OI(Value)'!$A$7:$O$329,12,0)</f>
        <v>-915</v>
      </c>
      <c r="P22" s="179">
        <f>VLOOKUP(A22,'OI(Value)'!A22:O246,8,0)</f>
        <v>488</v>
      </c>
      <c r="Q22" s="179">
        <f>VLOOKUP(A22,'OI(Value)'!A22:O246,9,0)</f>
        <v>-1459</v>
      </c>
      <c r="R22" s="179">
        <f>VLOOKUP(A22,'OI(Value)'!A22:O246,11,0)</f>
        <v>334</v>
      </c>
      <c r="S22" s="179">
        <f>VLOOKUP(A22,'OI(Value)'!A22:O246,11,0)</f>
        <v>334</v>
      </c>
    </row>
    <row r="23" spans="1:19" x14ac:dyDescent="0.25">
      <c r="A23" s="105" t="str">
        <f>'Data Vlaue (Cr)'!C18</f>
        <v>ASTRAL</v>
      </c>
      <c r="B23" s="143">
        <f>VLOOKUP($A23,'Data shares'!$C:$FA,118)</f>
        <v>0.56999999999999995</v>
      </c>
      <c r="C23" s="143">
        <f>VLOOKUP($A23,'Data shares'!$C:$FA,119)</f>
        <v>0.8</v>
      </c>
      <c r="D23" s="143">
        <f>VLOOKUP($A23,'Data shares'!$C:$FA,121)*100</f>
        <v>-28.749999999999996</v>
      </c>
      <c r="E23" s="143">
        <f>VLOOKUP($A23,'Data shares'!$C:$FA,124)</f>
        <v>0.54</v>
      </c>
      <c r="F23" s="143">
        <f>VLOOKUP($A23,'Data shares'!$C:$FA,125)</f>
        <v>0.45</v>
      </c>
      <c r="G23" s="143">
        <f>VLOOKUP($A23,'Data shares'!$C:$FA,127)*100</f>
        <v>20</v>
      </c>
      <c r="H23" s="103">
        <f>VLOOKUP($A23,'OI(Volume)'!$A$7:$O$445,8)</f>
        <v>1410150</v>
      </c>
      <c r="I23" s="103">
        <f>VLOOKUP($A23,'OI(Volume)'!$A$7:$O$445,9)</f>
        <v>-1600550</v>
      </c>
      <c r="J23" s="103">
        <f>VLOOKUP($A23,'OI(Volume)'!$A$7:$O$445,11)</f>
        <v>804100</v>
      </c>
      <c r="K23" s="103">
        <f>VLOOKUP($A23,'OI(Volume)'!$A$7:$O$445,12)</f>
        <v>-1593325</v>
      </c>
      <c r="L23" s="103">
        <f>VLOOKUP($A23,'OI(Value)'!$A$7:$O$329,8,0)</f>
        <v>221</v>
      </c>
      <c r="M23" s="103">
        <f>VLOOKUP($A23,'OI(Value)'!$A$7:$O$329,9,0)</f>
        <v>-251</v>
      </c>
      <c r="N23" s="103">
        <f>VLOOKUP($A23,'OI(Value)'!$A$7:$O$329,11,0)</f>
        <v>126</v>
      </c>
      <c r="O23" s="103">
        <f>VLOOKUP($A23,'OI(Value)'!$A$7:$O$329,12,0)</f>
        <v>-249</v>
      </c>
      <c r="P23" s="179">
        <f>VLOOKUP(A23,'OI(Value)'!A23:O247,8,0)</f>
        <v>221</v>
      </c>
      <c r="Q23" s="179">
        <f>VLOOKUP(A23,'OI(Value)'!A23:O247,9,0)</f>
        <v>-251</v>
      </c>
      <c r="R23" s="179">
        <f>VLOOKUP(A23,'OI(Value)'!A23:O247,11,0)</f>
        <v>126</v>
      </c>
      <c r="S23" s="179">
        <f>VLOOKUP(A23,'OI(Value)'!A23:O247,11,0)</f>
        <v>126</v>
      </c>
    </row>
    <row r="24" spans="1:19" x14ac:dyDescent="0.25">
      <c r="A24" s="105" t="str">
        <f>'Data Vlaue (Cr)'!C19</f>
        <v>AUBANK</v>
      </c>
      <c r="B24" s="143">
        <f>VLOOKUP($A24,'Data shares'!$C:$FA,118)</f>
        <v>1.04</v>
      </c>
      <c r="C24" s="143">
        <f>VLOOKUP($A24,'Data shares'!$C:$FA,119)</f>
        <v>0.86</v>
      </c>
      <c r="D24" s="143">
        <f>VLOOKUP($A24,'Data shares'!$C:$FA,121)*100</f>
        <v>20.93</v>
      </c>
      <c r="E24" s="143">
        <f>VLOOKUP($A24,'Data shares'!$C:$FA,124)</f>
        <v>0.65</v>
      </c>
      <c r="F24" s="143">
        <f>VLOOKUP($A24,'Data shares'!$C:$FA,125)</f>
        <v>0.51</v>
      </c>
      <c r="G24" s="143">
        <f>VLOOKUP($A24,'Data shares'!$C:$FA,127)*100</f>
        <v>27.450000000000003</v>
      </c>
      <c r="H24" s="103">
        <f>VLOOKUP($A24,'OI(Volume)'!$A$7:$O$445,8)</f>
        <v>2196000</v>
      </c>
      <c r="I24" s="103">
        <f>VLOOKUP($A24,'OI(Volume)'!$A$7:$O$445,9)</f>
        <v>-5016000</v>
      </c>
      <c r="J24" s="103">
        <f>VLOOKUP($A24,'OI(Volume)'!$A$7:$O$445,11)</f>
        <v>2294000</v>
      </c>
      <c r="K24" s="103">
        <f>VLOOKUP($A24,'OI(Volume)'!$A$7:$O$445,12)</f>
        <v>-3915000</v>
      </c>
      <c r="L24" s="103">
        <f>VLOOKUP($A24,'OI(Value)'!$A$7:$O$329,8,0)</f>
        <v>224</v>
      </c>
      <c r="M24" s="103">
        <f>VLOOKUP($A24,'OI(Value)'!$A$7:$O$329,9,0)</f>
        <v>-512</v>
      </c>
      <c r="N24" s="103">
        <f>VLOOKUP($A24,'OI(Value)'!$A$7:$O$329,11,0)</f>
        <v>234</v>
      </c>
      <c r="O24" s="103">
        <f>VLOOKUP($A24,'OI(Value)'!$A$7:$O$329,12,0)</f>
        <v>-400</v>
      </c>
      <c r="P24" s="179">
        <f>VLOOKUP(A24,'OI(Value)'!A24:O248,8,0)</f>
        <v>224</v>
      </c>
      <c r="Q24" s="179">
        <f>VLOOKUP(A24,'OI(Value)'!A24:O248,9,0)</f>
        <v>-512</v>
      </c>
      <c r="R24" s="179">
        <f>VLOOKUP(A24,'OI(Value)'!A24:O248,11,0)</f>
        <v>234</v>
      </c>
      <c r="S24" s="179">
        <f>VLOOKUP(A24,'OI(Value)'!A24:O248,11,0)</f>
        <v>234</v>
      </c>
    </row>
    <row r="25" spans="1:19" x14ac:dyDescent="0.25">
      <c r="A25" s="105" t="str">
        <f>'Data Vlaue (Cr)'!C20</f>
        <v>AUROPHARMA</v>
      </c>
      <c r="B25" s="143">
        <f>VLOOKUP($A25,'Data shares'!$C:$FA,118)</f>
        <v>0.53</v>
      </c>
      <c r="C25" s="143">
        <f>VLOOKUP($A25,'Data shares'!$C:$FA,119)</f>
        <v>0.65</v>
      </c>
      <c r="D25" s="143">
        <f>VLOOKUP($A25,'Data shares'!$C:$FA,121)*100</f>
        <v>-18.459999999999997</v>
      </c>
      <c r="E25" s="143">
        <f>VLOOKUP($A25,'Data shares'!$C:$FA,124)</f>
        <v>0.51</v>
      </c>
      <c r="F25" s="143">
        <f>VLOOKUP($A25,'Data shares'!$C:$FA,125)</f>
        <v>0.45</v>
      </c>
      <c r="G25" s="143">
        <f>VLOOKUP($A25,'Data shares'!$C:$FA,127)*100</f>
        <v>13.33</v>
      </c>
      <c r="H25" s="103">
        <f>VLOOKUP($A25,'OI(Volume)'!$A$7:$O$445,8)</f>
        <v>2825900</v>
      </c>
      <c r="I25" s="103">
        <f>VLOOKUP($A25,'OI(Volume)'!$A$7:$O$445,9)</f>
        <v>-2413400</v>
      </c>
      <c r="J25" s="103">
        <f>VLOOKUP($A25,'OI(Volume)'!$A$7:$O$445,11)</f>
        <v>1511400</v>
      </c>
      <c r="K25" s="103">
        <f>VLOOKUP($A25,'OI(Volume)'!$A$7:$O$445,12)</f>
        <v>-1872750</v>
      </c>
      <c r="L25" s="103">
        <f>VLOOKUP($A25,'OI(Value)'!$A$7:$O$329,8,0)</f>
        <v>417</v>
      </c>
      <c r="M25" s="103">
        <f>VLOOKUP($A25,'OI(Value)'!$A$7:$O$329,9,0)</f>
        <v>-356</v>
      </c>
      <c r="N25" s="103">
        <f>VLOOKUP($A25,'OI(Value)'!$A$7:$O$329,11,0)</f>
        <v>223</v>
      </c>
      <c r="O25" s="103">
        <f>VLOOKUP($A25,'OI(Value)'!$A$7:$O$329,12,0)</f>
        <v>-276</v>
      </c>
      <c r="P25" s="179">
        <f>VLOOKUP(A25,'OI(Value)'!A25:O249,8,0)</f>
        <v>417</v>
      </c>
      <c r="Q25" s="179">
        <f>VLOOKUP(A25,'OI(Value)'!A25:O249,9,0)</f>
        <v>-356</v>
      </c>
      <c r="R25" s="179">
        <f>VLOOKUP(A25,'OI(Value)'!A25:O249,11,0)</f>
        <v>223</v>
      </c>
      <c r="S25" s="179">
        <f>VLOOKUP(A25,'OI(Value)'!A25:O249,11,0)</f>
        <v>223</v>
      </c>
    </row>
    <row r="26" spans="1:19" x14ac:dyDescent="0.25">
      <c r="A26" s="105" t="str">
        <f>'Data Vlaue (Cr)'!C21</f>
        <v>AXISBANK</v>
      </c>
      <c r="B26" s="143">
        <f>VLOOKUP($A26,'Data shares'!$C:$FA,118)</f>
        <v>0.85</v>
      </c>
      <c r="C26" s="143">
        <f>VLOOKUP($A26,'Data shares'!$C:$FA,119)</f>
        <v>0.73</v>
      </c>
      <c r="D26" s="143">
        <f>VLOOKUP($A26,'Data shares'!$C:$FA,121)*100</f>
        <v>16.439999999999998</v>
      </c>
      <c r="E26" s="143">
        <f>VLOOKUP($A26,'Data shares'!$C:$FA,124)</f>
        <v>0.76</v>
      </c>
      <c r="F26" s="143">
        <f>VLOOKUP($A26,'Data shares'!$C:$FA,125)</f>
        <v>0.39</v>
      </c>
      <c r="G26" s="143">
        <f>VLOOKUP($A26,'Data shares'!$C:$FA,127)*100</f>
        <v>94.87</v>
      </c>
      <c r="H26" s="103">
        <f>VLOOKUP($A26,'OI(Volume)'!$A$7:$O$445,8)</f>
        <v>4778750</v>
      </c>
      <c r="I26" s="103">
        <f>VLOOKUP($A26,'OI(Volume)'!$A$7:$O$445,9)</f>
        <v>-13593125</v>
      </c>
      <c r="J26" s="103">
        <f>VLOOKUP($A26,'OI(Volume)'!$A$7:$O$445,11)</f>
        <v>4064375</v>
      </c>
      <c r="K26" s="103">
        <f>VLOOKUP($A26,'OI(Volume)'!$A$7:$O$445,12)</f>
        <v>-9367500</v>
      </c>
      <c r="L26" s="103">
        <f>VLOOKUP($A26,'OI(Value)'!$A$7:$O$329,8,0)</f>
        <v>625</v>
      </c>
      <c r="M26" s="103">
        <f>VLOOKUP($A26,'OI(Value)'!$A$7:$O$329,9,0)</f>
        <v>-1777</v>
      </c>
      <c r="N26" s="103">
        <f>VLOOKUP($A26,'OI(Value)'!$A$7:$O$329,11,0)</f>
        <v>531</v>
      </c>
      <c r="O26" s="103">
        <f>VLOOKUP($A26,'OI(Value)'!$A$7:$O$329,12,0)</f>
        <v>-1224</v>
      </c>
      <c r="P26" s="179">
        <f>VLOOKUP(A26,'OI(Value)'!A26:O250,8,0)</f>
        <v>625</v>
      </c>
      <c r="Q26" s="179">
        <f>VLOOKUP(A26,'OI(Value)'!A26:O250,9,0)</f>
        <v>-1777</v>
      </c>
      <c r="R26" s="179">
        <f>VLOOKUP(A26,'OI(Value)'!A26:O250,11,0)</f>
        <v>531</v>
      </c>
      <c r="S26" s="179">
        <f>VLOOKUP(A26,'OI(Value)'!A26:O250,11,0)</f>
        <v>531</v>
      </c>
    </row>
    <row r="27" spans="1:19" x14ac:dyDescent="0.25">
      <c r="A27" s="105" t="str">
        <f>'Data Vlaue (Cr)'!C22</f>
        <v>BAJAJ-AUTO</v>
      </c>
      <c r="B27" s="143">
        <f>VLOOKUP($A27,'Data shares'!$C:$FA,118)</f>
        <v>0.46</v>
      </c>
      <c r="C27" s="143">
        <f>VLOOKUP($A27,'Data shares'!$C:$FA,119)</f>
        <v>0.6</v>
      </c>
      <c r="D27" s="143">
        <f>VLOOKUP($A27,'Data shares'!$C:$FA,121)*100</f>
        <v>-23.330000000000002</v>
      </c>
      <c r="E27" s="143">
        <f>VLOOKUP($A27,'Data shares'!$C:$FA,124)</f>
        <v>0.38</v>
      </c>
      <c r="F27" s="143">
        <f>VLOOKUP($A27,'Data shares'!$C:$FA,125)</f>
        <v>0.64</v>
      </c>
      <c r="G27" s="143">
        <f>VLOOKUP($A27,'Data shares'!$C:$FA,127)*100</f>
        <v>-40.630000000000003</v>
      </c>
      <c r="H27" s="103">
        <f>VLOOKUP($A27,'OI(Volume)'!$A$7:$O$445,8)</f>
        <v>826500</v>
      </c>
      <c r="I27" s="103">
        <f>VLOOKUP($A27,'OI(Volume)'!$A$7:$O$445,9)</f>
        <v>-1415775</v>
      </c>
      <c r="J27" s="103">
        <f>VLOOKUP($A27,'OI(Volume)'!$A$7:$O$445,11)</f>
        <v>381000</v>
      </c>
      <c r="K27" s="103">
        <f>VLOOKUP($A27,'OI(Volume)'!$A$7:$O$445,12)</f>
        <v>-970575</v>
      </c>
      <c r="L27" s="103">
        <f>VLOOKUP($A27,'OI(Value)'!$A$7:$O$329,8,0)</f>
        <v>851</v>
      </c>
      <c r="M27" s="103">
        <f>VLOOKUP($A27,'OI(Value)'!$A$7:$O$329,9,0)</f>
        <v>-1457</v>
      </c>
      <c r="N27" s="103">
        <f>VLOOKUP($A27,'OI(Value)'!$A$7:$O$329,11,0)</f>
        <v>392</v>
      </c>
      <c r="O27" s="103">
        <f>VLOOKUP($A27,'OI(Value)'!$A$7:$O$329,12,0)</f>
        <v>-999</v>
      </c>
      <c r="P27" s="179">
        <f>VLOOKUP(A27,'OI(Value)'!A27:O251,8,0)</f>
        <v>851</v>
      </c>
      <c r="Q27" s="179">
        <f>VLOOKUP(A27,'OI(Value)'!A27:O251,9,0)</f>
        <v>-1457</v>
      </c>
      <c r="R27" s="179">
        <f>VLOOKUP(A27,'OI(Value)'!A27:O251,11,0)</f>
        <v>392</v>
      </c>
      <c r="S27" s="179">
        <f>VLOOKUP(A27,'OI(Value)'!A27:O251,11,0)</f>
        <v>392</v>
      </c>
    </row>
    <row r="28" spans="1:19" x14ac:dyDescent="0.25">
      <c r="A28" s="105" t="str">
        <f>'Data Vlaue (Cr)'!C23</f>
        <v>BAJAJFINSV</v>
      </c>
      <c r="B28" s="143">
        <f>VLOOKUP($A28,'Data shares'!$C:$FA,118)</f>
        <v>1.1399999999999999</v>
      </c>
      <c r="C28" s="143">
        <f>VLOOKUP($A28,'Data shares'!$C:$FA,119)</f>
        <v>0.57999999999999996</v>
      </c>
      <c r="D28" s="143">
        <f>VLOOKUP($A28,'Data shares'!$C:$FA,121)*100</f>
        <v>96.55</v>
      </c>
      <c r="E28" s="143">
        <f>VLOOKUP($A28,'Data shares'!$C:$FA,124)</f>
        <v>0.61</v>
      </c>
      <c r="F28" s="143">
        <f>VLOOKUP($A28,'Data shares'!$C:$FA,125)</f>
        <v>0.7</v>
      </c>
      <c r="G28" s="143">
        <f>VLOOKUP($A28,'Data shares'!$C:$FA,127)*100</f>
        <v>-12.86</v>
      </c>
      <c r="H28" s="103">
        <f>VLOOKUP($A28,'OI(Volume)'!$A$7:$O$445,8)</f>
        <v>1418250</v>
      </c>
      <c r="I28" s="103">
        <f>VLOOKUP($A28,'OI(Volume)'!$A$7:$O$445,9)</f>
        <v>-4824750</v>
      </c>
      <c r="J28" s="103">
        <f>VLOOKUP($A28,'OI(Volume)'!$A$7:$O$445,11)</f>
        <v>1617600</v>
      </c>
      <c r="K28" s="103">
        <f>VLOOKUP($A28,'OI(Volume)'!$A$7:$O$445,12)</f>
        <v>-2016150</v>
      </c>
      <c r="L28" s="103">
        <f>VLOOKUP($A28,'OI(Value)'!$A$7:$O$329,8,0)</f>
        <v>257</v>
      </c>
      <c r="M28" s="103">
        <f>VLOOKUP($A28,'OI(Value)'!$A$7:$O$329,9,0)</f>
        <v>-874</v>
      </c>
      <c r="N28" s="103">
        <f>VLOOKUP($A28,'OI(Value)'!$A$7:$O$329,11,0)</f>
        <v>293</v>
      </c>
      <c r="O28" s="103">
        <f>VLOOKUP($A28,'OI(Value)'!$A$7:$O$329,12,0)</f>
        <v>-365</v>
      </c>
      <c r="P28" s="179">
        <f>VLOOKUP(A28,'OI(Value)'!A28:O252,8,0)</f>
        <v>257</v>
      </c>
      <c r="Q28" s="179">
        <f>VLOOKUP(A28,'OI(Value)'!A28:O252,9,0)</f>
        <v>-874</v>
      </c>
      <c r="R28" s="179">
        <f>VLOOKUP(A28,'OI(Value)'!A28:O252,11,0)</f>
        <v>293</v>
      </c>
      <c r="S28" s="179">
        <f>VLOOKUP(A28,'OI(Value)'!A28:O252,11,0)</f>
        <v>293</v>
      </c>
    </row>
    <row r="29" spans="1:19" x14ac:dyDescent="0.25">
      <c r="A29" s="105" t="str">
        <f>'Data Vlaue (Cr)'!C24</f>
        <v>BAJAJHLDNG</v>
      </c>
      <c r="B29" s="143">
        <f>VLOOKUP($A29,'Data shares'!$C:$FA,118)</f>
        <v>0.71</v>
      </c>
      <c r="C29" s="143">
        <f>VLOOKUP($A29,'Data shares'!$C:$FA,119)</f>
        <v>0.6</v>
      </c>
      <c r="D29" s="143">
        <f>VLOOKUP($A29,'Data shares'!$C:$FA,121)*100</f>
        <v>18.329999999999998</v>
      </c>
      <c r="E29" s="143">
        <f>VLOOKUP($A29,'Data shares'!$C:$FA,124)</f>
        <v>0.74</v>
      </c>
      <c r="F29" s="143">
        <f>VLOOKUP($A29,'Data shares'!$C:$FA,125)</f>
        <v>0.88</v>
      </c>
      <c r="G29" s="143">
        <f>VLOOKUP($A29,'Data shares'!$C:$FA,127)*100</f>
        <v>-15.909999999999998</v>
      </c>
      <c r="H29" s="103">
        <f>VLOOKUP($A29,'OI(Volume)'!$A$7:$O$445,8)</f>
        <v>17450</v>
      </c>
      <c r="I29" s="103">
        <f>VLOOKUP($A29,'OI(Volume)'!$A$7:$O$445,9)</f>
        <v>-67650</v>
      </c>
      <c r="J29" s="103">
        <f>VLOOKUP($A29,'OI(Volume)'!$A$7:$O$445,11)</f>
        <v>12450</v>
      </c>
      <c r="K29" s="103">
        <f>VLOOKUP($A29,'OI(Volume)'!$A$7:$O$445,12)</f>
        <v>-38600</v>
      </c>
      <c r="L29" s="103">
        <f>VLOOKUP($A29,'OI(Value)'!$A$7:$O$329,8,0)</f>
        <v>19</v>
      </c>
      <c r="M29" s="103">
        <f>VLOOKUP($A29,'OI(Value)'!$A$7:$O$329,9,0)</f>
        <v>-72</v>
      </c>
      <c r="N29" s="103">
        <f>VLOOKUP($A29,'OI(Value)'!$A$7:$O$329,11,0)</f>
        <v>13</v>
      </c>
      <c r="O29" s="103">
        <f>VLOOKUP($A29,'OI(Value)'!$A$7:$O$329,12,0)</f>
        <v>-41</v>
      </c>
      <c r="P29" s="179">
        <f>VLOOKUP(A29,'OI(Value)'!A29:O253,8,0)</f>
        <v>19</v>
      </c>
      <c r="Q29" s="179">
        <f>VLOOKUP(A29,'OI(Value)'!A29:O253,9,0)</f>
        <v>-72</v>
      </c>
      <c r="R29" s="179">
        <f>VLOOKUP(A29,'OI(Value)'!A29:O253,11,0)</f>
        <v>13</v>
      </c>
      <c r="S29" s="179">
        <f>VLOOKUP(A29,'OI(Value)'!A29:O253,11,0)</f>
        <v>13</v>
      </c>
    </row>
    <row r="30" spans="1:19" x14ac:dyDescent="0.25">
      <c r="A30" s="105" t="str">
        <f>'Data Vlaue (Cr)'!C25</f>
        <v>BAJFINANCE</v>
      </c>
      <c r="B30" s="143">
        <f>VLOOKUP($A30,'Data shares'!$C:$FA,118)</f>
        <v>0.9</v>
      </c>
      <c r="C30" s="143">
        <f>VLOOKUP($A30,'Data shares'!$C:$FA,119)</f>
        <v>0.75</v>
      </c>
      <c r="D30" s="143">
        <f>VLOOKUP($A30,'Data shares'!$C:$FA,121)*100</f>
        <v>20</v>
      </c>
      <c r="E30" s="143">
        <f>VLOOKUP($A30,'Data shares'!$C:$FA,124)</f>
        <v>0.55000000000000004</v>
      </c>
      <c r="F30" s="143">
        <f>VLOOKUP($A30,'Data shares'!$C:$FA,125)</f>
        <v>0.52</v>
      </c>
      <c r="G30" s="143">
        <f>VLOOKUP($A30,'Data shares'!$C:$FA,127)*100</f>
        <v>5.7700000000000005</v>
      </c>
      <c r="H30" s="103">
        <f>VLOOKUP($A30,'OI(Volume)'!$A$7:$O$445,8)</f>
        <v>7968750</v>
      </c>
      <c r="I30" s="103">
        <f>VLOOKUP($A30,'OI(Volume)'!$A$7:$O$445,9)</f>
        <v>-9683250</v>
      </c>
      <c r="J30" s="103">
        <f>VLOOKUP($A30,'OI(Volume)'!$A$7:$O$445,11)</f>
        <v>7205250</v>
      </c>
      <c r="K30" s="103">
        <f>VLOOKUP($A30,'OI(Volume)'!$A$7:$O$445,12)</f>
        <v>-5947500</v>
      </c>
      <c r="L30" s="103">
        <f>VLOOKUP($A30,'OI(Value)'!$A$7:$O$329,8,0)</f>
        <v>740</v>
      </c>
      <c r="M30" s="103">
        <f>VLOOKUP($A30,'OI(Value)'!$A$7:$O$329,9,0)</f>
        <v>-899</v>
      </c>
      <c r="N30" s="103">
        <f>VLOOKUP($A30,'OI(Value)'!$A$7:$O$329,11,0)</f>
        <v>669</v>
      </c>
      <c r="O30" s="103">
        <f>VLOOKUP($A30,'OI(Value)'!$A$7:$O$329,12,0)</f>
        <v>-552</v>
      </c>
      <c r="P30" s="179">
        <f>VLOOKUP(A30,'OI(Value)'!A30:O254,8,0)</f>
        <v>740</v>
      </c>
      <c r="Q30" s="179">
        <f>VLOOKUP(A30,'OI(Value)'!A30:O254,9,0)</f>
        <v>-899</v>
      </c>
      <c r="R30" s="179">
        <f>VLOOKUP(A30,'OI(Value)'!A30:O254,11,0)</f>
        <v>669</v>
      </c>
      <c r="S30" s="179">
        <f>VLOOKUP(A30,'OI(Value)'!A30:O254,11,0)</f>
        <v>669</v>
      </c>
    </row>
    <row r="31" spans="1:19" x14ac:dyDescent="0.25">
      <c r="A31" s="105" t="str">
        <f>'Data Vlaue (Cr)'!C26</f>
        <v>BANDHANBNK</v>
      </c>
      <c r="B31" s="143">
        <f>VLOOKUP($A31,'Data shares'!$C:$FA,118)</f>
        <v>0.61</v>
      </c>
      <c r="C31" s="143">
        <f>VLOOKUP($A31,'Data shares'!$C:$FA,119)</f>
        <v>0.66</v>
      </c>
      <c r="D31" s="143">
        <f>VLOOKUP($A31,'Data shares'!$C:$FA,121)*100</f>
        <v>-7.580000000000001</v>
      </c>
      <c r="E31" s="143">
        <f>VLOOKUP($A31,'Data shares'!$C:$FA,124)</f>
        <v>0.33</v>
      </c>
      <c r="F31" s="143">
        <f>VLOOKUP($A31,'Data shares'!$C:$FA,125)</f>
        <v>0.38</v>
      </c>
      <c r="G31" s="143">
        <f>VLOOKUP($A31,'Data shares'!$C:$FA,127)*100</f>
        <v>-13.16</v>
      </c>
      <c r="H31" s="103">
        <f>VLOOKUP($A31,'OI(Volume)'!$A$7:$O$445,8)</f>
        <v>18453600</v>
      </c>
      <c r="I31" s="103">
        <f>VLOOKUP($A31,'OI(Volume)'!$A$7:$O$445,9)</f>
        <v>-19015200</v>
      </c>
      <c r="J31" s="103">
        <f>VLOOKUP($A31,'OI(Volume)'!$A$7:$O$445,11)</f>
        <v>11170800</v>
      </c>
      <c r="K31" s="103">
        <f>VLOOKUP($A31,'OI(Volume)'!$A$7:$O$445,12)</f>
        <v>-13420800</v>
      </c>
      <c r="L31" s="103">
        <f>VLOOKUP($A31,'OI(Value)'!$A$7:$O$329,8,0)</f>
        <v>373</v>
      </c>
      <c r="M31" s="103">
        <f>VLOOKUP($A31,'OI(Value)'!$A$7:$O$329,9,0)</f>
        <v>-385</v>
      </c>
      <c r="N31" s="103">
        <f>VLOOKUP($A31,'OI(Value)'!$A$7:$O$329,11,0)</f>
        <v>226</v>
      </c>
      <c r="O31" s="103">
        <f>VLOOKUP($A31,'OI(Value)'!$A$7:$O$329,12,0)</f>
        <v>-271</v>
      </c>
      <c r="P31" s="179">
        <f>VLOOKUP(A31,'OI(Value)'!A31:O255,8,0)</f>
        <v>373</v>
      </c>
      <c r="Q31" s="179">
        <f>VLOOKUP(A31,'OI(Value)'!A31:O255,9,0)</f>
        <v>-385</v>
      </c>
      <c r="R31" s="179">
        <f>VLOOKUP(A31,'OI(Value)'!A31:O255,11,0)</f>
        <v>226</v>
      </c>
      <c r="S31" s="179">
        <f>VLOOKUP(A31,'OI(Value)'!A31:O255,11,0)</f>
        <v>226</v>
      </c>
    </row>
    <row r="32" spans="1:19" x14ac:dyDescent="0.25">
      <c r="A32" s="105" t="str">
        <f>'Data Vlaue (Cr)'!C27</f>
        <v>BANKBARODA</v>
      </c>
      <c r="B32" s="143">
        <f>VLOOKUP($A32,'Data shares'!$C:$FA,118)</f>
        <v>1.24</v>
      </c>
      <c r="C32" s="143">
        <f>VLOOKUP($A32,'Data shares'!$C:$FA,119)</f>
        <v>0.9</v>
      </c>
      <c r="D32" s="143">
        <f>VLOOKUP($A32,'Data shares'!$C:$FA,121)*100</f>
        <v>37.78</v>
      </c>
      <c r="E32" s="143">
        <f>VLOOKUP($A32,'Data shares'!$C:$FA,124)</f>
        <v>0.56999999999999995</v>
      </c>
      <c r="F32" s="143">
        <f>VLOOKUP($A32,'Data shares'!$C:$FA,125)</f>
        <v>0.54</v>
      </c>
      <c r="G32" s="143">
        <f>VLOOKUP($A32,'Data shares'!$C:$FA,127)*100</f>
        <v>5.56</v>
      </c>
      <c r="H32" s="103">
        <f>VLOOKUP($A32,'OI(Volume)'!$A$7:$O$445,8)</f>
        <v>16880175</v>
      </c>
      <c r="I32" s="103">
        <f>VLOOKUP($A32,'OI(Volume)'!$A$7:$O$445,9)</f>
        <v>-27237600</v>
      </c>
      <c r="J32" s="103">
        <f>VLOOKUP($A32,'OI(Volume)'!$A$7:$O$445,11)</f>
        <v>20954700</v>
      </c>
      <c r="K32" s="103">
        <f>VLOOKUP($A32,'OI(Volume)'!$A$7:$O$445,12)</f>
        <v>-18553275</v>
      </c>
      <c r="L32" s="103">
        <f>VLOOKUP($A32,'OI(Value)'!$A$7:$O$329,8,0)</f>
        <v>461</v>
      </c>
      <c r="M32" s="103">
        <f>VLOOKUP($A32,'OI(Value)'!$A$7:$O$329,9,0)</f>
        <v>-743</v>
      </c>
      <c r="N32" s="103">
        <f>VLOOKUP($A32,'OI(Value)'!$A$7:$O$329,11,0)</f>
        <v>572</v>
      </c>
      <c r="O32" s="103">
        <f>VLOOKUP($A32,'OI(Value)'!$A$7:$O$329,12,0)</f>
        <v>-506</v>
      </c>
      <c r="P32" s="179">
        <f>VLOOKUP(A32,'OI(Value)'!A32:O256,8,0)</f>
        <v>461</v>
      </c>
      <c r="Q32" s="179">
        <f>VLOOKUP(A32,'OI(Value)'!A32:O256,9,0)</f>
        <v>-743</v>
      </c>
      <c r="R32" s="179">
        <f>VLOOKUP(A32,'OI(Value)'!A32:O256,11,0)</f>
        <v>572</v>
      </c>
      <c r="S32" s="179">
        <f>VLOOKUP(A32,'OI(Value)'!A32:O256,11,0)</f>
        <v>572</v>
      </c>
    </row>
    <row r="33" spans="1:19" x14ac:dyDescent="0.25">
      <c r="A33" s="105" t="str">
        <f>'Data Vlaue (Cr)'!C28</f>
        <v>BANKINDIA</v>
      </c>
      <c r="B33" s="143">
        <f>VLOOKUP($A33,'Data shares'!$C:$FA,118)</f>
        <v>0.87</v>
      </c>
      <c r="C33" s="143">
        <f>VLOOKUP($A33,'Data shares'!$C:$FA,119)</f>
        <v>0.68</v>
      </c>
      <c r="D33" s="143">
        <f>VLOOKUP($A33,'Data shares'!$C:$FA,121)*100</f>
        <v>27.939999999999998</v>
      </c>
      <c r="E33" s="143">
        <f>VLOOKUP($A33,'Data shares'!$C:$FA,124)</f>
        <v>0.51</v>
      </c>
      <c r="F33" s="143">
        <f>VLOOKUP($A33,'Data shares'!$C:$FA,125)</f>
        <v>0.39</v>
      </c>
      <c r="G33" s="143">
        <f>VLOOKUP($A33,'Data shares'!$C:$FA,127)*100</f>
        <v>30.769999999999996</v>
      </c>
      <c r="H33" s="103">
        <f>VLOOKUP($A33,'OI(Volume)'!$A$7:$O$445,8)</f>
        <v>10020400</v>
      </c>
      <c r="I33" s="103">
        <f>VLOOKUP($A33,'OI(Volume)'!$A$7:$O$445,9)</f>
        <v>-17508400</v>
      </c>
      <c r="J33" s="103">
        <f>VLOOKUP($A33,'OI(Volume)'!$A$7:$O$445,11)</f>
        <v>8720400</v>
      </c>
      <c r="K33" s="103">
        <f>VLOOKUP($A33,'OI(Volume)'!$A$7:$O$445,12)</f>
        <v>-9916400</v>
      </c>
      <c r="L33" s="103">
        <f>VLOOKUP($A33,'OI(Value)'!$A$7:$O$329,8,0)</f>
        <v>146</v>
      </c>
      <c r="M33" s="103">
        <f>VLOOKUP($A33,'OI(Value)'!$A$7:$O$329,9,0)</f>
        <v>-255</v>
      </c>
      <c r="N33" s="103">
        <f>VLOOKUP($A33,'OI(Value)'!$A$7:$O$329,11,0)</f>
        <v>127</v>
      </c>
      <c r="O33" s="103">
        <f>VLOOKUP($A33,'OI(Value)'!$A$7:$O$329,12,0)</f>
        <v>-145</v>
      </c>
      <c r="P33" s="179">
        <f>VLOOKUP(A33,'OI(Value)'!A33:O257,8,0)</f>
        <v>146</v>
      </c>
      <c r="Q33" s="179">
        <f>VLOOKUP(A33,'OI(Value)'!A33:O257,9,0)</f>
        <v>-255</v>
      </c>
      <c r="R33" s="179">
        <f>VLOOKUP(A33,'OI(Value)'!A33:O257,11,0)</f>
        <v>127</v>
      </c>
      <c r="S33" s="179">
        <f>VLOOKUP(A33,'OI(Value)'!A33:O257,11,0)</f>
        <v>127</v>
      </c>
    </row>
    <row r="34" spans="1:19" x14ac:dyDescent="0.25">
      <c r="A34" s="105" t="str">
        <f>'Data Vlaue (Cr)'!C29</f>
        <v>BANKNIFTY</v>
      </c>
      <c r="B34" s="143">
        <f>VLOOKUP($A34,'Data shares'!$C:$FA,118)</f>
        <v>0.98</v>
      </c>
      <c r="C34" s="143">
        <f>VLOOKUP($A34,'Data shares'!$C:$FA,119)</f>
        <v>0.99</v>
      </c>
      <c r="D34" s="143">
        <f>VLOOKUP($A34,'Data shares'!$C:$FA,121)*100</f>
        <v>-1.01</v>
      </c>
      <c r="E34" s="143">
        <f>VLOOKUP($A34,'Data shares'!$C:$FA,124)</f>
        <v>1</v>
      </c>
      <c r="F34" s="143">
        <f>VLOOKUP($A34,'Data shares'!$C:$FA,125)</f>
        <v>0.88</v>
      </c>
      <c r="G34" s="143">
        <f>VLOOKUP($A34,'Data shares'!$C:$FA,127)*100</f>
        <v>13.639999999999999</v>
      </c>
      <c r="H34" s="103">
        <f>VLOOKUP($A34,'OI(Volume)'!$A$7:$O$445,8)</f>
        <v>9314040</v>
      </c>
      <c r="I34" s="103">
        <f>VLOOKUP($A34,'OI(Volume)'!$A$7:$O$445,9)</f>
        <v>-16504620</v>
      </c>
      <c r="J34" s="103">
        <f>VLOOKUP($A34,'OI(Volume)'!$A$7:$O$445,11)</f>
        <v>9163620</v>
      </c>
      <c r="K34" s="103">
        <f>VLOOKUP($A34,'OI(Volume)'!$A$7:$O$445,12)</f>
        <v>-16330380</v>
      </c>
      <c r="L34" s="103">
        <f>VLOOKUP($A34,'OI(Value)'!$A$7:$O$329,8,0)</f>
        <v>51654</v>
      </c>
      <c r="M34" s="103">
        <f>VLOOKUP($A34,'OI(Value)'!$A$7:$O$329,9,0)</f>
        <v>-91531</v>
      </c>
      <c r="N34" s="103">
        <f>VLOOKUP($A34,'OI(Value)'!$A$7:$O$329,11,0)</f>
        <v>50819</v>
      </c>
      <c r="O34" s="103">
        <f>VLOOKUP($A34,'OI(Value)'!$A$7:$O$329,12,0)</f>
        <v>-90565</v>
      </c>
      <c r="P34" s="179">
        <f>VLOOKUP(A34,'OI(Value)'!A34:O258,8,0)</f>
        <v>51654</v>
      </c>
      <c r="Q34" s="179">
        <f>VLOOKUP(A34,'OI(Value)'!A34:O258,9,0)</f>
        <v>-91531</v>
      </c>
      <c r="R34" s="179">
        <f>VLOOKUP(A34,'OI(Value)'!A34:O258,11,0)</f>
        <v>50819</v>
      </c>
      <c r="S34" s="179">
        <f>VLOOKUP(A34,'OI(Value)'!A34:O258,11,0)</f>
        <v>50819</v>
      </c>
    </row>
    <row r="35" spans="1:19" x14ac:dyDescent="0.25">
      <c r="A35" s="105" t="str">
        <f>'Data Vlaue (Cr)'!C30</f>
        <v>BDL</v>
      </c>
      <c r="B35" s="143">
        <f>VLOOKUP($A35,'Data shares'!$C:$FA,118)</f>
        <v>0.74</v>
      </c>
      <c r="C35" s="143">
        <f>VLOOKUP($A35,'Data shares'!$C:$FA,119)</f>
        <v>0.54</v>
      </c>
      <c r="D35" s="143">
        <f>VLOOKUP($A35,'Data shares'!$C:$FA,121)*100</f>
        <v>37.04</v>
      </c>
      <c r="E35" s="143">
        <f>VLOOKUP($A35,'Data shares'!$C:$FA,124)</f>
        <v>0.3</v>
      </c>
      <c r="F35" s="143">
        <f>VLOOKUP($A35,'Data shares'!$C:$FA,125)</f>
        <v>0.36</v>
      </c>
      <c r="G35" s="143">
        <f>VLOOKUP($A35,'Data shares'!$C:$FA,127)*100</f>
        <v>-16.669999999999998</v>
      </c>
      <c r="H35" s="103">
        <f>VLOOKUP($A35,'OI(Volume)'!$A$7:$O$445,8)</f>
        <v>1320000</v>
      </c>
      <c r="I35" s="103">
        <f>VLOOKUP($A35,'OI(Volume)'!$A$7:$O$445,9)</f>
        <v>-2507400</v>
      </c>
      <c r="J35" s="103">
        <f>VLOOKUP($A35,'OI(Volume)'!$A$7:$O$445,11)</f>
        <v>977900</v>
      </c>
      <c r="K35" s="103">
        <f>VLOOKUP($A35,'OI(Volume)'!$A$7:$O$445,12)</f>
        <v>-1086400</v>
      </c>
      <c r="L35" s="103">
        <f>VLOOKUP($A35,'OI(Value)'!$A$7:$O$329,8,0)</f>
        <v>175</v>
      </c>
      <c r="M35" s="103">
        <f>VLOOKUP($A35,'OI(Value)'!$A$7:$O$329,9,0)</f>
        <v>-332</v>
      </c>
      <c r="N35" s="103">
        <f>VLOOKUP($A35,'OI(Value)'!$A$7:$O$329,11,0)</f>
        <v>130</v>
      </c>
      <c r="O35" s="103">
        <f>VLOOKUP($A35,'OI(Value)'!$A$7:$O$329,12,0)</f>
        <v>-144</v>
      </c>
      <c r="P35" s="179">
        <f>VLOOKUP(A35,'OI(Value)'!A35:O259,8,0)</f>
        <v>175</v>
      </c>
      <c r="Q35" s="179">
        <f>VLOOKUP(A35,'OI(Value)'!A35:O259,9,0)</f>
        <v>-332</v>
      </c>
      <c r="R35" s="179">
        <f>VLOOKUP(A35,'OI(Value)'!A35:O259,11,0)</f>
        <v>130</v>
      </c>
      <c r="S35" s="179">
        <f>VLOOKUP(A35,'OI(Value)'!A35:O259,11,0)</f>
        <v>130</v>
      </c>
    </row>
    <row r="36" spans="1:19" x14ac:dyDescent="0.25">
      <c r="A36" s="105" t="str">
        <f>'Data Vlaue (Cr)'!C31</f>
        <v>BEL</v>
      </c>
      <c r="B36" s="143">
        <f>VLOOKUP($A36,'Data shares'!$C:$FA,118)</f>
        <v>0.81</v>
      </c>
      <c r="C36" s="143">
        <f>VLOOKUP($A36,'Data shares'!$C:$FA,119)</f>
        <v>0.56999999999999995</v>
      </c>
      <c r="D36" s="143">
        <f>VLOOKUP($A36,'Data shares'!$C:$FA,121)*100</f>
        <v>42.11</v>
      </c>
      <c r="E36" s="143">
        <f>VLOOKUP($A36,'Data shares'!$C:$FA,124)</f>
        <v>0.45</v>
      </c>
      <c r="F36" s="143">
        <f>VLOOKUP($A36,'Data shares'!$C:$FA,125)</f>
        <v>0.41</v>
      </c>
      <c r="G36" s="143">
        <f>VLOOKUP($A36,'Data shares'!$C:$FA,127)*100</f>
        <v>9.76</v>
      </c>
      <c r="H36" s="103">
        <f>VLOOKUP($A36,'OI(Volume)'!$A$7:$O$445,8)</f>
        <v>24702375</v>
      </c>
      <c r="I36" s="103">
        <f>VLOOKUP($A36,'OI(Volume)'!$A$7:$O$445,9)</f>
        <v>-36316125</v>
      </c>
      <c r="J36" s="103">
        <f>VLOOKUP($A36,'OI(Volume)'!$A$7:$O$445,11)</f>
        <v>19997025</v>
      </c>
      <c r="K36" s="103">
        <f>VLOOKUP($A36,'OI(Volume)'!$A$7:$O$445,12)</f>
        <v>-14723100</v>
      </c>
      <c r="L36" s="103">
        <f>VLOOKUP($A36,'OI(Value)'!$A$7:$O$329,8,0)</f>
        <v>1046</v>
      </c>
      <c r="M36" s="103">
        <f>VLOOKUP($A36,'OI(Value)'!$A$7:$O$329,9,0)</f>
        <v>-1537</v>
      </c>
      <c r="N36" s="103">
        <f>VLOOKUP($A36,'OI(Value)'!$A$7:$O$329,11,0)</f>
        <v>846</v>
      </c>
      <c r="O36" s="103">
        <f>VLOOKUP($A36,'OI(Value)'!$A$7:$O$329,12,0)</f>
        <v>-623</v>
      </c>
      <c r="P36" s="179">
        <f>VLOOKUP(A36,'OI(Value)'!A36:O260,8,0)</f>
        <v>1046</v>
      </c>
      <c r="Q36" s="179">
        <f>VLOOKUP(A36,'OI(Value)'!A36:O260,9,0)</f>
        <v>-1537</v>
      </c>
      <c r="R36" s="179">
        <f>VLOOKUP(A36,'OI(Value)'!A36:O260,11,0)</f>
        <v>846</v>
      </c>
      <c r="S36" s="179">
        <f>VLOOKUP(A36,'OI(Value)'!A36:O260,11,0)</f>
        <v>846</v>
      </c>
    </row>
    <row r="37" spans="1:19" x14ac:dyDescent="0.25">
      <c r="A37" s="105" t="str">
        <f>'Data Vlaue (Cr)'!C32</f>
        <v>BHARATFORG</v>
      </c>
      <c r="B37" s="143">
        <f>VLOOKUP($A37,'Data shares'!$C:$FA,118)</f>
        <v>0.78</v>
      </c>
      <c r="C37" s="143">
        <f>VLOOKUP($A37,'Data shares'!$C:$FA,119)</f>
        <v>0.68</v>
      </c>
      <c r="D37" s="143">
        <f>VLOOKUP($A37,'Data shares'!$C:$FA,121)*100</f>
        <v>14.71</v>
      </c>
      <c r="E37" s="143">
        <f>VLOOKUP($A37,'Data shares'!$C:$FA,124)</f>
        <v>0.26</v>
      </c>
      <c r="F37" s="143">
        <f>VLOOKUP($A37,'Data shares'!$C:$FA,125)</f>
        <v>0.36</v>
      </c>
      <c r="G37" s="143">
        <f>VLOOKUP($A37,'Data shares'!$C:$FA,127)*100</f>
        <v>-27.779999999999998</v>
      </c>
      <c r="H37" s="103">
        <f>VLOOKUP($A37,'OI(Volume)'!$A$7:$O$445,8)</f>
        <v>982500</v>
      </c>
      <c r="I37" s="103">
        <f>VLOOKUP($A37,'OI(Volume)'!$A$7:$O$445,9)</f>
        <v>-2618000</v>
      </c>
      <c r="J37" s="103">
        <f>VLOOKUP($A37,'OI(Volume)'!$A$7:$O$445,11)</f>
        <v>764500</v>
      </c>
      <c r="K37" s="103">
        <f>VLOOKUP($A37,'OI(Volume)'!$A$7:$O$445,12)</f>
        <v>-1672000</v>
      </c>
      <c r="L37" s="103">
        <f>VLOOKUP($A37,'OI(Value)'!$A$7:$O$329,8,0)</f>
        <v>191</v>
      </c>
      <c r="M37" s="103">
        <f>VLOOKUP($A37,'OI(Value)'!$A$7:$O$329,9,0)</f>
        <v>-510</v>
      </c>
      <c r="N37" s="103">
        <f>VLOOKUP($A37,'OI(Value)'!$A$7:$O$329,11,0)</f>
        <v>149</v>
      </c>
      <c r="O37" s="103">
        <f>VLOOKUP($A37,'OI(Value)'!$A$7:$O$329,12,0)</f>
        <v>-326</v>
      </c>
      <c r="P37" s="179">
        <f>VLOOKUP(A37,'OI(Value)'!A37:O261,8,0)</f>
        <v>191</v>
      </c>
      <c r="Q37" s="179">
        <f>VLOOKUP(A37,'OI(Value)'!A37:O261,9,0)</f>
        <v>-510</v>
      </c>
      <c r="R37" s="179">
        <f>VLOOKUP(A37,'OI(Value)'!A37:O261,11,0)</f>
        <v>149</v>
      </c>
      <c r="S37" s="179">
        <f>VLOOKUP(A37,'OI(Value)'!A37:O261,11,0)</f>
        <v>149</v>
      </c>
    </row>
    <row r="38" spans="1:19" x14ac:dyDescent="0.25">
      <c r="A38" s="105" t="str">
        <f>'Data Vlaue (Cr)'!C33</f>
        <v>BHARTIARTL</v>
      </c>
      <c r="B38" s="143">
        <f>VLOOKUP($A38,'Data shares'!$C:$FA,118)</f>
        <v>0.54</v>
      </c>
      <c r="C38" s="143">
        <f>VLOOKUP($A38,'Data shares'!$C:$FA,119)</f>
        <v>0.51</v>
      </c>
      <c r="D38" s="143">
        <f>VLOOKUP($A38,'Data shares'!$C:$FA,121)*100</f>
        <v>5.88</v>
      </c>
      <c r="E38" s="143">
        <f>VLOOKUP($A38,'Data shares'!$C:$FA,124)</f>
        <v>0.56000000000000005</v>
      </c>
      <c r="F38" s="143">
        <f>VLOOKUP($A38,'Data shares'!$C:$FA,125)</f>
        <v>0.56000000000000005</v>
      </c>
      <c r="G38" s="143">
        <f>VLOOKUP($A38,'Data shares'!$C:$FA,127)*100</f>
        <v>0</v>
      </c>
      <c r="H38" s="103">
        <f>VLOOKUP($A38,'OI(Volume)'!$A$7:$O$445,8)</f>
        <v>7433750</v>
      </c>
      <c r="I38" s="103">
        <f>VLOOKUP($A38,'OI(Volume)'!$A$7:$O$445,9)</f>
        <v>-16613600</v>
      </c>
      <c r="J38" s="103">
        <f>VLOOKUP($A38,'OI(Volume)'!$A$7:$O$445,11)</f>
        <v>3993800</v>
      </c>
      <c r="K38" s="103">
        <f>VLOOKUP($A38,'OI(Volume)'!$A$7:$O$445,12)</f>
        <v>-8352400</v>
      </c>
      <c r="L38" s="103">
        <f>VLOOKUP($A38,'OI(Value)'!$A$7:$O$329,8,0)</f>
        <v>1384</v>
      </c>
      <c r="M38" s="103">
        <f>VLOOKUP($A38,'OI(Value)'!$A$7:$O$329,9,0)</f>
        <v>-3093</v>
      </c>
      <c r="N38" s="103">
        <f>VLOOKUP($A38,'OI(Value)'!$A$7:$O$329,11,0)</f>
        <v>744</v>
      </c>
      <c r="O38" s="103">
        <f>VLOOKUP($A38,'OI(Value)'!$A$7:$O$329,12,0)</f>
        <v>-1555</v>
      </c>
      <c r="P38" s="179">
        <f>VLOOKUP(A38,'OI(Value)'!A38:O262,8,0)</f>
        <v>1384</v>
      </c>
      <c r="Q38" s="179">
        <f>VLOOKUP(A38,'OI(Value)'!A38:O262,9,0)</f>
        <v>-3093</v>
      </c>
      <c r="R38" s="179">
        <f>VLOOKUP(A38,'OI(Value)'!A38:O262,11,0)</f>
        <v>744</v>
      </c>
      <c r="S38" s="179">
        <f>VLOOKUP(A38,'OI(Value)'!A38:O262,11,0)</f>
        <v>744</v>
      </c>
    </row>
    <row r="39" spans="1:19" x14ac:dyDescent="0.25">
      <c r="A39" s="105" t="str">
        <f>'Data Vlaue (Cr)'!C34</f>
        <v>BHEL</v>
      </c>
      <c r="B39" s="143">
        <f>VLOOKUP($A39,'Data shares'!$C:$FA,118)</f>
        <v>0.66</v>
      </c>
      <c r="C39" s="143">
        <f>VLOOKUP($A39,'Data shares'!$C:$FA,119)</f>
        <v>0.82</v>
      </c>
      <c r="D39" s="143">
        <f>VLOOKUP($A39,'Data shares'!$C:$FA,121)*100</f>
        <v>-19.509999999999998</v>
      </c>
      <c r="E39" s="143">
        <f>VLOOKUP($A39,'Data shares'!$C:$FA,124)</f>
        <v>0.51</v>
      </c>
      <c r="F39" s="143">
        <f>VLOOKUP($A39,'Data shares'!$C:$FA,125)</f>
        <v>0.46</v>
      </c>
      <c r="G39" s="143">
        <f>VLOOKUP($A39,'Data shares'!$C:$FA,127)*100</f>
        <v>10.870000000000001</v>
      </c>
      <c r="H39" s="103">
        <f>VLOOKUP($A39,'OI(Volume)'!$A$7:$O$445,8)</f>
        <v>22126125</v>
      </c>
      <c r="I39" s="103">
        <f>VLOOKUP($A39,'OI(Volume)'!$A$7:$O$445,9)</f>
        <v>-27433875</v>
      </c>
      <c r="J39" s="103">
        <f>VLOOKUP($A39,'OI(Volume)'!$A$7:$O$445,11)</f>
        <v>14539875</v>
      </c>
      <c r="K39" s="103">
        <f>VLOOKUP($A39,'OI(Volume)'!$A$7:$O$445,12)</f>
        <v>-25984875</v>
      </c>
      <c r="L39" s="103">
        <f>VLOOKUP($A39,'OI(Value)'!$A$7:$O$329,8,0)</f>
        <v>930</v>
      </c>
      <c r="M39" s="103">
        <f>VLOOKUP($A39,'OI(Value)'!$A$7:$O$329,9,0)</f>
        <v>-1153</v>
      </c>
      <c r="N39" s="103">
        <f>VLOOKUP($A39,'OI(Value)'!$A$7:$O$329,11,0)</f>
        <v>611</v>
      </c>
      <c r="O39" s="103">
        <f>VLOOKUP($A39,'OI(Value)'!$A$7:$O$329,12,0)</f>
        <v>-1092</v>
      </c>
      <c r="P39" s="179">
        <f>VLOOKUP(A39,'OI(Value)'!A39:O263,8,0)</f>
        <v>930</v>
      </c>
      <c r="Q39" s="179">
        <f>VLOOKUP(A39,'OI(Value)'!A39:O263,9,0)</f>
        <v>-1153</v>
      </c>
      <c r="R39" s="179">
        <f>VLOOKUP(A39,'OI(Value)'!A39:O263,11,0)</f>
        <v>611</v>
      </c>
      <c r="S39" s="179">
        <f>VLOOKUP(A39,'OI(Value)'!A39:O263,11,0)</f>
        <v>611</v>
      </c>
    </row>
    <row r="40" spans="1:19" x14ac:dyDescent="0.25">
      <c r="A40" s="105" t="str">
        <f>'Data Vlaue (Cr)'!C35</f>
        <v>BIOCON</v>
      </c>
      <c r="B40" s="143">
        <f>VLOOKUP($A40,'Data shares'!$C:$FA,118)</f>
        <v>0.66</v>
      </c>
      <c r="C40" s="143">
        <f>VLOOKUP($A40,'Data shares'!$C:$FA,119)</f>
        <v>0.84</v>
      </c>
      <c r="D40" s="143">
        <f>VLOOKUP($A40,'Data shares'!$C:$FA,121)*100</f>
        <v>-21.43</v>
      </c>
      <c r="E40" s="143">
        <f>VLOOKUP($A40,'Data shares'!$C:$FA,124)</f>
        <v>0.34</v>
      </c>
      <c r="F40" s="143">
        <f>VLOOKUP($A40,'Data shares'!$C:$FA,125)</f>
        <v>0.59</v>
      </c>
      <c r="G40" s="143">
        <f>VLOOKUP($A40,'Data shares'!$C:$FA,127)*100</f>
        <v>-42.370000000000005</v>
      </c>
      <c r="H40" s="103">
        <f>VLOOKUP($A40,'OI(Volume)'!$A$7:$O$445,8)</f>
        <v>9782500</v>
      </c>
      <c r="I40" s="103">
        <f>VLOOKUP($A40,'OI(Volume)'!$A$7:$O$445,9)</f>
        <v>-14717500</v>
      </c>
      <c r="J40" s="103">
        <f>VLOOKUP($A40,'OI(Volume)'!$A$7:$O$445,11)</f>
        <v>6410000</v>
      </c>
      <c r="K40" s="103">
        <f>VLOOKUP($A40,'OI(Volume)'!$A$7:$O$445,12)</f>
        <v>-14077500</v>
      </c>
      <c r="L40" s="103">
        <f>VLOOKUP($A40,'OI(Value)'!$A$7:$O$329,8,0)</f>
        <v>430</v>
      </c>
      <c r="M40" s="103">
        <f>VLOOKUP($A40,'OI(Value)'!$A$7:$O$329,9,0)</f>
        <v>-647</v>
      </c>
      <c r="N40" s="103">
        <f>VLOOKUP($A40,'OI(Value)'!$A$7:$O$329,11,0)</f>
        <v>282</v>
      </c>
      <c r="O40" s="103">
        <f>VLOOKUP($A40,'OI(Value)'!$A$7:$O$329,12,0)</f>
        <v>-619</v>
      </c>
      <c r="P40" s="179">
        <f>VLOOKUP(A40,'OI(Value)'!A40:O264,8,0)</f>
        <v>430</v>
      </c>
      <c r="Q40" s="179">
        <f>VLOOKUP(A40,'OI(Value)'!A40:O264,9,0)</f>
        <v>-647</v>
      </c>
      <c r="R40" s="179">
        <f>VLOOKUP(A40,'OI(Value)'!A40:O264,11,0)</f>
        <v>282</v>
      </c>
      <c r="S40" s="179">
        <f>VLOOKUP(A40,'OI(Value)'!A40:O264,11,0)</f>
        <v>282</v>
      </c>
    </row>
    <row r="41" spans="1:19" x14ac:dyDescent="0.25">
      <c r="A41" s="105" t="str">
        <f>'Data Vlaue (Cr)'!C36</f>
        <v>BLUESTARCO</v>
      </c>
      <c r="B41" s="143">
        <f>VLOOKUP($A41,'Data shares'!$C:$FA,118)</f>
        <v>0.74</v>
      </c>
      <c r="C41" s="143">
        <f>VLOOKUP($A41,'Data shares'!$C:$FA,119)</f>
        <v>0.56000000000000005</v>
      </c>
      <c r="D41" s="143">
        <f>VLOOKUP($A41,'Data shares'!$C:$FA,121)*100</f>
        <v>32.14</v>
      </c>
      <c r="E41" s="143">
        <f>VLOOKUP($A41,'Data shares'!$C:$FA,124)</f>
        <v>0.72</v>
      </c>
      <c r="F41" s="143">
        <f>VLOOKUP($A41,'Data shares'!$C:$FA,125)</f>
        <v>0.65</v>
      </c>
      <c r="G41" s="143">
        <f>VLOOKUP($A41,'Data shares'!$C:$FA,127)*100</f>
        <v>10.77</v>
      </c>
      <c r="H41" s="103">
        <f>VLOOKUP($A41,'OI(Volume)'!$A$7:$O$445,8)</f>
        <v>529425</v>
      </c>
      <c r="I41" s="103">
        <f>VLOOKUP($A41,'OI(Volume)'!$A$7:$O$445,9)</f>
        <v>-1979575</v>
      </c>
      <c r="J41" s="103">
        <f>VLOOKUP($A41,'OI(Volume)'!$A$7:$O$445,11)</f>
        <v>393900</v>
      </c>
      <c r="K41" s="103">
        <f>VLOOKUP($A41,'OI(Volume)'!$A$7:$O$445,12)</f>
        <v>-1001650</v>
      </c>
      <c r="L41" s="103">
        <f>VLOOKUP($A41,'OI(Value)'!$A$7:$O$329,8,0)</f>
        <v>87</v>
      </c>
      <c r="M41" s="103">
        <f>VLOOKUP($A41,'OI(Value)'!$A$7:$O$329,9,0)</f>
        <v>-327</v>
      </c>
      <c r="N41" s="103">
        <f>VLOOKUP($A41,'OI(Value)'!$A$7:$O$329,11,0)</f>
        <v>65</v>
      </c>
      <c r="O41" s="103">
        <f>VLOOKUP($A41,'OI(Value)'!$A$7:$O$329,12,0)</f>
        <v>-165</v>
      </c>
      <c r="P41" s="179">
        <f>VLOOKUP(A41,'OI(Value)'!A41:O265,8,0)</f>
        <v>87</v>
      </c>
      <c r="Q41" s="179">
        <f>VLOOKUP(A41,'OI(Value)'!A41:O265,9,0)</f>
        <v>-327</v>
      </c>
      <c r="R41" s="179">
        <f>VLOOKUP(A41,'OI(Value)'!A41:O265,11,0)</f>
        <v>65</v>
      </c>
      <c r="S41" s="179">
        <f>VLOOKUP(A41,'OI(Value)'!A41:O265,11,0)</f>
        <v>65</v>
      </c>
    </row>
    <row r="42" spans="1:19" x14ac:dyDescent="0.25">
      <c r="A42" s="105" t="str">
        <f>'Data Vlaue (Cr)'!C37</f>
        <v>BOSCHLTD</v>
      </c>
      <c r="B42" s="143">
        <f>VLOOKUP($A42,'Data shares'!$C:$FA,118)</f>
        <v>0.5</v>
      </c>
      <c r="C42" s="143">
        <f>VLOOKUP($A42,'Data shares'!$C:$FA,119)</f>
        <v>0.42</v>
      </c>
      <c r="D42" s="143">
        <f>VLOOKUP($A42,'Data shares'!$C:$FA,121)*100</f>
        <v>19.05</v>
      </c>
      <c r="E42" s="143">
        <f>VLOOKUP($A42,'Data shares'!$C:$FA,124)</f>
        <v>0.34</v>
      </c>
      <c r="F42" s="143">
        <f>VLOOKUP($A42,'Data shares'!$C:$FA,125)</f>
        <v>0.42</v>
      </c>
      <c r="G42" s="143">
        <f>VLOOKUP($A42,'Data shares'!$C:$FA,127)*100</f>
        <v>-19.05</v>
      </c>
      <c r="H42" s="103">
        <f>VLOOKUP($A42,'OI(Volume)'!$A$7:$O$445,8)</f>
        <v>98350</v>
      </c>
      <c r="I42" s="103">
        <f>VLOOKUP($A42,'OI(Volume)'!$A$7:$O$445,9)</f>
        <v>-235225</v>
      </c>
      <c r="J42" s="103">
        <f>VLOOKUP($A42,'OI(Volume)'!$A$7:$O$445,11)</f>
        <v>49350</v>
      </c>
      <c r="K42" s="103">
        <f>VLOOKUP($A42,'OI(Volume)'!$A$7:$O$445,12)</f>
        <v>-90800</v>
      </c>
      <c r="L42" s="103">
        <f>VLOOKUP($A42,'OI(Value)'!$A$7:$O$329,8,0)</f>
        <v>355</v>
      </c>
      <c r="M42" s="103">
        <f>VLOOKUP($A42,'OI(Value)'!$A$7:$O$329,9,0)</f>
        <v>-848</v>
      </c>
      <c r="N42" s="103">
        <f>VLOOKUP($A42,'OI(Value)'!$A$7:$O$329,11,0)</f>
        <v>178</v>
      </c>
      <c r="O42" s="103">
        <f>VLOOKUP($A42,'OI(Value)'!$A$7:$O$329,12,0)</f>
        <v>-327</v>
      </c>
      <c r="P42" s="179">
        <f>VLOOKUP(A42,'OI(Value)'!A42:O266,8,0)</f>
        <v>355</v>
      </c>
      <c r="Q42" s="179">
        <f>VLOOKUP(A42,'OI(Value)'!A42:O266,9,0)</f>
        <v>-848</v>
      </c>
      <c r="R42" s="179">
        <f>VLOOKUP(A42,'OI(Value)'!A42:O266,11,0)</f>
        <v>178</v>
      </c>
      <c r="S42" s="179">
        <f>VLOOKUP(A42,'OI(Value)'!A42:O266,11,0)</f>
        <v>178</v>
      </c>
    </row>
    <row r="43" spans="1:19" x14ac:dyDescent="0.25">
      <c r="A43" s="105" t="str">
        <f>'Data Vlaue (Cr)'!C38</f>
        <v>BPCL</v>
      </c>
      <c r="B43" s="143">
        <f>VLOOKUP($A43,'Data shares'!$C:$FA,118)</f>
        <v>0.75</v>
      </c>
      <c r="C43" s="143">
        <f>VLOOKUP($A43,'Data shares'!$C:$FA,119)</f>
        <v>0.75</v>
      </c>
      <c r="D43" s="143">
        <f>VLOOKUP($A43,'Data shares'!$C:$FA,121)*100</f>
        <v>0</v>
      </c>
      <c r="E43" s="143">
        <f>VLOOKUP($A43,'Data shares'!$C:$FA,124)</f>
        <v>0.55000000000000004</v>
      </c>
      <c r="F43" s="143">
        <f>VLOOKUP($A43,'Data shares'!$C:$FA,125)</f>
        <v>0.42</v>
      </c>
      <c r="G43" s="143">
        <f>VLOOKUP($A43,'Data shares'!$C:$FA,127)*100</f>
        <v>30.95</v>
      </c>
      <c r="H43" s="103">
        <f>VLOOKUP($A43,'OI(Volume)'!$A$7:$O$445,8)</f>
        <v>8249575</v>
      </c>
      <c r="I43" s="103">
        <f>VLOOKUP($A43,'OI(Volume)'!$A$7:$O$445,9)</f>
        <v>-17715750</v>
      </c>
      <c r="J43" s="103">
        <f>VLOOKUP($A43,'OI(Volume)'!$A$7:$O$445,11)</f>
        <v>6213350</v>
      </c>
      <c r="K43" s="103">
        <f>VLOOKUP($A43,'OI(Volume)'!$A$7:$O$445,12)</f>
        <v>-13380625</v>
      </c>
      <c r="L43" s="103">
        <f>VLOOKUP($A43,'OI(Value)'!$A$7:$O$329,8,0)</f>
        <v>253</v>
      </c>
      <c r="M43" s="103">
        <f>VLOOKUP($A43,'OI(Value)'!$A$7:$O$329,9,0)</f>
        <v>-543</v>
      </c>
      <c r="N43" s="103">
        <f>VLOOKUP($A43,'OI(Value)'!$A$7:$O$329,11,0)</f>
        <v>190</v>
      </c>
      <c r="O43" s="103">
        <f>VLOOKUP($A43,'OI(Value)'!$A$7:$O$329,12,0)</f>
        <v>-410</v>
      </c>
      <c r="P43" s="179">
        <f>VLOOKUP(A43,'OI(Value)'!A43:O267,8,0)</f>
        <v>253</v>
      </c>
      <c r="Q43" s="179">
        <f>VLOOKUP(A43,'OI(Value)'!A43:O267,9,0)</f>
        <v>-543</v>
      </c>
      <c r="R43" s="179">
        <f>VLOOKUP(A43,'OI(Value)'!A43:O267,11,0)</f>
        <v>190</v>
      </c>
      <c r="S43" s="179">
        <f>VLOOKUP(A43,'OI(Value)'!A43:O267,11,0)</f>
        <v>190</v>
      </c>
    </row>
    <row r="44" spans="1:19" x14ac:dyDescent="0.25">
      <c r="A44" s="105" t="str">
        <f>'Data Vlaue (Cr)'!C39</f>
        <v>BRITANNIA</v>
      </c>
      <c r="B44" s="143">
        <f>VLOOKUP($A44,'Data shares'!$C:$FA,118)</f>
        <v>0.97</v>
      </c>
      <c r="C44" s="143">
        <f>VLOOKUP($A44,'Data shares'!$C:$FA,119)</f>
        <v>0.57999999999999996</v>
      </c>
      <c r="D44" s="143">
        <f>VLOOKUP($A44,'Data shares'!$C:$FA,121)*100</f>
        <v>67.239999999999995</v>
      </c>
      <c r="E44" s="143">
        <f>VLOOKUP($A44,'Data shares'!$C:$FA,124)</f>
        <v>0.47</v>
      </c>
      <c r="F44" s="143">
        <f>VLOOKUP($A44,'Data shares'!$C:$FA,125)</f>
        <v>0.45</v>
      </c>
      <c r="G44" s="143">
        <f>VLOOKUP($A44,'Data shares'!$C:$FA,127)*100</f>
        <v>4.4400000000000004</v>
      </c>
      <c r="H44" s="103">
        <f>VLOOKUP($A44,'OI(Volume)'!$A$7:$O$445,8)</f>
        <v>376625</v>
      </c>
      <c r="I44" s="103">
        <f>VLOOKUP($A44,'OI(Volume)'!$A$7:$O$445,9)</f>
        <v>-1575625</v>
      </c>
      <c r="J44" s="103">
        <f>VLOOKUP($A44,'OI(Volume)'!$A$7:$O$445,11)</f>
        <v>365500</v>
      </c>
      <c r="K44" s="103">
        <f>VLOOKUP($A44,'OI(Volume)'!$A$7:$O$445,12)</f>
        <v>-760750</v>
      </c>
      <c r="L44" s="103">
        <f>VLOOKUP($A44,'OI(Value)'!$A$7:$O$329,8,0)</f>
        <v>202</v>
      </c>
      <c r="M44" s="103">
        <f>VLOOKUP($A44,'OI(Value)'!$A$7:$O$329,9,0)</f>
        <v>-845</v>
      </c>
      <c r="N44" s="103">
        <f>VLOOKUP($A44,'OI(Value)'!$A$7:$O$329,11,0)</f>
        <v>196</v>
      </c>
      <c r="O44" s="103">
        <f>VLOOKUP($A44,'OI(Value)'!$A$7:$O$329,12,0)</f>
        <v>-408</v>
      </c>
      <c r="P44" s="179">
        <f>VLOOKUP(A44,'OI(Value)'!A44:O268,8,0)</f>
        <v>202</v>
      </c>
      <c r="Q44" s="179">
        <f>VLOOKUP(A44,'OI(Value)'!A44:O268,9,0)</f>
        <v>-845</v>
      </c>
      <c r="R44" s="179">
        <f>VLOOKUP(A44,'OI(Value)'!A44:O268,11,0)</f>
        <v>196</v>
      </c>
      <c r="S44" s="179">
        <f>VLOOKUP(A44,'OI(Value)'!A44:O268,11,0)</f>
        <v>196</v>
      </c>
    </row>
    <row r="45" spans="1:19" x14ac:dyDescent="0.25">
      <c r="A45" s="105" t="str">
        <f>'Data Vlaue (Cr)'!C40</f>
        <v>BSE</v>
      </c>
      <c r="B45" s="143">
        <f>VLOOKUP($A45,'Data shares'!$C:$FA,118)</f>
        <v>0.99</v>
      </c>
      <c r="C45" s="143">
        <f>VLOOKUP($A45,'Data shares'!$C:$FA,119)</f>
        <v>1.1200000000000001</v>
      </c>
      <c r="D45" s="143">
        <f>VLOOKUP($A45,'Data shares'!$C:$FA,121)*100</f>
        <v>-11.61</v>
      </c>
      <c r="E45" s="143">
        <f>VLOOKUP($A45,'Data shares'!$C:$FA,124)</f>
        <v>0.75</v>
      </c>
      <c r="F45" s="143">
        <f>VLOOKUP($A45,'Data shares'!$C:$FA,125)</f>
        <v>0.87</v>
      </c>
      <c r="G45" s="143">
        <f>VLOOKUP($A45,'Data shares'!$C:$FA,127)*100</f>
        <v>-13.79</v>
      </c>
      <c r="H45" s="103">
        <f>VLOOKUP($A45,'OI(Volume)'!$A$7:$O$445,8)</f>
        <v>3963100</v>
      </c>
      <c r="I45" s="103">
        <f>VLOOKUP($A45,'OI(Volume)'!$A$7:$O$445,9)</f>
        <v>-3640500</v>
      </c>
      <c r="J45" s="103">
        <f>VLOOKUP($A45,'OI(Volume)'!$A$7:$O$445,11)</f>
        <v>3920750</v>
      </c>
      <c r="K45" s="103">
        <f>VLOOKUP($A45,'OI(Volume)'!$A$7:$O$445,12)</f>
        <v>-4629100</v>
      </c>
      <c r="L45" s="103">
        <f>VLOOKUP($A45,'OI(Value)'!$A$7:$O$329,8,0)</f>
        <v>1752</v>
      </c>
      <c r="M45" s="103">
        <f>VLOOKUP($A45,'OI(Value)'!$A$7:$O$329,9,0)</f>
        <v>-1610</v>
      </c>
      <c r="N45" s="103">
        <f>VLOOKUP($A45,'OI(Value)'!$A$7:$O$329,11,0)</f>
        <v>1734</v>
      </c>
      <c r="O45" s="103">
        <f>VLOOKUP($A45,'OI(Value)'!$A$7:$O$329,12,0)</f>
        <v>-2047</v>
      </c>
      <c r="P45" s="179">
        <f>VLOOKUP(A45,'OI(Value)'!A45:O269,8,0)</f>
        <v>1752</v>
      </c>
      <c r="Q45" s="179">
        <f>VLOOKUP(A45,'OI(Value)'!A45:O269,9,0)</f>
        <v>-1610</v>
      </c>
      <c r="R45" s="179">
        <f>VLOOKUP(A45,'OI(Value)'!A45:O269,11,0)</f>
        <v>1734</v>
      </c>
      <c r="S45" s="179">
        <f>VLOOKUP(A45,'OI(Value)'!A45:O269,11,0)</f>
        <v>1734</v>
      </c>
    </row>
    <row r="46" spans="1:19" x14ac:dyDescent="0.25">
      <c r="A46" s="105" t="str">
        <f>'Data Vlaue (Cr)'!C41</f>
        <v>CAMS</v>
      </c>
      <c r="B46" s="143">
        <f>VLOOKUP($A46,'Data shares'!$C:$FA,118)</f>
        <v>0.71</v>
      </c>
      <c r="C46" s="143">
        <f>VLOOKUP($A46,'Data shares'!$C:$FA,119)</f>
        <v>0.77</v>
      </c>
      <c r="D46" s="143">
        <f>VLOOKUP($A46,'Data shares'!$C:$FA,121)*100</f>
        <v>-7.79</v>
      </c>
      <c r="E46" s="143">
        <f>VLOOKUP($A46,'Data shares'!$C:$FA,124)</f>
        <v>0.4</v>
      </c>
      <c r="F46" s="143">
        <f>VLOOKUP($A46,'Data shares'!$C:$FA,125)</f>
        <v>0.56000000000000005</v>
      </c>
      <c r="G46" s="143">
        <f>VLOOKUP($A46,'Data shares'!$C:$FA,127)*100</f>
        <v>-28.57</v>
      </c>
      <c r="H46" s="103">
        <f>VLOOKUP($A46,'OI(Volume)'!$A$7:$O$445,8)</f>
        <v>849750</v>
      </c>
      <c r="I46" s="103">
        <f>VLOOKUP($A46,'OI(Volume)'!$A$7:$O$445,9)</f>
        <v>-2972250</v>
      </c>
      <c r="J46" s="103">
        <f>VLOOKUP($A46,'OI(Volume)'!$A$7:$O$445,11)</f>
        <v>600750</v>
      </c>
      <c r="K46" s="103">
        <f>VLOOKUP($A46,'OI(Volume)'!$A$7:$O$445,12)</f>
        <v>-2330250</v>
      </c>
      <c r="L46" s="103">
        <f>VLOOKUP($A46,'OI(Value)'!$A$7:$O$329,8,0)</f>
        <v>66</v>
      </c>
      <c r="M46" s="103">
        <f>VLOOKUP($A46,'OI(Value)'!$A$7:$O$329,9,0)</f>
        <v>-230</v>
      </c>
      <c r="N46" s="103">
        <f>VLOOKUP($A46,'OI(Value)'!$A$7:$O$329,11,0)</f>
        <v>47</v>
      </c>
      <c r="O46" s="103">
        <f>VLOOKUP($A46,'OI(Value)'!$A$7:$O$329,12,0)</f>
        <v>-181</v>
      </c>
      <c r="P46" s="179">
        <f>VLOOKUP(A46,'OI(Value)'!A46:O270,8,0)</f>
        <v>66</v>
      </c>
      <c r="Q46" s="179">
        <f>VLOOKUP(A46,'OI(Value)'!A46:O270,9,0)</f>
        <v>-230</v>
      </c>
      <c r="R46" s="179">
        <f>VLOOKUP(A46,'OI(Value)'!A46:O270,11,0)</f>
        <v>47</v>
      </c>
      <c r="S46" s="179">
        <f>VLOOKUP(A46,'OI(Value)'!A46:O270,11,0)</f>
        <v>47</v>
      </c>
    </row>
    <row r="47" spans="1:19" x14ac:dyDescent="0.25">
      <c r="A47" s="105" t="str">
        <f>'Data Vlaue (Cr)'!C42</f>
        <v>CANBK</v>
      </c>
      <c r="B47" s="143">
        <f>VLOOKUP($A47,'Data shares'!$C:$FA,118)</f>
        <v>1.1499999999999999</v>
      </c>
      <c r="C47" s="143">
        <f>VLOOKUP($A47,'Data shares'!$C:$FA,119)</f>
        <v>0.83</v>
      </c>
      <c r="D47" s="143">
        <f>VLOOKUP($A47,'Data shares'!$C:$FA,121)*100</f>
        <v>38.550000000000004</v>
      </c>
      <c r="E47" s="143">
        <f>VLOOKUP($A47,'Data shares'!$C:$FA,124)</f>
        <v>0.6</v>
      </c>
      <c r="F47" s="143">
        <f>VLOOKUP($A47,'Data shares'!$C:$FA,125)</f>
        <v>0.71</v>
      </c>
      <c r="G47" s="143">
        <f>VLOOKUP($A47,'Data shares'!$C:$FA,127)*100</f>
        <v>-15.49</v>
      </c>
      <c r="H47" s="103">
        <f>VLOOKUP($A47,'OI(Volume)'!$A$7:$O$445,8)</f>
        <v>36571500</v>
      </c>
      <c r="I47" s="103">
        <f>VLOOKUP($A47,'OI(Volume)'!$A$7:$O$445,9)</f>
        <v>-61600500</v>
      </c>
      <c r="J47" s="103">
        <f>VLOOKUP($A47,'OI(Volume)'!$A$7:$O$445,11)</f>
        <v>42005250</v>
      </c>
      <c r="K47" s="103">
        <f>VLOOKUP($A47,'OI(Volume)'!$A$7:$O$445,12)</f>
        <v>-39804750</v>
      </c>
      <c r="L47" s="103">
        <f>VLOOKUP($A47,'OI(Value)'!$A$7:$O$329,8,0)</f>
        <v>491</v>
      </c>
      <c r="M47" s="103">
        <f>VLOOKUP($A47,'OI(Value)'!$A$7:$O$329,9,0)</f>
        <v>-827</v>
      </c>
      <c r="N47" s="103">
        <f>VLOOKUP($A47,'OI(Value)'!$A$7:$O$329,11,0)</f>
        <v>564</v>
      </c>
      <c r="O47" s="103">
        <f>VLOOKUP($A47,'OI(Value)'!$A$7:$O$329,12,0)</f>
        <v>-534</v>
      </c>
      <c r="P47" s="179">
        <f>VLOOKUP(A47,'OI(Value)'!A47:O271,8,0)</f>
        <v>491</v>
      </c>
      <c r="Q47" s="179">
        <f>VLOOKUP(A47,'OI(Value)'!A47:O271,9,0)</f>
        <v>-827</v>
      </c>
      <c r="R47" s="179">
        <f>VLOOKUP(A47,'OI(Value)'!A47:O271,11,0)</f>
        <v>564</v>
      </c>
      <c r="S47" s="179">
        <f>VLOOKUP(A47,'OI(Value)'!A47:O271,11,0)</f>
        <v>564</v>
      </c>
    </row>
    <row r="48" spans="1:19" x14ac:dyDescent="0.25">
      <c r="A48" s="105" t="str">
        <f>'Data Vlaue (Cr)'!C43</f>
        <v>CDSL</v>
      </c>
      <c r="B48" s="143">
        <f>VLOOKUP($A48,'Data shares'!$C:$FA,118)</f>
        <v>0.82</v>
      </c>
      <c r="C48" s="143">
        <f>VLOOKUP($A48,'Data shares'!$C:$FA,119)</f>
        <v>0.67</v>
      </c>
      <c r="D48" s="143">
        <f>VLOOKUP($A48,'Data shares'!$C:$FA,121)*100</f>
        <v>22.39</v>
      </c>
      <c r="E48" s="143">
        <f>VLOOKUP($A48,'Data shares'!$C:$FA,124)</f>
        <v>0.5</v>
      </c>
      <c r="F48" s="143">
        <f>VLOOKUP($A48,'Data shares'!$C:$FA,125)</f>
        <v>0.44</v>
      </c>
      <c r="G48" s="143">
        <f>VLOOKUP($A48,'Data shares'!$C:$FA,127)*100</f>
        <v>13.639999999999999</v>
      </c>
      <c r="H48" s="103">
        <f>VLOOKUP($A48,'OI(Volume)'!$A$7:$O$445,8)</f>
        <v>4136775</v>
      </c>
      <c r="I48" s="103">
        <f>VLOOKUP($A48,'OI(Volume)'!$A$7:$O$445,9)</f>
        <v>-4820775</v>
      </c>
      <c r="J48" s="103">
        <f>VLOOKUP($A48,'OI(Volume)'!$A$7:$O$445,11)</f>
        <v>3407175</v>
      </c>
      <c r="K48" s="103">
        <f>VLOOKUP($A48,'OI(Volume)'!$A$7:$O$445,12)</f>
        <v>-2599675</v>
      </c>
      <c r="L48" s="103">
        <f>VLOOKUP($A48,'OI(Value)'!$A$7:$O$329,8,0)</f>
        <v>510</v>
      </c>
      <c r="M48" s="103">
        <f>VLOOKUP($A48,'OI(Value)'!$A$7:$O$329,9,0)</f>
        <v>-595</v>
      </c>
      <c r="N48" s="103">
        <f>VLOOKUP($A48,'OI(Value)'!$A$7:$O$329,11,0)</f>
        <v>420</v>
      </c>
      <c r="O48" s="103">
        <f>VLOOKUP($A48,'OI(Value)'!$A$7:$O$329,12,0)</f>
        <v>-321</v>
      </c>
      <c r="P48" s="179">
        <f>VLOOKUP(A48,'OI(Value)'!A48:O272,8,0)</f>
        <v>510</v>
      </c>
      <c r="Q48" s="179">
        <f>VLOOKUP(A48,'OI(Value)'!A48:O272,9,0)</f>
        <v>-595</v>
      </c>
      <c r="R48" s="179">
        <f>VLOOKUP(A48,'OI(Value)'!A48:O272,11,0)</f>
        <v>420</v>
      </c>
      <c r="S48" s="179">
        <f>VLOOKUP(A48,'OI(Value)'!A48:O272,11,0)</f>
        <v>420</v>
      </c>
    </row>
    <row r="49" spans="1:19" x14ac:dyDescent="0.25">
      <c r="A49" s="105" t="str">
        <f>'Data Vlaue (Cr)'!C44</f>
        <v>CGPOWER</v>
      </c>
      <c r="B49" s="143">
        <f>VLOOKUP($A49,'Data shares'!$C:$FA,118)</f>
        <v>0.65</v>
      </c>
      <c r="C49" s="143">
        <f>VLOOKUP($A49,'Data shares'!$C:$FA,119)</f>
        <v>0.86</v>
      </c>
      <c r="D49" s="143">
        <f>VLOOKUP($A49,'Data shares'!$C:$FA,121)*100</f>
        <v>-24.42</v>
      </c>
      <c r="E49" s="143">
        <f>VLOOKUP($A49,'Data shares'!$C:$FA,124)</f>
        <v>0.25</v>
      </c>
      <c r="F49" s="143">
        <f>VLOOKUP($A49,'Data shares'!$C:$FA,125)</f>
        <v>0.41</v>
      </c>
      <c r="G49" s="143">
        <f>VLOOKUP($A49,'Data shares'!$C:$FA,127)*100</f>
        <v>-39.019999999999996</v>
      </c>
      <c r="H49" s="103">
        <f>VLOOKUP($A49,'OI(Volume)'!$A$7:$O$445,8)</f>
        <v>2674950</v>
      </c>
      <c r="I49" s="103">
        <f>VLOOKUP($A49,'OI(Volume)'!$A$7:$O$445,9)</f>
        <v>-3420400</v>
      </c>
      <c r="J49" s="103">
        <f>VLOOKUP($A49,'OI(Volume)'!$A$7:$O$445,11)</f>
        <v>1726350</v>
      </c>
      <c r="K49" s="103">
        <f>VLOOKUP($A49,'OI(Volume)'!$A$7:$O$445,12)</f>
        <v>-3543650</v>
      </c>
      <c r="L49" s="103">
        <f>VLOOKUP($A49,'OI(Value)'!$A$7:$O$329,8,0)</f>
        <v>237</v>
      </c>
      <c r="M49" s="103">
        <f>VLOOKUP($A49,'OI(Value)'!$A$7:$O$329,9,0)</f>
        <v>-302</v>
      </c>
      <c r="N49" s="103">
        <f>VLOOKUP($A49,'OI(Value)'!$A$7:$O$329,11,0)</f>
        <v>153</v>
      </c>
      <c r="O49" s="103">
        <f>VLOOKUP($A49,'OI(Value)'!$A$7:$O$329,12,0)</f>
        <v>-313</v>
      </c>
      <c r="P49" s="179">
        <f>VLOOKUP(A49,'OI(Value)'!A49:O273,8,0)</f>
        <v>237</v>
      </c>
      <c r="Q49" s="179">
        <f>VLOOKUP(A49,'OI(Value)'!A49:O273,9,0)</f>
        <v>-302</v>
      </c>
      <c r="R49" s="179">
        <f>VLOOKUP(A49,'OI(Value)'!A49:O273,11,0)</f>
        <v>153</v>
      </c>
      <c r="S49" s="179">
        <f>VLOOKUP(A49,'OI(Value)'!A49:O273,11,0)</f>
        <v>153</v>
      </c>
    </row>
    <row r="50" spans="1:19" x14ac:dyDescent="0.25">
      <c r="A50" s="105" t="str">
        <f>'Data Vlaue (Cr)'!C45</f>
        <v>CHOLAFIN</v>
      </c>
      <c r="B50" s="143">
        <f>VLOOKUP($A50,'Data shares'!$C:$FA,118)</f>
        <v>0.74</v>
      </c>
      <c r="C50" s="143">
        <f>VLOOKUP($A50,'Data shares'!$C:$FA,119)</f>
        <v>0.72</v>
      </c>
      <c r="D50" s="143">
        <f>VLOOKUP($A50,'Data shares'!$C:$FA,121)*100</f>
        <v>2.78</v>
      </c>
      <c r="E50" s="143">
        <f>VLOOKUP($A50,'Data shares'!$C:$FA,124)</f>
        <v>1.29</v>
      </c>
      <c r="F50" s="143">
        <f>VLOOKUP($A50,'Data shares'!$C:$FA,125)</f>
        <v>0.49</v>
      </c>
      <c r="G50" s="143">
        <f>VLOOKUP($A50,'Data shares'!$C:$FA,127)*100</f>
        <v>163.27000000000001</v>
      </c>
      <c r="H50" s="103">
        <f>VLOOKUP($A50,'OI(Volume)'!$A$7:$O$445,8)</f>
        <v>1352500</v>
      </c>
      <c r="I50" s="103">
        <f>VLOOKUP($A50,'OI(Volume)'!$A$7:$O$445,9)</f>
        <v>-2276250</v>
      </c>
      <c r="J50" s="103">
        <f>VLOOKUP($A50,'OI(Volume)'!$A$7:$O$445,11)</f>
        <v>996875</v>
      </c>
      <c r="K50" s="103">
        <f>VLOOKUP($A50,'OI(Volume)'!$A$7:$O$445,12)</f>
        <v>-1613125</v>
      </c>
      <c r="L50" s="103">
        <f>VLOOKUP($A50,'OI(Value)'!$A$7:$O$329,8,0)</f>
        <v>214</v>
      </c>
      <c r="M50" s="103">
        <f>VLOOKUP($A50,'OI(Value)'!$A$7:$O$329,9,0)</f>
        <v>-360</v>
      </c>
      <c r="N50" s="103">
        <f>VLOOKUP($A50,'OI(Value)'!$A$7:$O$329,11,0)</f>
        <v>157</v>
      </c>
      <c r="O50" s="103">
        <f>VLOOKUP($A50,'OI(Value)'!$A$7:$O$329,12,0)</f>
        <v>-255</v>
      </c>
      <c r="P50" s="179">
        <f>VLOOKUP(A50,'OI(Value)'!A50:O274,8,0)</f>
        <v>214</v>
      </c>
      <c r="Q50" s="179">
        <f>VLOOKUP(A50,'OI(Value)'!A50:O274,9,0)</f>
        <v>-360</v>
      </c>
      <c r="R50" s="179">
        <f>VLOOKUP(A50,'OI(Value)'!A50:O274,11,0)</f>
        <v>157</v>
      </c>
      <c r="S50" s="179">
        <f>VLOOKUP(A50,'OI(Value)'!A50:O274,11,0)</f>
        <v>157</v>
      </c>
    </row>
    <row r="51" spans="1:19" x14ac:dyDescent="0.25">
      <c r="A51" s="105" t="str">
        <f>'Data Vlaue (Cr)'!C46</f>
        <v>CIPLA</v>
      </c>
      <c r="B51" s="143">
        <f>VLOOKUP($A51,'Data shares'!$C:$FA,118)</f>
        <v>0.83</v>
      </c>
      <c r="C51" s="143">
        <f>VLOOKUP($A51,'Data shares'!$C:$FA,119)</f>
        <v>0.92</v>
      </c>
      <c r="D51" s="143">
        <f>VLOOKUP($A51,'Data shares'!$C:$FA,121)*100</f>
        <v>-9.7799999999999994</v>
      </c>
      <c r="E51" s="143">
        <f>VLOOKUP($A51,'Data shares'!$C:$FA,124)</f>
        <v>0.71</v>
      </c>
      <c r="F51" s="143">
        <f>VLOOKUP($A51,'Data shares'!$C:$FA,125)</f>
        <v>0.51</v>
      </c>
      <c r="G51" s="143">
        <f>VLOOKUP($A51,'Data shares'!$C:$FA,127)*100</f>
        <v>39.22</v>
      </c>
      <c r="H51" s="103">
        <f>VLOOKUP($A51,'OI(Volume)'!$A$7:$O$445,8)</f>
        <v>1738050</v>
      </c>
      <c r="I51" s="103">
        <f>VLOOKUP($A51,'OI(Volume)'!$A$7:$O$445,9)</f>
        <v>-6520125</v>
      </c>
      <c r="J51" s="103">
        <f>VLOOKUP($A51,'OI(Volume)'!$A$7:$O$445,11)</f>
        <v>1439250</v>
      </c>
      <c r="K51" s="103">
        <f>VLOOKUP($A51,'OI(Volume)'!$A$7:$O$445,12)</f>
        <v>-6121875</v>
      </c>
      <c r="L51" s="103">
        <f>VLOOKUP($A51,'OI(Value)'!$A$7:$O$329,8,0)</f>
        <v>246</v>
      </c>
      <c r="M51" s="103">
        <f>VLOOKUP($A51,'OI(Value)'!$A$7:$O$329,9,0)</f>
        <v>-924</v>
      </c>
      <c r="N51" s="103">
        <f>VLOOKUP($A51,'OI(Value)'!$A$7:$O$329,11,0)</f>
        <v>204</v>
      </c>
      <c r="O51" s="103">
        <f>VLOOKUP($A51,'OI(Value)'!$A$7:$O$329,12,0)</f>
        <v>-867</v>
      </c>
      <c r="P51" s="179">
        <f>VLOOKUP(A51,'OI(Value)'!A51:O275,8,0)</f>
        <v>246</v>
      </c>
      <c r="Q51" s="179">
        <f>VLOOKUP(A51,'OI(Value)'!A51:O275,9,0)</f>
        <v>-924</v>
      </c>
      <c r="R51" s="179">
        <f>VLOOKUP(A51,'OI(Value)'!A51:O275,11,0)</f>
        <v>204</v>
      </c>
      <c r="S51" s="179">
        <f>VLOOKUP(A51,'OI(Value)'!A51:O275,11,0)</f>
        <v>204</v>
      </c>
    </row>
    <row r="52" spans="1:19" x14ac:dyDescent="0.25">
      <c r="A52" s="105" t="str">
        <f>'Data Vlaue (Cr)'!C47</f>
        <v>COALINDIA</v>
      </c>
      <c r="B52" s="143">
        <f>VLOOKUP($A52,'Data shares'!$C:$FA,118)</f>
        <v>0.93</v>
      </c>
      <c r="C52" s="143">
        <f>VLOOKUP($A52,'Data shares'!$C:$FA,119)</f>
        <v>0.59</v>
      </c>
      <c r="D52" s="143">
        <f>VLOOKUP($A52,'Data shares'!$C:$FA,121)*100</f>
        <v>57.63</v>
      </c>
      <c r="E52" s="143">
        <f>VLOOKUP($A52,'Data shares'!$C:$FA,124)</f>
        <v>0.65</v>
      </c>
      <c r="F52" s="143">
        <f>VLOOKUP($A52,'Data shares'!$C:$FA,125)</f>
        <v>0.88</v>
      </c>
      <c r="G52" s="143">
        <f>VLOOKUP($A52,'Data shares'!$C:$FA,127)*100</f>
        <v>-26.14</v>
      </c>
      <c r="H52" s="103">
        <f>VLOOKUP($A52,'OI(Volume)'!$A$7:$O$445,8)</f>
        <v>20002950</v>
      </c>
      <c r="I52" s="103">
        <f>VLOOKUP($A52,'OI(Volume)'!$A$7:$O$445,9)</f>
        <v>-15511500</v>
      </c>
      <c r="J52" s="103">
        <f>VLOOKUP($A52,'OI(Volume)'!$A$7:$O$445,11)</f>
        <v>18592200</v>
      </c>
      <c r="K52" s="103">
        <f>VLOOKUP($A52,'OI(Volume)'!$A$7:$O$445,12)</f>
        <v>-2330100</v>
      </c>
      <c r="L52" s="103">
        <f>VLOOKUP($A52,'OI(Value)'!$A$7:$O$329,8,0)</f>
        <v>913</v>
      </c>
      <c r="M52" s="103">
        <f>VLOOKUP($A52,'OI(Value)'!$A$7:$O$329,9,0)</f>
        <v>-708</v>
      </c>
      <c r="N52" s="103">
        <f>VLOOKUP($A52,'OI(Value)'!$A$7:$O$329,11,0)</f>
        <v>849</v>
      </c>
      <c r="O52" s="103">
        <f>VLOOKUP($A52,'OI(Value)'!$A$7:$O$329,12,0)</f>
        <v>-106</v>
      </c>
      <c r="P52" s="179">
        <f>VLOOKUP(A52,'OI(Value)'!A52:O276,8,0)</f>
        <v>913</v>
      </c>
      <c r="Q52" s="179">
        <f>VLOOKUP(A52,'OI(Value)'!A52:O276,9,0)</f>
        <v>-708</v>
      </c>
      <c r="R52" s="179">
        <f>VLOOKUP(A52,'OI(Value)'!A52:O276,11,0)</f>
        <v>849</v>
      </c>
      <c r="S52" s="179">
        <f>VLOOKUP(A52,'OI(Value)'!A52:O276,11,0)</f>
        <v>849</v>
      </c>
    </row>
    <row r="53" spans="1:19" x14ac:dyDescent="0.25">
      <c r="A53" s="105" t="str">
        <f>'Data Vlaue (Cr)'!C48</f>
        <v>COCHINSHIP</v>
      </c>
      <c r="B53" s="143">
        <f>VLOOKUP($A53,'Data shares'!$C:$FA,118)</f>
        <v>0.71</v>
      </c>
      <c r="C53" s="143">
        <f>VLOOKUP($A53,'Data shares'!$C:$FA,119)</f>
        <v>0.53</v>
      </c>
      <c r="D53" s="143">
        <f>VLOOKUP($A53,'Data shares'!$C:$FA,121)*100</f>
        <v>33.96</v>
      </c>
      <c r="E53" s="143">
        <f>VLOOKUP($A53,'Data shares'!$C:$FA,124)</f>
        <v>0.44</v>
      </c>
      <c r="F53" s="143">
        <f>VLOOKUP($A53,'Data shares'!$C:$FA,125)</f>
        <v>0.46</v>
      </c>
      <c r="G53" s="143">
        <f>VLOOKUP($A53,'Data shares'!$C:$FA,127)*100</f>
        <v>-4.3499999999999996</v>
      </c>
      <c r="H53" s="103">
        <f>VLOOKUP($A53,'OI(Volume)'!$A$7:$O$445,8)</f>
        <v>479200</v>
      </c>
      <c r="I53" s="103">
        <f>VLOOKUP($A53,'OI(Volume)'!$A$7:$O$445,9)</f>
        <v>-1584000</v>
      </c>
      <c r="J53" s="103">
        <f>VLOOKUP($A53,'OI(Volume)'!$A$7:$O$445,11)</f>
        <v>340800</v>
      </c>
      <c r="K53" s="103">
        <f>VLOOKUP($A53,'OI(Volume)'!$A$7:$O$445,12)</f>
        <v>-748400</v>
      </c>
      <c r="L53" s="103">
        <f>VLOOKUP($A53,'OI(Value)'!$A$7:$O$329,8,0)</f>
        <v>74</v>
      </c>
      <c r="M53" s="103">
        <f>VLOOKUP($A53,'OI(Value)'!$A$7:$O$329,9,0)</f>
        <v>-243</v>
      </c>
      <c r="N53" s="103">
        <f>VLOOKUP($A53,'OI(Value)'!$A$7:$O$329,11,0)</f>
        <v>52</v>
      </c>
      <c r="O53" s="103">
        <f>VLOOKUP($A53,'OI(Value)'!$A$7:$O$329,12,0)</f>
        <v>-115</v>
      </c>
      <c r="P53" s="179">
        <f>VLOOKUP(A53,'OI(Value)'!A53:O277,8,0)</f>
        <v>74</v>
      </c>
      <c r="Q53" s="179">
        <f>VLOOKUP(A53,'OI(Value)'!A53:O277,9,0)</f>
        <v>-243</v>
      </c>
      <c r="R53" s="179">
        <f>VLOOKUP(A53,'OI(Value)'!A53:O277,11,0)</f>
        <v>52</v>
      </c>
      <c r="S53" s="179">
        <f>VLOOKUP(A53,'OI(Value)'!A53:O277,11,0)</f>
        <v>52</v>
      </c>
    </row>
    <row r="54" spans="1:19" x14ac:dyDescent="0.25">
      <c r="A54" s="105" t="str">
        <f>'Data Vlaue (Cr)'!C49</f>
        <v>COFORGE</v>
      </c>
      <c r="B54" s="143">
        <f>VLOOKUP($A54,'Data shares'!$C:$FA,118)</f>
        <v>0.57999999999999996</v>
      </c>
      <c r="C54" s="143">
        <f>VLOOKUP($A54,'Data shares'!$C:$FA,119)</f>
        <v>0.81</v>
      </c>
      <c r="D54" s="143">
        <f>VLOOKUP($A54,'Data shares'!$C:$FA,121)*100</f>
        <v>-28.4</v>
      </c>
      <c r="E54" s="143">
        <f>VLOOKUP($A54,'Data shares'!$C:$FA,124)</f>
        <v>0.51</v>
      </c>
      <c r="F54" s="143">
        <f>VLOOKUP($A54,'Data shares'!$C:$FA,125)</f>
        <v>0.53</v>
      </c>
      <c r="G54" s="143">
        <f>VLOOKUP($A54,'Data shares'!$C:$FA,127)*100</f>
        <v>-3.7699999999999996</v>
      </c>
      <c r="H54" s="103">
        <f>VLOOKUP($A54,'OI(Volume)'!$A$7:$O$445,8)</f>
        <v>3818625</v>
      </c>
      <c r="I54" s="103">
        <f>VLOOKUP($A54,'OI(Volume)'!$A$7:$O$445,9)</f>
        <v>-6784500</v>
      </c>
      <c r="J54" s="103">
        <f>VLOOKUP($A54,'OI(Volume)'!$A$7:$O$445,11)</f>
        <v>2205950</v>
      </c>
      <c r="K54" s="103">
        <f>VLOOKUP($A54,'OI(Volume)'!$A$7:$O$445,12)</f>
        <v>-6368625</v>
      </c>
      <c r="L54" s="103">
        <f>VLOOKUP($A54,'OI(Value)'!$A$7:$O$329,8,0)</f>
        <v>544</v>
      </c>
      <c r="M54" s="103">
        <f>VLOOKUP($A54,'OI(Value)'!$A$7:$O$329,9,0)</f>
        <v>-966</v>
      </c>
      <c r="N54" s="103">
        <f>VLOOKUP($A54,'OI(Value)'!$A$7:$O$329,11,0)</f>
        <v>314</v>
      </c>
      <c r="O54" s="103">
        <f>VLOOKUP($A54,'OI(Value)'!$A$7:$O$329,12,0)</f>
        <v>-907</v>
      </c>
      <c r="P54" s="179">
        <f>VLOOKUP(A54,'OI(Value)'!A54:O278,8,0)</f>
        <v>544</v>
      </c>
      <c r="Q54" s="179">
        <f>VLOOKUP(A54,'OI(Value)'!A54:O278,9,0)</f>
        <v>-966</v>
      </c>
      <c r="R54" s="179">
        <f>VLOOKUP(A54,'OI(Value)'!A54:O278,11,0)</f>
        <v>314</v>
      </c>
      <c r="S54" s="179">
        <f>VLOOKUP(A54,'OI(Value)'!A54:O278,11,0)</f>
        <v>314</v>
      </c>
    </row>
    <row r="55" spans="1:19" x14ac:dyDescent="0.25">
      <c r="A55" s="105" t="str">
        <f>'Data Vlaue (Cr)'!C50</f>
        <v>COLPAL</v>
      </c>
      <c r="B55" s="143">
        <f>VLOOKUP($A55,'Data shares'!$C:$FA,118)</f>
        <v>0.66</v>
      </c>
      <c r="C55" s="143">
        <f>VLOOKUP($A55,'Data shares'!$C:$FA,119)</f>
        <v>0.54</v>
      </c>
      <c r="D55" s="143">
        <f>VLOOKUP($A55,'Data shares'!$C:$FA,121)*100</f>
        <v>22.220000000000002</v>
      </c>
      <c r="E55" s="143">
        <f>VLOOKUP($A55,'Data shares'!$C:$FA,124)</f>
        <v>0.55000000000000004</v>
      </c>
      <c r="F55" s="143">
        <f>VLOOKUP($A55,'Data shares'!$C:$FA,125)</f>
        <v>0.82</v>
      </c>
      <c r="G55" s="143">
        <f>VLOOKUP($A55,'Data shares'!$C:$FA,127)*100</f>
        <v>-32.93</v>
      </c>
      <c r="H55" s="103">
        <f>VLOOKUP($A55,'OI(Volume)'!$A$7:$O$445,8)</f>
        <v>1438200</v>
      </c>
      <c r="I55" s="103">
        <f>VLOOKUP($A55,'OI(Volume)'!$A$7:$O$445,9)</f>
        <v>-690525</v>
      </c>
      <c r="J55" s="103">
        <f>VLOOKUP($A55,'OI(Volume)'!$A$7:$O$445,11)</f>
        <v>944875</v>
      </c>
      <c r="K55" s="103">
        <f>VLOOKUP($A55,'OI(Volume)'!$A$7:$O$445,12)</f>
        <v>-208300</v>
      </c>
      <c r="L55" s="103">
        <f>VLOOKUP($A55,'OI(Value)'!$A$7:$O$329,8,0)</f>
        <v>298</v>
      </c>
      <c r="M55" s="103">
        <f>VLOOKUP($A55,'OI(Value)'!$A$7:$O$329,9,0)</f>
        <v>-143</v>
      </c>
      <c r="N55" s="103">
        <f>VLOOKUP($A55,'OI(Value)'!$A$7:$O$329,11,0)</f>
        <v>196</v>
      </c>
      <c r="O55" s="103">
        <f>VLOOKUP($A55,'OI(Value)'!$A$7:$O$329,12,0)</f>
        <v>-43</v>
      </c>
      <c r="P55" s="179">
        <f>VLOOKUP(A55,'OI(Value)'!A55:O279,8,0)</f>
        <v>298</v>
      </c>
      <c r="Q55" s="179">
        <f>VLOOKUP(A55,'OI(Value)'!A55:O279,9,0)</f>
        <v>-143</v>
      </c>
      <c r="R55" s="179">
        <f>VLOOKUP(A55,'OI(Value)'!A55:O279,11,0)</f>
        <v>196</v>
      </c>
      <c r="S55" s="179">
        <f>VLOOKUP(A55,'OI(Value)'!A55:O279,11,0)</f>
        <v>196</v>
      </c>
    </row>
    <row r="56" spans="1:19" x14ac:dyDescent="0.25">
      <c r="A56" s="105" t="str">
        <f>'Data Vlaue (Cr)'!C51</f>
        <v>CONCOR</v>
      </c>
      <c r="B56" s="143">
        <f>VLOOKUP($A56,'Data shares'!$C:$FA,118)</f>
        <v>0.73</v>
      </c>
      <c r="C56" s="143">
        <f>VLOOKUP($A56,'Data shares'!$C:$FA,119)</f>
        <v>0.91</v>
      </c>
      <c r="D56" s="143">
        <f>VLOOKUP($A56,'Data shares'!$C:$FA,121)*100</f>
        <v>-19.78</v>
      </c>
      <c r="E56" s="143">
        <f>VLOOKUP($A56,'Data shares'!$C:$FA,124)</f>
        <v>0.82</v>
      </c>
      <c r="F56" s="143">
        <f>VLOOKUP($A56,'Data shares'!$C:$FA,125)</f>
        <v>0.74</v>
      </c>
      <c r="G56" s="143">
        <f>VLOOKUP($A56,'Data shares'!$C:$FA,127)*100</f>
        <v>10.81</v>
      </c>
      <c r="H56" s="103">
        <f>VLOOKUP($A56,'OI(Volume)'!$A$7:$O$445,8)</f>
        <v>7953750</v>
      </c>
      <c r="I56" s="103">
        <f>VLOOKUP($A56,'OI(Volume)'!$A$7:$O$445,9)</f>
        <v>2962500</v>
      </c>
      <c r="J56" s="103">
        <f>VLOOKUP($A56,'OI(Volume)'!$A$7:$O$445,11)</f>
        <v>5845000</v>
      </c>
      <c r="K56" s="103">
        <f>VLOOKUP($A56,'OI(Volume)'!$A$7:$O$445,12)</f>
        <v>1311250</v>
      </c>
      <c r="L56" s="103">
        <f>VLOOKUP($A56,'OI(Value)'!$A$7:$O$329,8,0)</f>
        <v>381</v>
      </c>
      <c r="M56" s="103">
        <f>VLOOKUP($A56,'OI(Value)'!$A$7:$O$329,9,0)</f>
        <v>142</v>
      </c>
      <c r="N56" s="103">
        <f>VLOOKUP($A56,'OI(Value)'!$A$7:$O$329,11,0)</f>
        <v>280</v>
      </c>
      <c r="O56" s="103">
        <f>VLOOKUP($A56,'OI(Value)'!$A$7:$O$329,12,0)</f>
        <v>63</v>
      </c>
      <c r="P56" s="179">
        <f>VLOOKUP(A56,'OI(Value)'!A56:O280,8,0)</f>
        <v>381</v>
      </c>
      <c r="Q56" s="179">
        <f>VLOOKUP(A56,'OI(Value)'!A56:O280,9,0)</f>
        <v>142</v>
      </c>
      <c r="R56" s="179">
        <f>VLOOKUP(A56,'OI(Value)'!A56:O280,11,0)</f>
        <v>280</v>
      </c>
      <c r="S56" s="179">
        <f>VLOOKUP(A56,'OI(Value)'!A56:O280,11,0)</f>
        <v>280</v>
      </c>
    </row>
    <row r="57" spans="1:19" x14ac:dyDescent="0.25">
      <c r="A57" s="105" t="str">
        <f>'Data Vlaue (Cr)'!C52</f>
        <v>CROMPTON</v>
      </c>
      <c r="B57" s="143">
        <f>VLOOKUP($A57,'Data shares'!$C:$FA,118)</f>
        <v>0.4</v>
      </c>
      <c r="C57" s="143">
        <f>VLOOKUP($A57,'Data shares'!$C:$FA,119)</f>
        <v>0.56999999999999995</v>
      </c>
      <c r="D57" s="143">
        <f>VLOOKUP($A57,'Data shares'!$C:$FA,121)*100</f>
        <v>-29.82</v>
      </c>
      <c r="E57" s="143">
        <f>VLOOKUP($A57,'Data shares'!$C:$FA,124)</f>
        <v>0.48</v>
      </c>
      <c r="F57" s="143">
        <f>VLOOKUP($A57,'Data shares'!$C:$FA,125)</f>
        <v>0.44</v>
      </c>
      <c r="G57" s="143">
        <f>VLOOKUP($A57,'Data shares'!$C:$FA,127)*100</f>
        <v>9.09</v>
      </c>
      <c r="H57" s="103">
        <f>VLOOKUP($A57,'OI(Volume)'!$A$7:$O$445,8)</f>
        <v>5171400</v>
      </c>
      <c r="I57" s="103">
        <f>VLOOKUP($A57,'OI(Volume)'!$A$7:$O$445,9)</f>
        <v>-13802400</v>
      </c>
      <c r="J57" s="103">
        <f>VLOOKUP($A57,'OI(Volume)'!$A$7:$O$445,11)</f>
        <v>2061000</v>
      </c>
      <c r="K57" s="103">
        <f>VLOOKUP($A57,'OI(Volume)'!$A$7:$O$445,12)</f>
        <v>-8766000</v>
      </c>
      <c r="L57" s="103">
        <f>VLOOKUP($A57,'OI(Value)'!$A$7:$O$329,8,0)</f>
        <v>150</v>
      </c>
      <c r="M57" s="103">
        <f>VLOOKUP($A57,'OI(Value)'!$A$7:$O$329,9,0)</f>
        <v>-401</v>
      </c>
      <c r="N57" s="103">
        <f>VLOOKUP($A57,'OI(Value)'!$A$7:$O$329,11,0)</f>
        <v>60</v>
      </c>
      <c r="O57" s="103">
        <f>VLOOKUP($A57,'OI(Value)'!$A$7:$O$329,12,0)</f>
        <v>-255</v>
      </c>
      <c r="P57" s="179">
        <f>VLOOKUP(A57,'OI(Value)'!A57:O281,8,0)</f>
        <v>150</v>
      </c>
      <c r="Q57" s="179">
        <f>VLOOKUP(A57,'OI(Value)'!A57:O281,9,0)</f>
        <v>-401</v>
      </c>
      <c r="R57" s="179">
        <f>VLOOKUP(A57,'OI(Value)'!A57:O281,11,0)</f>
        <v>60</v>
      </c>
      <c r="S57" s="179">
        <f>VLOOKUP(A57,'OI(Value)'!A57:O281,11,0)</f>
        <v>60</v>
      </c>
    </row>
    <row r="58" spans="1:19" x14ac:dyDescent="0.25">
      <c r="A58" s="105" t="str">
        <f>'Data Vlaue (Cr)'!C53</f>
        <v>CUMMINSIND</v>
      </c>
      <c r="B58" s="143">
        <f>VLOOKUP($A58,'Data shares'!$C:$FA,118)</f>
        <v>0.85</v>
      </c>
      <c r="C58" s="143">
        <f>VLOOKUP($A58,'Data shares'!$C:$FA,119)</f>
        <v>0.78</v>
      </c>
      <c r="D58" s="143">
        <f>VLOOKUP($A58,'Data shares'!$C:$FA,121)*100</f>
        <v>8.9700000000000006</v>
      </c>
      <c r="E58" s="143">
        <f>VLOOKUP($A58,'Data shares'!$C:$FA,124)</f>
        <v>0.66</v>
      </c>
      <c r="F58" s="143">
        <f>VLOOKUP($A58,'Data shares'!$C:$FA,125)</f>
        <v>0.57999999999999996</v>
      </c>
      <c r="G58" s="143">
        <f>VLOOKUP($A58,'Data shares'!$C:$FA,127)*100</f>
        <v>13.79</v>
      </c>
      <c r="H58" s="103">
        <f>VLOOKUP($A58,'OI(Volume)'!$A$7:$O$445,8)</f>
        <v>347600</v>
      </c>
      <c r="I58" s="103">
        <f>VLOOKUP($A58,'OI(Volume)'!$A$7:$O$445,9)</f>
        <v>-502800</v>
      </c>
      <c r="J58" s="103">
        <f>VLOOKUP($A58,'OI(Volume)'!$A$7:$O$445,11)</f>
        <v>294400</v>
      </c>
      <c r="K58" s="103">
        <f>VLOOKUP($A58,'OI(Volume)'!$A$7:$O$445,12)</f>
        <v>-364800</v>
      </c>
      <c r="L58" s="103">
        <f>VLOOKUP($A58,'OI(Value)'!$A$7:$O$329,8,0)</f>
        <v>190</v>
      </c>
      <c r="M58" s="103">
        <f>VLOOKUP($A58,'OI(Value)'!$A$7:$O$329,9,0)</f>
        <v>-275</v>
      </c>
      <c r="N58" s="103">
        <f>VLOOKUP($A58,'OI(Value)'!$A$7:$O$329,11,0)</f>
        <v>161</v>
      </c>
      <c r="O58" s="103">
        <f>VLOOKUP($A58,'OI(Value)'!$A$7:$O$329,12,0)</f>
        <v>-199</v>
      </c>
      <c r="P58" s="179">
        <f>VLOOKUP(A58,'OI(Value)'!A58:O282,8,0)</f>
        <v>190</v>
      </c>
      <c r="Q58" s="179">
        <f>VLOOKUP(A58,'OI(Value)'!A58:O282,9,0)</f>
        <v>-275</v>
      </c>
      <c r="R58" s="179">
        <f>VLOOKUP(A58,'OI(Value)'!A58:O282,11,0)</f>
        <v>161</v>
      </c>
      <c r="S58" s="179">
        <f>VLOOKUP(A58,'OI(Value)'!A58:O282,11,0)</f>
        <v>161</v>
      </c>
    </row>
    <row r="59" spans="1:19" x14ac:dyDescent="0.25">
      <c r="A59" s="105" t="str">
        <f>'Data Vlaue (Cr)'!C54</f>
        <v>DABUR</v>
      </c>
      <c r="B59" s="143">
        <f>VLOOKUP($A59,'Data shares'!$C:$FA,118)</f>
        <v>0.74</v>
      </c>
      <c r="C59" s="143">
        <f>VLOOKUP($A59,'Data shares'!$C:$FA,119)</f>
        <v>0.68</v>
      </c>
      <c r="D59" s="143">
        <f>VLOOKUP($A59,'Data shares'!$C:$FA,121)*100</f>
        <v>8.82</v>
      </c>
      <c r="E59" s="143">
        <f>VLOOKUP($A59,'Data shares'!$C:$FA,124)</f>
        <v>0.79</v>
      </c>
      <c r="F59" s="143">
        <f>VLOOKUP($A59,'Data shares'!$C:$FA,125)</f>
        <v>0.45</v>
      </c>
      <c r="G59" s="143">
        <f>VLOOKUP($A59,'Data shares'!$C:$FA,127)*100</f>
        <v>75.56</v>
      </c>
      <c r="H59" s="103">
        <f>VLOOKUP($A59,'OI(Volume)'!$A$7:$O$445,8)</f>
        <v>3381250</v>
      </c>
      <c r="I59" s="103">
        <f>VLOOKUP($A59,'OI(Volume)'!$A$7:$O$445,9)</f>
        <v>-8836250</v>
      </c>
      <c r="J59" s="103">
        <f>VLOOKUP($A59,'OI(Volume)'!$A$7:$O$445,11)</f>
        <v>2510000</v>
      </c>
      <c r="K59" s="103">
        <f>VLOOKUP($A59,'OI(Volume)'!$A$7:$O$445,12)</f>
        <v>-5755000</v>
      </c>
      <c r="L59" s="103">
        <f>VLOOKUP($A59,'OI(Value)'!$A$7:$O$329,8,0)</f>
        <v>152</v>
      </c>
      <c r="M59" s="103">
        <f>VLOOKUP($A59,'OI(Value)'!$A$7:$O$329,9,0)</f>
        <v>-398</v>
      </c>
      <c r="N59" s="103">
        <f>VLOOKUP($A59,'OI(Value)'!$A$7:$O$329,11,0)</f>
        <v>113</v>
      </c>
      <c r="O59" s="103">
        <f>VLOOKUP($A59,'OI(Value)'!$A$7:$O$329,12,0)</f>
        <v>-259</v>
      </c>
      <c r="P59" s="179">
        <f>VLOOKUP(A59,'OI(Value)'!A59:O283,8,0)</f>
        <v>152</v>
      </c>
      <c r="Q59" s="179">
        <f>VLOOKUP(A59,'OI(Value)'!A59:O283,9,0)</f>
        <v>-398</v>
      </c>
      <c r="R59" s="179">
        <f>VLOOKUP(A59,'OI(Value)'!A59:O283,11,0)</f>
        <v>113</v>
      </c>
      <c r="S59" s="179">
        <f>VLOOKUP(A59,'OI(Value)'!A59:O283,11,0)</f>
        <v>113</v>
      </c>
    </row>
    <row r="60" spans="1:19" x14ac:dyDescent="0.25">
      <c r="A60" s="105" t="str">
        <f>'Data Vlaue (Cr)'!C55</f>
        <v>DALBHARAT</v>
      </c>
      <c r="B60" s="143">
        <f>VLOOKUP($A60,'Data shares'!$C:$FA,118)</f>
        <v>1.19</v>
      </c>
      <c r="C60" s="143">
        <f>VLOOKUP($A60,'Data shares'!$C:$FA,119)</f>
        <v>0.81</v>
      </c>
      <c r="D60" s="143">
        <f>VLOOKUP($A60,'Data shares'!$C:$FA,121)*100</f>
        <v>46.910000000000004</v>
      </c>
      <c r="E60" s="143">
        <f>VLOOKUP($A60,'Data shares'!$C:$FA,124)</f>
        <v>0.51</v>
      </c>
      <c r="F60" s="143">
        <f>VLOOKUP($A60,'Data shares'!$C:$FA,125)</f>
        <v>0.47</v>
      </c>
      <c r="G60" s="143">
        <f>VLOOKUP($A60,'Data shares'!$C:$FA,127)*100</f>
        <v>8.51</v>
      </c>
      <c r="H60" s="103">
        <f>VLOOKUP($A60,'OI(Volume)'!$A$7:$O$445,8)</f>
        <v>337675</v>
      </c>
      <c r="I60" s="103">
        <f>VLOOKUP($A60,'OI(Volume)'!$A$7:$O$445,9)</f>
        <v>-1169675</v>
      </c>
      <c r="J60" s="103">
        <f>VLOOKUP($A60,'OI(Volume)'!$A$7:$O$445,11)</f>
        <v>402025</v>
      </c>
      <c r="K60" s="103">
        <f>VLOOKUP($A60,'OI(Volume)'!$A$7:$O$445,12)</f>
        <v>-823550</v>
      </c>
      <c r="L60" s="103">
        <f>VLOOKUP($A60,'OI(Value)'!$A$7:$O$329,8,0)</f>
        <v>61</v>
      </c>
      <c r="M60" s="103">
        <f>VLOOKUP($A60,'OI(Value)'!$A$7:$O$329,9,0)</f>
        <v>-210</v>
      </c>
      <c r="N60" s="103">
        <f>VLOOKUP($A60,'OI(Value)'!$A$7:$O$329,11,0)</f>
        <v>72</v>
      </c>
      <c r="O60" s="103">
        <f>VLOOKUP($A60,'OI(Value)'!$A$7:$O$329,12,0)</f>
        <v>-148</v>
      </c>
      <c r="P60" s="179">
        <f>VLOOKUP(A60,'OI(Value)'!A60:O284,8,0)</f>
        <v>61</v>
      </c>
      <c r="Q60" s="179">
        <f>VLOOKUP(A60,'OI(Value)'!A60:O284,9,0)</f>
        <v>-210</v>
      </c>
      <c r="R60" s="179">
        <f>VLOOKUP(A60,'OI(Value)'!A60:O284,11,0)</f>
        <v>72</v>
      </c>
      <c r="S60" s="179">
        <f>VLOOKUP(A60,'OI(Value)'!A60:O284,11,0)</f>
        <v>72</v>
      </c>
    </row>
    <row r="61" spans="1:19" x14ac:dyDescent="0.25">
      <c r="A61" s="105" t="str">
        <f>'Data Vlaue (Cr)'!C56</f>
        <v>DELHIVERY</v>
      </c>
      <c r="B61" s="143">
        <f>VLOOKUP($A61,'Data shares'!$C:$FA,118)</f>
        <v>0.49</v>
      </c>
      <c r="C61" s="143">
        <f>VLOOKUP($A61,'Data shares'!$C:$FA,119)</f>
        <v>0.41</v>
      </c>
      <c r="D61" s="143">
        <f>VLOOKUP($A61,'Data shares'!$C:$FA,121)*100</f>
        <v>19.509999999999998</v>
      </c>
      <c r="E61" s="143">
        <f>VLOOKUP($A61,'Data shares'!$C:$FA,124)</f>
        <v>0.41</v>
      </c>
      <c r="F61" s="143">
        <f>VLOOKUP($A61,'Data shares'!$C:$FA,125)</f>
        <v>0.45</v>
      </c>
      <c r="G61" s="143">
        <f>VLOOKUP($A61,'Data shares'!$C:$FA,127)*100</f>
        <v>-8.89</v>
      </c>
      <c r="H61" s="103">
        <f>VLOOKUP($A61,'OI(Volume)'!$A$7:$O$445,8)</f>
        <v>3894775</v>
      </c>
      <c r="I61" s="103">
        <f>VLOOKUP($A61,'OI(Volume)'!$A$7:$O$445,9)</f>
        <v>-7716925</v>
      </c>
      <c r="J61" s="103">
        <f>VLOOKUP($A61,'OI(Volume)'!$A$7:$O$445,11)</f>
        <v>1898625</v>
      </c>
      <c r="K61" s="103">
        <f>VLOOKUP($A61,'OI(Volume)'!$A$7:$O$445,12)</f>
        <v>-2909150</v>
      </c>
      <c r="L61" s="103">
        <f>VLOOKUP($A61,'OI(Value)'!$A$7:$O$329,8,0)</f>
        <v>182</v>
      </c>
      <c r="M61" s="103">
        <f>VLOOKUP($A61,'OI(Value)'!$A$7:$O$329,9,0)</f>
        <v>-361</v>
      </c>
      <c r="N61" s="103">
        <f>VLOOKUP($A61,'OI(Value)'!$A$7:$O$329,11,0)</f>
        <v>89</v>
      </c>
      <c r="O61" s="103">
        <f>VLOOKUP($A61,'OI(Value)'!$A$7:$O$329,12,0)</f>
        <v>-136</v>
      </c>
      <c r="P61" s="179">
        <f>VLOOKUP(A61,'OI(Value)'!A61:O285,8,0)</f>
        <v>182</v>
      </c>
      <c r="Q61" s="179">
        <f>VLOOKUP(A61,'OI(Value)'!A61:O285,9,0)</f>
        <v>-361</v>
      </c>
      <c r="R61" s="179">
        <f>VLOOKUP(A61,'OI(Value)'!A61:O285,11,0)</f>
        <v>89</v>
      </c>
      <c r="S61" s="179">
        <f>VLOOKUP(A61,'OI(Value)'!A61:O285,11,0)</f>
        <v>89</v>
      </c>
    </row>
    <row r="62" spans="1:19" x14ac:dyDescent="0.25">
      <c r="A62" s="105" t="str">
        <f>'Data Vlaue (Cr)'!C57</f>
        <v>DIVISLAB</v>
      </c>
      <c r="B62" s="143">
        <f>VLOOKUP($A62,'Data shares'!$C:$FA,118)</f>
        <v>0.53</v>
      </c>
      <c r="C62" s="143">
        <f>VLOOKUP($A62,'Data shares'!$C:$FA,119)</f>
        <v>0.71</v>
      </c>
      <c r="D62" s="143">
        <f>VLOOKUP($A62,'Data shares'!$C:$FA,121)*100</f>
        <v>-25.35</v>
      </c>
      <c r="E62" s="143">
        <f>VLOOKUP($A62,'Data shares'!$C:$FA,124)</f>
        <v>0.81</v>
      </c>
      <c r="F62" s="143">
        <f>VLOOKUP($A62,'Data shares'!$C:$FA,125)</f>
        <v>0.73</v>
      </c>
      <c r="G62" s="143">
        <f>VLOOKUP($A62,'Data shares'!$C:$FA,127)*100</f>
        <v>10.96</v>
      </c>
      <c r="H62" s="103">
        <f>VLOOKUP($A62,'OI(Volume)'!$A$7:$O$445,8)</f>
        <v>538900</v>
      </c>
      <c r="I62" s="103">
        <f>VLOOKUP($A62,'OI(Volume)'!$A$7:$O$445,9)</f>
        <v>-680600</v>
      </c>
      <c r="J62" s="103">
        <f>VLOOKUP($A62,'OI(Volume)'!$A$7:$O$445,11)</f>
        <v>287000</v>
      </c>
      <c r="K62" s="103">
        <f>VLOOKUP($A62,'OI(Volume)'!$A$7:$O$445,12)</f>
        <v>-575300</v>
      </c>
      <c r="L62" s="103">
        <f>VLOOKUP($A62,'OI(Value)'!$A$7:$O$329,8,0)</f>
        <v>366</v>
      </c>
      <c r="M62" s="103">
        <f>VLOOKUP($A62,'OI(Value)'!$A$7:$O$329,9,0)</f>
        <v>-463</v>
      </c>
      <c r="N62" s="103">
        <f>VLOOKUP($A62,'OI(Value)'!$A$7:$O$329,11,0)</f>
        <v>195</v>
      </c>
      <c r="O62" s="103">
        <f>VLOOKUP($A62,'OI(Value)'!$A$7:$O$329,12,0)</f>
        <v>-391</v>
      </c>
      <c r="P62" s="179">
        <f>VLOOKUP(A62,'OI(Value)'!A62:O286,8,0)</f>
        <v>366</v>
      </c>
      <c r="Q62" s="179">
        <f>VLOOKUP(A62,'OI(Value)'!A62:O286,9,0)</f>
        <v>-463</v>
      </c>
      <c r="R62" s="179">
        <f>VLOOKUP(A62,'OI(Value)'!A62:O286,11,0)</f>
        <v>195</v>
      </c>
      <c r="S62" s="179">
        <f>VLOOKUP(A62,'OI(Value)'!A62:O286,11,0)</f>
        <v>195</v>
      </c>
    </row>
    <row r="63" spans="1:19" x14ac:dyDescent="0.25">
      <c r="A63" s="105" t="str">
        <f>'Data Vlaue (Cr)'!C58</f>
        <v>DIXON</v>
      </c>
      <c r="B63" s="143">
        <f>VLOOKUP($A63,'Data shares'!$C:$FA,118)</f>
        <v>0.82</v>
      </c>
      <c r="C63" s="143">
        <f>VLOOKUP($A63,'Data shares'!$C:$FA,119)</f>
        <v>0.82</v>
      </c>
      <c r="D63" s="143">
        <f>VLOOKUP($A63,'Data shares'!$C:$FA,121)*100</f>
        <v>0</v>
      </c>
      <c r="E63" s="143">
        <f>VLOOKUP($A63,'Data shares'!$C:$FA,124)</f>
        <v>0.72</v>
      </c>
      <c r="F63" s="143">
        <f>VLOOKUP($A63,'Data shares'!$C:$FA,125)</f>
        <v>0.48</v>
      </c>
      <c r="G63" s="143">
        <f>VLOOKUP($A63,'Data shares'!$C:$FA,127)*100</f>
        <v>50</v>
      </c>
      <c r="H63" s="103">
        <f>VLOOKUP($A63,'OI(Volume)'!$A$7:$O$445,8)</f>
        <v>815000</v>
      </c>
      <c r="I63" s="103">
        <f>VLOOKUP($A63,'OI(Volume)'!$A$7:$O$445,9)</f>
        <v>-1117900</v>
      </c>
      <c r="J63" s="103">
        <f>VLOOKUP($A63,'OI(Volume)'!$A$7:$O$445,11)</f>
        <v>664900</v>
      </c>
      <c r="K63" s="103">
        <f>VLOOKUP($A63,'OI(Volume)'!$A$7:$O$445,12)</f>
        <v>-925100</v>
      </c>
      <c r="L63" s="103">
        <f>VLOOKUP($A63,'OI(Value)'!$A$7:$O$329,8,0)</f>
        <v>948</v>
      </c>
      <c r="M63" s="103">
        <f>VLOOKUP($A63,'OI(Value)'!$A$7:$O$329,9,0)</f>
        <v>-1300</v>
      </c>
      <c r="N63" s="103">
        <f>VLOOKUP($A63,'OI(Value)'!$A$7:$O$329,11,0)</f>
        <v>773</v>
      </c>
      <c r="O63" s="103">
        <f>VLOOKUP($A63,'OI(Value)'!$A$7:$O$329,12,0)</f>
        <v>-1076</v>
      </c>
      <c r="P63" s="179">
        <f>VLOOKUP(A63,'OI(Value)'!A63:O287,8,0)</f>
        <v>948</v>
      </c>
      <c r="Q63" s="179">
        <f>VLOOKUP(A63,'OI(Value)'!A63:O287,9,0)</f>
        <v>-1300</v>
      </c>
      <c r="R63" s="179">
        <f>VLOOKUP(A63,'OI(Value)'!A63:O287,11,0)</f>
        <v>773</v>
      </c>
      <c r="S63" s="179">
        <f>VLOOKUP(A63,'OI(Value)'!A63:O287,11,0)</f>
        <v>773</v>
      </c>
    </row>
    <row r="64" spans="1:19" x14ac:dyDescent="0.25">
      <c r="A64" s="105" t="str">
        <f>'Data Vlaue (Cr)'!C59</f>
        <v>DLF</v>
      </c>
      <c r="B64" s="143">
        <f>VLOOKUP($A64,'Data shares'!$C:$FA,118)</f>
        <v>0.75</v>
      </c>
      <c r="C64" s="143">
        <f>VLOOKUP($A64,'Data shares'!$C:$FA,119)</f>
        <v>0.75</v>
      </c>
      <c r="D64" s="143">
        <f>VLOOKUP($A64,'Data shares'!$C:$FA,121)*100</f>
        <v>0</v>
      </c>
      <c r="E64" s="143">
        <f>VLOOKUP($A64,'Data shares'!$C:$FA,124)</f>
        <v>0.55000000000000004</v>
      </c>
      <c r="F64" s="143">
        <f>VLOOKUP($A64,'Data shares'!$C:$FA,125)</f>
        <v>0.59</v>
      </c>
      <c r="G64" s="143">
        <f>VLOOKUP($A64,'Data shares'!$C:$FA,127)*100</f>
        <v>-6.78</v>
      </c>
      <c r="H64" s="103">
        <f>VLOOKUP($A64,'OI(Volume)'!$A$7:$O$445,8)</f>
        <v>5295675</v>
      </c>
      <c r="I64" s="103">
        <f>VLOOKUP($A64,'OI(Volume)'!$A$7:$O$445,9)</f>
        <v>-5065500</v>
      </c>
      <c r="J64" s="103">
        <f>VLOOKUP($A64,'OI(Volume)'!$A$7:$O$445,11)</f>
        <v>3982400</v>
      </c>
      <c r="K64" s="103">
        <f>VLOOKUP($A64,'OI(Volume)'!$A$7:$O$445,12)</f>
        <v>-3793225</v>
      </c>
      <c r="L64" s="103">
        <f>VLOOKUP($A64,'OI(Value)'!$A$7:$O$329,8,0)</f>
        <v>314</v>
      </c>
      <c r="M64" s="103">
        <f>VLOOKUP($A64,'OI(Value)'!$A$7:$O$329,9,0)</f>
        <v>-300</v>
      </c>
      <c r="N64" s="103">
        <f>VLOOKUP($A64,'OI(Value)'!$A$7:$O$329,11,0)</f>
        <v>236</v>
      </c>
      <c r="O64" s="103">
        <f>VLOOKUP($A64,'OI(Value)'!$A$7:$O$329,12,0)</f>
        <v>-225</v>
      </c>
      <c r="P64" s="179">
        <f>VLOOKUP(A64,'OI(Value)'!A64:O288,8,0)</f>
        <v>314</v>
      </c>
      <c r="Q64" s="179">
        <f>VLOOKUP(A64,'OI(Value)'!A64:O288,9,0)</f>
        <v>-300</v>
      </c>
      <c r="R64" s="179">
        <f>VLOOKUP(A64,'OI(Value)'!A64:O288,11,0)</f>
        <v>236</v>
      </c>
      <c r="S64" s="179">
        <f>VLOOKUP(A64,'OI(Value)'!A64:O288,11,0)</f>
        <v>236</v>
      </c>
    </row>
    <row r="65" spans="1:19" x14ac:dyDescent="0.25">
      <c r="A65" s="105" t="str">
        <f>'Data Vlaue (Cr)'!C60</f>
        <v>DMART</v>
      </c>
      <c r="B65" s="143">
        <f>VLOOKUP($A65,'Data shares'!$C:$FA,118)</f>
        <v>0.79</v>
      </c>
      <c r="C65" s="143">
        <f>VLOOKUP($A65,'Data shares'!$C:$FA,119)</f>
        <v>0.45</v>
      </c>
      <c r="D65" s="143">
        <f>VLOOKUP($A65,'Data shares'!$C:$FA,121)*100</f>
        <v>75.56</v>
      </c>
      <c r="E65" s="143">
        <f>VLOOKUP($A65,'Data shares'!$C:$FA,124)</f>
        <v>0.47</v>
      </c>
      <c r="F65" s="143">
        <f>VLOOKUP($A65,'Data shares'!$C:$FA,125)</f>
        <v>0.38</v>
      </c>
      <c r="G65" s="143">
        <f>VLOOKUP($A65,'Data shares'!$C:$FA,127)*100</f>
        <v>23.68</v>
      </c>
      <c r="H65" s="103">
        <f>VLOOKUP($A65,'OI(Volume)'!$A$7:$O$445,8)</f>
        <v>601500</v>
      </c>
      <c r="I65" s="103">
        <f>VLOOKUP($A65,'OI(Volume)'!$A$7:$O$445,9)</f>
        <v>-1410000</v>
      </c>
      <c r="J65" s="103">
        <f>VLOOKUP($A65,'OI(Volume)'!$A$7:$O$445,11)</f>
        <v>473100</v>
      </c>
      <c r="K65" s="103">
        <f>VLOOKUP($A65,'OI(Volume)'!$A$7:$O$445,12)</f>
        <v>-430800</v>
      </c>
      <c r="L65" s="103">
        <f>VLOOKUP($A65,'OI(Value)'!$A$7:$O$329,8,0)</f>
        <v>249</v>
      </c>
      <c r="M65" s="103">
        <f>VLOOKUP($A65,'OI(Value)'!$A$7:$O$329,9,0)</f>
        <v>-583</v>
      </c>
      <c r="N65" s="103">
        <f>VLOOKUP($A65,'OI(Value)'!$A$7:$O$329,11,0)</f>
        <v>196</v>
      </c>
      <c r="O65" s="103">
        <f>VLOOKUP($A65,'OI(Value)'!$A$7:$O$329,12,0)</f>
        <v>-178</v>
      </c>
      <c r="P65" s="179">
        <f>VLOOKUP(A65,'OI(Value)'!A65:O289,8,0)</f>
        <v>249</v>
      </c>
      <c r="Q65" s="179">
        <f>VLOOKUP(A65,'OI(Value)'!A65:O289,9,0)</f>
        <v>-583</v>
      </c>
      <c r="R65" s="179">
        <f>VLOOKUP(A65,'OI(Value)'!A65:O289,11,0)</f>
        <v>196</v>
      </c>
      <c r="S65" s="179">
        <f>VLOOKUP(A65,'OI(Value)'!A65:O289,11,0)</f>
        <v>196</v>
      </c>
    </row>
    <row r="66" spans="1:19" x14ac:dyDescent="0.25">
      <c r="A66" s="105" t="str">
        <f>'Data Vlaue (Cr)'!C61</f>
        <v>DRREDDY</v>
      </c>
      <c r="B66" s="143">
        <f>VLOOKUP($A66,'Data shares'!$C:$FA,118)</f>
        <v>0.69</v>
      </c>
      <c r="C66" s="143">
        <f>VLOOKUP($A66,'Data shares'!$C:$FA,119)</f>
        <v>0.6</v>
      </c>
      <c r="D66" s="143">
        <f>VLOOKUP($A66,'Data shares'!$C:$FA,121)*100</f>
        <v>15</v>
      </c>
      <c r="E66" s="143">
        <f>VLOOKUP($A66,'Data shares'!$C:$FA,124)</f>
        <v>0.61</v>
      </c>
      <c r="F66" s="143">
        <f>VLOOKUP($A66,'Data shares'!$C:$FA,125)</f>
        <v>0.56999999999999995</v>
      </c>
      <c r="G66" s="143">
        <f>VLOOKUP($A66,'Data shares'!$C:$FA,127)*100</f>
        <v>7.02</v>
      </c>
      <c r="H66" s="103">
        <f>VLOOKUP($A66,'OI(Volume)'!$A$7:$O$445,8)</f>
        <v>2550000</v>
      </c>
      <c r="I66" s="103">
        <f>VLOOKUP($A66,'OI(Volume)'!$A$7:$O$445,9)</f>
        <v>-6967500</v>
      </c>
      <c r="J66" s="103">
        <f>VLOOKUP($A66,'OI(Volume)'!$A$7:$O$445,11)</f>
        <v>1770000</v>
      </c>
      <c r="K66" s="103">
        <f>VLOOKUP($A66,'OI(Volume)'!$A$7:$O$445,12)</f>
        <v>-3915625</v>
      </c>
      <c r="L66" s="103">
        <f>VLOOKUP($A66,'OI(Value)'!$A$7:$O$329,8,0)</f>
        <v>338</v>
      </c>
      <c r="M66" s="103">
        <f>VLOOKUP($A66,'OI(Value)'!$A$7:$O$329,9,0)</f>
        <v>-924</v>
      </c>
      <c r="N66" s="103">
        <f>VLOOKUP($A66,'OI(Value)'!$A$7:$O$329,11,0)</f>
        <v>235</v>
      </c>
      <c r="O66" s="103">
        <f>VLOOKUP($A66,'OI(Value)'!$A$7:$O$329,12,0)</f>
        <v>-519</v>
      </c>
      <c r="P66" s="179">
        <f>VLOOKUP(A66,'OI(Value)'!A66:O290,8,0)</f>
        <v>338</v>
      </c>
      <c r="Q66" s="179">
        <f>VLOOKUP(A66,'OI(Value)'!A66:O290,9,0)</f>
        <v>-924</v>
      </c>
      <c r="R66" s="179">
        <f>VLOOKUP(A66,'OI(Value)'!A66:O290,11,0)</f>
        <v>235</v>
      </c>
      <c r="S66" s="179">
        <f>VLOOKUP(A66,'OI(Value)'!A66:O290,11,0)</f>
        <v>235</v>
      </c>
    </row>
    <row r="67" spans="1:19" x14ac:dyDescent="0.25">
      <c r="A67" s="105" t="str">
        <f>'Data Vlaue (Cr)'!C62</f>
        <v>EICHERMOT</v>
      </c>
      <c r="B67" s="143">
        <f>VLOOKUP($A67,'Data shares'!$C:$FA,118)</f>
        <v>0.72</v>
      </c>
      <c r="C67" s="143">
        <f>VLOOKUP($A67,'Data shares'!$C:$FA,119)</f>
        <v>0.78</v>
      </c>
      <c r="D67" s="143">
        <f>VLOOKUP($A67,'Data shares'!$C:$FA,121)*100</f>
        <v>-7.6899999999999995</v>
      </c>
      <c r="E67" s="143">
        <f>VLOOKUP($A67,'Data shares'!$C:$FA,124)</f>
        <v>0.42</v>
      </c>
      <c r="F67" s="143">
        <f>VLOOKUP($A67,'Data shares'!$C:$FA,125)</f>
        <v>0.41</v>
      </c>
      <c r="G67" s="143">
        <f>VLOOKUP($A67,'Data shares'!$C:$FA,127)*100</f>
        <v>2.44</v>
      </c>
      <c r="H67" s="103">
        <f>VLOOKUP($A67,'OI(Volume)'!$A$7:$O$445,8)</f>
        <v>1042900</v>
      </c>
      <c r="I67" s="103">
        <f>VLOOKUP($A67,'OI(Volume)'!$A$7:$O$445,9)</f>
        <v>-1139000</v>
      </c>
      <c r="J67" s="103">
        <f>VLOOKUP($A67,'OI(Volume)'!$A$7:$O$445,11)</f>
        <v>752200</v>
      </c>
      <c r="K67" s="103">
        <f>VLOOKUP($A67,'OI(Volume)'!$A$7:$O$445,12)</f>
        <v>-944500</v>
      </c>
      <c r="L67" s="103">
        <f>VLOOKUP($A67,'OI(Value)'!$A$7:$O$329,8,0)</f>
        <v>773</v>
      </c>
      <c r="M67" s="103">
        <f>VLOOKUP($A67,'OI(Value)'!$A$7:$O$329,9,0)</f>
        <v>-844</v>
      </c>
      <c r="N67" s="103">
        <f>VLOOKUP($A67,'OI(Value)'!$A$7:$O$329,11,0)</f>
        <v>558</v>
      </c>
      <c r="O67" s="103">
        <f>VLOOKUP($A67,'OI(Value)'!$A$7:$O$329,12,0)</f>
        <v>-700</v>
      </c>
      <c r="P67" s="179">
        <f>VLOOKUP(A67,'OI(Value)'!A67:O291,8,0)</f>
        <v>773</v>
      </c>
      <c r="Q67" s="179">
        <f>VLOOKUP(A67,'OI(Value)'!A67:O291,9,0)</f>
        <v>-844</v>
      </c>
      <c r="R67" s="179">
        <f>VLOOKUP(A67,'OI(Value)'!A67:O291,11,0)</f>
        <v>558</v>
      </c>
      <c r="S67" s="179">
        <f>VLOOKUP(A67,'OI(Value)'!A67:O291,11,0)</f>
        <v>558</v>
      </c>
    </row>
    <row r="68" spans="1:19" x14ac:dyDescent="0.25">
      <c r="A68" s="105" t="str">
        <f>'Data Vlaue (Cr)'!C63</f>
        <v>ETERNAL</v>
      </c>
      <c r="B68" s="143">
        <f>VLOOKUP($A68,'Data shares'!$C:$FA,118)</f>
        <v>1.07</v>
      </c>
      <c r="C68" s="143">
        <f>VLOOKUP($A68,'Data shares'!$C:$FA,119)</f>
        <v>0.56999999999999995</v>
      </c>
      <c r="D68" s="143">
        <f>VLOOKUP($A68,'Data shares'!$C:$FA,121)*100</f>
        <v>87.72</v>
      </c>
      <c r="E68" s="143">
        <f>VLOOKUP($A68,'Data shares'!$C:$FA,124)</f>
        <v>0.55000000000000004</v>
      </c>
      <c r="F68" s="143">
        <f>VLOOKUP($A68,'Data shares'!$C:$FA,125)</f>
        <v>0.64</v>
      </c>
      <c r="G68" s="143">
        <f>VLOOKUP($A68,'Data shares'!$C:$FA,127)*100</f>
        <v>-14.06</v>
      </c>
      <c r="H68" s="103">
        <f>VLOOKUP($A68,'OI(Volume)'!$A$7:$O$445,8)</f>
        <v>22860475</v>
      </c>
      <c r="I68" s="103">
        <f>VLOOKUP($A68,'OI(Volume)'!$A$7:$O$445,9)</f>
        <v>-52751025</v>
      </c>
      <c r="J68" s="103">
        <f>VLOOKUP($A68,'OI(Volume)'!$A$7:$O$445,11)</f>
        <v>24354275</v>
      </c>
      <c r="K68" s="103">
        <f>VLOOKUP($A68,'OI(Volume)'!$A$7:$O$445,12)</f>
        <v>-18757375</v>
      </c>
      <c r="L68" s="103">
        <f>VLOOKUP($A68,'OI(Value)'!$A$7:$O$329,8,0)</f>
        <v>577</v>
      </c>
      <c r="M68" s="103">
        <f>VLOOKUP($A68,'OI(Value)'!$A$7:$O$329,9,0)</f>
        <v>-1331</v>
      </c>
      <c r="N68" s="103">
        <f>VLOOKUP($A68,'OI(Value)'!$A$7:$O$329,11,0)</f>
        <v>615</v>
      </c>
      <c r="O68" s="103">
        <f>VLOOKUP($A68,'OI(Value)'!$A$7:$O$329,12,0)</f>
        <v>-473</v>
      </c>
      <c r="P68" s="179">
        <f>VLOOKUP(A68,'OI(Value)'!A68:O292,8,0)</f>
        <v>577</v>
      </c>
      <c r="Q68" s="179">
        <f>VLOOKUP(A68,'OI(Value)'!A68:O292,9,0)</f>
        <v>-1331</v>
      </c>
      <c r="R68" s="179">
        <f>VLOOKUP(A68,'OI(Value)'!A68:O292,11,0)</f>
        <v>615</v>
      </c>
      <c r="S68" s="179">
        <f>VLOOKUP(A68,'OI(Value)'!A68:O292,11,0)</f>
        <v>615</v>
      </c>
    </row>
    <row r="69" spans="1:19" x14ac:dyDescent="0.25">
      <c r="A69" s="105" t="str">
        <f>'Data Vlaue (Cr)'!C64</f>
        <v>EXIDEIND</v>
      </c>
      <c r="B69" s="143">
        <f>VLOOKUP($A69,'Data shares'!$C:$FA,118)</f>
        <v>0.68</v>
      </c>
      <c r="C69" s="143">
        <f>VLOOKUP($A69,'Data shares'!$C:$FA,119)</f>
        <v>0.6</v>
      </c>
      <c r="D69" s="143">
        <f>VLOOKUP($A69,'Data shares'!$C:$FA,121)*100</f>
        <v>13.33</v>
      </c>
      <c r="E69" s="143">
        <f>VLOOKUP($A69,'Data shares'!$C:$FA,124)</f>
        <v>0.28999999999999998</v>
      </c>
      <c r="F69" s="143">
        <f>VLOOKUP($A69,'Data shares'!$C:$FA,125)</f>
        <v>0.5</v>
      </c>
      <c r="G69" s="143">
        <f>VLOOKUP($A69,'Data shares'!$C:$FA,127)*100</f>
        <v>-42</v>
      </c>
      <c r="H69" s="103">
        <f>VLOOKUP($A69,'OI(Volume)'!$A$7:$O$445,8)</f>
        <v>7911000</v>
      </c>
      <c r="I69" s="103">
        <f>VLOOKUP($A69,'OI(Volume)'!$A$7:$O$445,9)</f>
        <v>-8694000</v>
      </c>
      <c r="J69" s="103">
        <f>VLOOKUP($A69,'OI(Volume)'!$A$7:$O$445,11)</f>
        <v>5414400</v>
      </c>
      <c r="K69" s="103">
        <f>VLOOKUP($A69,'OI(Volume)'!$A$7:$O$445,12)</f>
        <v>-4564800</v>
      </c>
      <c r="L69" s="103">
        <f>VLOOKUP($A69,'OI(Value)'!$A$7:$O$329,8,0)</f>
        <v>291</v>
      </c>
      <c r="M69" s="103">
        <f>VLOOKUP($A69,'OI(Value)'!$A$7:$O$329,9,0)</f>
        <v>-320</v>
      </c>
      <c r="N69" s="103">
        <f>VLOOKUP($A69,'OI(Value)'!$A$7:$O$329,11,0)</f>
        <v>199</v>
      </c>
      <c r="O69" s="103">
        <f>VLOOKUP($A69,'OI(Value)'!$A$7:$O$329,12,0)</f>
        <v>-168</v>
      </c>
      <c r="P69" s="179">
        <f>VLOOKUP(A69,'OI(Value)'!A69:O293,8,0)</f>
        <v>291</v>
      </c>
      <c r="Q69" s="179">
        <f>VLOOKUP(A69,'OI(Value)'!A69:O293,9,0)</f>
        <v>-320</v>
      </c>
      <c r="R69" s="179">
        <f>VLOOKUP(A69,'OI(Value)'!A69:O293,11,0)</f>
        <v>199</v>
      </c>
      <c r="S69" s="179">
        <f>VLOOKUP(A69,'OI(Value)'!A69:O293,11,0)</f>
        <v>199</v>
      </c>
    </row>
    <row r="70" spans="1:19" x14ac:dyDescent="0.25">
      <c r="A70" s="105" t="str">
        <f>'Data Vlaue (Cr)'!C65</f>
        <v>FEDERALBNK</v>
      </c>
      <c r="B70" s="143">
        <f>VLOOKUP($A70,'Data shares'!$C:$FA,118)</f>
        <v>0.76</v>
      </c>
      <c r="C70" s="143">
        <f>VLOOKUP($A70,'Data shares'!$C:$FA,119)</f>
        <v>0.6</v>
      </c>
      <c r="D70" s="143">
        <f>VLOOKUP($A70,'Data shares'!$C:$FA,121)*100</f>
        <v>26.669999999999998</v>
      </c>
      <c r="E70" s="143">
        <f>VLOOKUP($A70,'Data shares'!$C:$FA,124)</f>
        <v>0.49</v>
      </c>
      <c r="F70" s="143">
        <f>VLOOKUP($A70,'Data shares'!$C:$FA,125)</f>
        <v>0.47</v>
      </c>
      <c r="G70" s="143">
        <f>VLOOKUP($A70,'Data shares'!$C:$FA,127)*100</f>
        <v>4.26</v>
      </c>
      <c r="H70" s="103">
        <f>VLOOKUP($A70,'OI(Volume)'!$A$7:$O$445,8)</f>
        <v>10142500</v>
      </c>
      <c r="I70" s="103">
        <f>VLOOKUP($A70,'OI(Volume)'!$A$7:$O$445,9)</f>
        <v>-20972500</v>
      </c>
      <c r="J70" s="103">
        <f>VLOOKUP($A70,'OI(Volume)'!$A$7:$O$445,11)</f>
        <v>7740000</v>
      </c>
      <c r="K70" s="103">
        <f>VLOOKUP($A70,'OI(Volume)'!$A$7:$O$445,12)</f>
        <v>-11017500</v>
      </c>
      <c r="L70" s="103">
        <f>VLOOKUP($A70,'OI(Value)'!$A$7:$O$329,8,0)</f>
        <v>296</v>
      </c>
      <c r="M70" s="103">
        <f>VLOOKUP($A70,'OI(Value)'!$A$7:$O$329,9,0)</f>
        <v>-611</v>
      </c>
      <c r="N70" s="103">
        <f>VLOOKUP($A70,'OI(Value)'!$A$7:$O$329,11,0)</f>
        <v>226</v>
      </c>
      <c r="O70" s="103">
        <f>VLOOKUP($A70,'OI(Value)'!$A$7:$O$329,12,0)</f>
        <v>-321</v>
      </c>
      <c r="P70" s="179">
        <f>VLOOKUP(A70,'OI(Value)'!A70:O294,8,0)</f>
        <v>296</v>
      </c>
      <c r="Q70" s="179">
        <f>VLOOKUP(A70,'OI(Value)'!A70:O294,9,0)</f>
        <v>-611</v>
      </c>
      <c r="R70" s="179">
        <f>VLOOKUP(A70,'OI(Value)'!A70:O294,11,0)</f>
        <v>226</v>
      </c>
      <c r="S70" s="179">
        <f>VLOOKUP(A70,'OI(Value)'!A70:O294,11,0)</f>
        <v>226</v>
      </c>
    </row>
    <row r="71" spans="1:19" x14ac:dyDescent="0.25">
      <c r="A71" s="105" t="str">
        <f>'Data Vlaue (Cr)'!C66</f>
        <v>FINNIFTY</v>
      </c>
      <c r="B71" s="143">
        <f>VLOOKUP($A71,'Data shares'!$C:$FA,118)</f>
        <v>0.78</v>
      </c>
      <c r="C71" s="143">
        <f>VLOOKUP($A71,'Data shares'!$C:$FA,119)</f>
        <v>0.95</v>
      </c>
      <c r="D71" s="143">
        <f>VLOOKUP($A71,'Data shares'!$C:$FA,121)*100</f>
        <v>-17.89</v>
      </c>
      <c r="E71" s="143">
        <f>VLOOKUP($A71,'Data shares'!$C:$FA,124)</f>
        <v>1.1299999999999999</v>
      </c>
      <c r="F71" s="143">
        <f>VLOOKUP($A71,'Data shares'!$C:$FA,125)</f>
        <v>0.98</v>
      </c>
      <c r="G71" s="143">
        <f>VLOOKUP($A71,'Data shares'!$C:$FA,127)*100</f>
        <v>15.310000000000002</v>
      </c>
      <c r="H71" s="103">
        <f>VLOOKUP($A71,'OI(Volume)'!$A$7:$O$445,8)</f>
        <v>10200</v>
      </c>
      <c r="I71" s="103">
        <f>VLOOKUP($A71,'OI(Volume)'!$A$7:$O$445,9)</f>
        <v>-1029660</v>
      </c>
      <c r="J71" s="103">
        <f>VLOOKUP($A71,'OI(Volume)'!$A$7:$O$445,11)</f>
        <v>7920</v>
      </c>
      <c r="K71" s="103">
        <f>VLOOKUP($A71,'OI(Volume)'!$A$7:$O$445,12)</f>
        <v>-977700</v>
      </c>
      <c r="L71" s="103">
        <f>VLOOKUP($A71,'OI(Value)'!$A$7:$O$329,8,0)</f>
        <v>27</v>
      </c>
      <c r="M71" s="103">
        <f>VLOOKUP($A71,'OI(Value)'!$A$7:$O$329,9,0)</f>
        <v>-2683</v>
      </c>
      <c r="N71" s="103">
        <f>VLOOKUP($A71,'OI(Value)'!$A$7:$O$329,11,0)</f>
        <v>21</v>
      </c>
      <c r="O71" s="103">
        <f>VLOOKUP($A71,'OI(Value)'!$A$7:$O$329,12,0)</f>
        <v>-2548</v>
      </c>
      <c r="P71" s="179">
        <f>VLOOKUP(A71,'OI(Value)'!A71:O295,8,0)</f>
        <v>27</v>
      </c>
      <c r="Q71" s="179">
        <f>VLOOKUP(A71,'OI(Value)'!A71:O295,9,0)</f>
        <v>-2683</v>
      </c>
      <c r="R71" s="179">
        <f>VLOOKUP(A71,'OI(Value)'!A71:O295,11,0)</f>
        <v>21</v>
      </c>
      <c r="S71" s="179">
        <f>VLOOKUP(A71,'OI(Value)'!A71:O295,11,0)</f>
        <v>21</v>
      </c>
    </row>
    <row r="72" spans="1:19" x14ac:dyDescent="0.25">
      <c r="A72" s="105" t="str">
        <f>'Data Vlaue (Cr)'!C67</f>
        <v>FORCEMOT</v>
      </c>
      <c r="B72" s="143">
        <f>VLOOKUP($A72,'Data shares'!$C:$FA,118)</f>
        <v>0.27</v>
      </c>
      <c r="C72" s="143">
        <f>VLOOKUP($A72,'Data shares'!$C:$FA,119)</f>
        <v>0.32</v>
      </c>
      <c r="D72" s="143">
        <f>VLOOKUP($A72,'Data shares'!$C:$FA,121)*100</f>
        <v>-15.620000000000001</v>
      </c>
      <c r="E72" s="143">
        <f>VLOOKUP($A72,'Data shares'!$C:$FA,124)</f>
        <v>0.22</v>
      </c>
      <c r="F72" s="143">
        <f>VLOOKUP($A72,'Data shares'!$C:$FA,125)</f>
        <v>0.28999999999999998</v>
      </c>
      <c r="G72" s="143">
        <f>VLOOKUP($A72,'Data shares'!$C:$FA,127)*100</f>
        <v>-24.14</v>
      </c>
      <c r="H72" s="103">
        <f>VLOOKUP($A72,'OI(Volume)'!$A$7:$O$445,8)</f>
        <v>41150</v>
      </c>
      <c r="I72" s="103">
        <f>VLOOKUP($A72,'OI(Volume)'!$A$7:$O$445,9)</f>
        <v>-170150</v>
      </c>
      <c r="J72" s="103">
        <f>VLOOKUP($A72,'OI(Volume)'!$A$7:$O$445,11)</f>
        <v>11175</v>
      </c>
      <c r="K72" s="103">
        <f>VLOOKUP($A72,'OI(Volume)'!$A$7:$O$445,12)</f>
        <v>-56600</v>
      </c>
      <c r="L72" s="103">
        <f>VLOOKUP($A72,'OI(Value)'!$A$7:$O$329,8,0)</f>
        <v>82</v>
      </c>
      <c r="M72" s="103">
        <f>VLOOKUP($A72,'OI(Value)'!$A$7:$O$329,9,0)</f>
        <v>-339</v>
      </c>
      <c r="N72" s="103">
        <f>VLOOKUP($A72,'OI(Value)'!$A$7:$O$329,11,0)</f>
        <v>22</v>
      </c>
      <c r="O72" s="103">
        <f>VLOOKUP($A72,'OI(Value)'!$A$7:$O$329,12,0)</f>
        <v>-113</v>
      </c>
      <c r="P72" s="179">
        <f>VLOOKUP(A72,'OI(Value)'!A72:O296,8,0)</f>
        <v>82</v>
      </c>
      <c r="Q72" s="179">
        <f>VLOOKUP(A72,'OI(Value)'!A72:O296,9,0)</f>
        <v>-339</v>
      </c>
      <c r="R72" s="179">
        <f>VLOOKUP(A72,'OI(Value)'!A72:O296,11,0)</f>
        <v>22</v>
      </c>
      <c r="S72" s="179">
        <f>VLOOKUP(A72,'OI(Value)'!A72:O296,11,0)</f>
        <v>22</v>
      </c>
    </row>
    <row r="73" spans="1:19" x14ac:dyDescent="0.25">
      <c r="A73" s="105" t="str">
        <f>'Data Vlaue (Cr)'!C68</f>
        <v>FORTIS</v>
      </c>
      <c r="B73" s="143">
        <f>VLOOKUP($A73,'Data shares'!$C:$FA,118)</f>
        <v>0.52</v>
      </c>
      <c r="C73" s="143">
        <f>VLOOKUP($A73,'Data shares'!$C:$FA,119)</f>
        <v>0.64</v>
      </c>
      <c r="D73" s="143">
        <f>VLOOKUP($A73,'Data shares'!$C:$FA,121)*100</f>
        <v>-18.75</v>
      </c>
      <c r="E73" s="143">
        <f>VLOOKUP($A73,'Data shares'!$C:$FA,124)</f>
        <v>0.43</v>
      </c>
      <c r="F73" s="143">
        <f>VLOOKUP($A73,'Data shares'!$C:$FA,125)</f>
        <v>0.45</v>
      </c>
      <c r="G73" s="143">
        <f>VLOOKUP($A73,'Data shares'!$C:$FA,127)*100</f>
        <v>-4.4400000000000004</v>
      </c>
      <c r="H73" s="103">
        <f>VLOOKUP($A73,'OI(Volume)'!$A$7:$O$445,8)</f>
        <v>1344625</v>
      </c>
      <c r="I73" s="103">
        <f>VLOOKUP($A73,'OI(Volume)'!$A$7:$O$445,9)</f>
        <v>-1495750</v>
      </c>
      <c r="J73" s="103">
        <f>VLOOKUP($A73,'OI(Volume)'!$A$7:$O$445,11)</f>
        <v>693625</v>
      </c>
      <c r="K73" s="103">
        <f>VLOOKUP($A73,'OI(Volume)'!$A$7:$O$445,12)</f>
        <v>-1122975</v>
      </c>
      <c r="L73" s="103">
        <f>VLOOKUP($A73,'OI(Value)'!$A$7:$O$329,8,0)</f>
        <v>131</v>
      </c>
      <c r="M73" s="103">
        <f>VLOOKUP($A73,'OI(Value)'!$A$7:$O$329,9,0)</f>
        <v>-146</v>
      </c>
      <c r="N73" s="103">
        <f>VLOOKUP($A73,'OI(Value)'!$A$7:$O$329,11,0)</f>
        <v>68</v>
      </c>
      <c r="O73" s="103">
        <f>VLOOKUP($A73,'OI(Value)'!$A$7:$O$329,12,0)</f>
        <v>-109</v>
      </c>
      <c r="P73" s="179">
        <f>VLOOKUP(A73,'OI(Value)'!A73:O297,8,0)</f>
        <v>131</v>
      </c>
      <c r="Q73" s="179">
        <f>VLOOKUP(A73,'OI(Value)'!A73:O297,9,0)</f>
        <v>-146</v>
      </c>
      <c r="R73" s="179">
        <f>VLOOKUP(A73,'OI(Value)'!A73:O297,11,0)</f>
        <v>68</v>
      </c>
      <c r="S73" s="179">
        <f>VLOOKUP(A73,'OI(Value)'!A73:O297,11,0)</f>
        <v>68</v>
      </c>
    </row>
    <row r="74" spans="1:19" x14ac:dyDescent="0.25">
      <c r="A74" s="105" t="str">
        <f>'Data Vlaue (Cr)'!C69</f>
        <v>GAIL</v>
      </c>
      <c r="B74" s="143">
        <f>VLOOKUP($A74,'Data shares'!$C:$FA,118)</f>
        <v>0.87</v>
      </c>
      <c r="C74" s="143">
        <f>VLOOKUP($A74,'Data shares'!$C:$FA,119)</f>
        <v>0.97</v>
      </c>
      <c r="D74" s="143">
        <f>VLOOKUP($A74,'Data shares'!$C:$FA,121)*100</f>
        <v>-10.31</v>
      </c>
      <c r="E74" s="143">
        <f>VLOOKUP($A74,'Data shares'!$C:$FA,124)</f>
        <v>0.72</v>
      </c>
      <c r="F74" s="143">
        <f>VLOOKUP($A74,'Data shares'!$C:$FA,125)</f>
        <v>0.44</v>
      </c>
      <c r="G74" s="143">
        <f>VLOOKUP($A74,'Data shares'!$C:$FA,127)*100</f>
        <v>63.639999999999993</v>
      </c>
      <c r="H74" s="103">
        <f>VLOOKUP($A74,'OI(Volume)'!$A$7:$O$445,8)</f>
        <v>17488450</v>
      </c>
      <c r="I74" s="103">
        <f>VLOOKUP($A74,'OI(Volume)'!$A$7:$O$445,9)</f>
        <v>-17115900</v>
      </c>
      <c r="J74" s="103">
        <f>VLOOKUP($A74,'OI(Volume)'!$A$7:$O$445,11)</f>
        <v>15209000</v>
      </c>
      <c r="K74" s="103">
        <f>VLOOKUP($A74,'OI(Volume)'!$A$7:$O$445,12)</f>
        <v>-18260550</v>
      </c>
      <c r="L74" s="103">
        <f>VLOOKUP($A74,'OI(Value)'!$A$7:$O$329,8,0)</f>
        <v>295</v>
      </c>
      <c r="M74" s="103">
        <f>VLOOKUP($A74,'OI(Value)'!$A$7:$O$329,9,0)</f>
        <v>-289</v>
      </c>
      <c r="N74" s="103">
        <f>VLOOKUP($A74,'OI(Value)'!$A$7:$O$329,11,0)</f>
        <v>257</v>
      </c>
      <c r="O74" s="103">
        <f>VLOOKUP($A74,'OI(Value)'!$A$7:$O$329,12,0)</f>
        <v>-308</v>
      </c>
      <c r="P74" s="179">
        <f>VLOOKUP(A74,'OI(Value)'!A74:O298,8,0)</f>
        <v>295</v>
      </c>
      <c r="Q74" s="179">
        <f>VLOOKUP(A74,'OI(Value)'!A74:O298,9,0)</f>
        <v>-289</v>
      </c>
      <c r="R74" s="179">
        <f>VLOOKUP(A74,'OI(Value)'!A74:O298,11,0)</f>
        <v>257</v>
      </c>
      <c r="S74" s="179">
        <f>VLOOKUP(A74,'OI(Value)'!A74:O298,11,0)</f>
        <v>257</v>
      </c>
    </row>
    <row r="75" spans="1:19" x14ac:dyDescent="0.25">
      <c r="A75" s="105" t="str">
        <f>'Data Vlaue (Cr)'!C70</f>
        <v>GLENMARK</v>
      </c>
      <c r="B75" s="143">
        <f>VLOOKUP($A75,'Data shares'!$C:$FA,118)</f>
        <v>0.71</v>
      </c>
      <c r="C75" s="143">
        <f>VLOOKUP($A75,'Data shares'!$C:$FA,119)</f>
        <v>0.59</v>
      </c>
      <c r="D75" s="143">
        <f>VLOOKUP($A75,'Data shares'!$C:$FA,121)*100</f>
        <v>20.34</v>
      </c>
      <c r="E75" s="143">
        <f>VLOOKUP($A75,'Data shares'!$C:$FA,124)</f>
        <v>0.68</v>
      </c>
      <c r="F75" s="143">
        <f>VLOOKUP($A75,'Data shares'!$C:$FA,125)</f>
        <v>0.48</v>
      </c>
      <c r="G75" s="143">
        <f>VLOOKUP($A75,'Data shares'!$C:$FA,127)*100</f>
        <v>41.67</v>
      </c>
      <c r="H75" s="103">
        <f>VLOOKUP($A75,'OI(Volume)'!$A$7:$O$445,8)</f>
        <v>1557375</v>
      </c>
      <c r="I75" s="103">
        <f>VLOOKUP($A75,'OI(Volume)'!$A$7:$O$445,9)</f>
        <v>-1585500</v>
      </c>
      <c r="J75" s="103">
        <f>VLOOKUP($A75,'OI(Volume)'!$A$7:$O$445,11)</f>
        <v>1109250</v>
      </c>
      <c r="K75" s="103">
        <f>VLOOKUP($A75,'OI(Volume)'!$A$7:$O$445,12)</f>
        <v>-756000</v>
      </c>
      <c r="L75" s="103">
        <f>VLOOKUP($A75,'OI(Value)'!$A$7:$O$329,8,0)</f>
        <v>369</v>
      </c>
      <c r="M75" s="103">
        <f>VLOOKUP($A75,'OI(Value)'!$A$7:$O$329,9,0)</f>
        <v>-376</v>
      </c>
      <c r="N75" s="103">
        <f>VLOOKUP($A75,'OI(Value)'!$A$7:$O$329,11,0)</f>
        <v>263</v>
      </c>
      <c r="O75" s="103">
        <f>VLOOKUP($A75,'OI(Value)'!$A$7:$O$329,12,0)</f>
        <v>-179</v>
      </c>
      <c r="P75" s="179">
        <f>VLOOKUP(A75,'OI(Value)'!A75:O299,8,0)</f>
        <v>369</v>
      </c>
      <c r="Q75" s="179">
        <f>VLOOKUP(A75,'OI(Value)'!A75:O299,9,0)</f>
        <v>-376</v>
      </c>
      <c r="R75" s="179">
        <f>VLOOKUP(A75,'OI(Value)'!A75:O299,11,0)</f>
        <v>263</v>
      </c>
      <c r="S75" s="179">
        <f>VLOOKUP(A75,'OI(Value)'!A75:O299,11,0)</f>
        <v>263</v>
      </c>
    </row>
    <row r="76" spans="1:19" x14ac:dyDescent="0.25">
      <c r="A76" s="105" t="str">
        <f>'Data Vlaue (Cr)'!C71</f>
        <v>GMRAIRPORT</v>
      </c>
      <c r="B76" s="143">
        <f>VLOOKUP($A76,'Data shares'!$C:$FA,118)</f>
        <v>0.68</v>
      </c>
      <c r="C76" s="143">
        <f>VLOOKUP($A76,'Data shares'!$C:$FA,119)</f>
        <v>0.66</v>
      </c>
      <c r="D76" s="143">
        <f>VLOOKUP($A76,'Data shares'!$C:$FA,121)*100</f>
        <v>3.0300000000000002</v>
      </c>
      <c r="E76" s="143">
        <f>VLOOKUP($A76,'Data shares'!$C:$FA,124)</f>
        <v>0.35</v>
      </c>
      <c r="F76" s="143">
        <f>VLOOKUP($A76,'Data shares'!$C:$FA,125)</f>
        <v>0.47</v>
      </c>
      <c r="G76" s="143">
        <f>VLOOKUP($A76,'Data shares'!$C:$FA,127)*100</f>
        <v>-25.53</v>
      </c>
      <c r="H76" s="103">
        <f>VLOOKUP($A76,'OI(Volume)'!$A$7:$O$445,8)</f>
        <v>22264200</v>
      </c>
      <c r="I76" s="103">
        <f>VLOOKUP($A76,'OI(Volume)'!$A$7:$O$445,9)</f>
        <v>-26986275</v>
      </c>
      <c r="J76" s="103">
        <f>VLOOKUP($A76,'OI(Volume)'!$A$7:$O$445,11)</f>
        <v>15114825</v>
      </c>
      <c r="K76" s="103">
        <f>VLOOKUP($A76,'OI(Volume)'!$A$7:$O$445,12)</f>
        <v>-17590950</v>
      </c>
      <c r="L76" s="103">
        <f>VLOOKUP($A76,'OI(Value)'!$A$7:$O$329,8,0)</f>
        <v>216</v>
      </c>
      <c r="M76" s="103">
        <f>VLOOKUP($A76,'OI(Value)'!$A$7:$O$329,9,0)</f>
        <v>-261</v>
      </c>
      <c r="N76" s="103">
        <f>VLOOKUP($A76,'OI(Value)'!$A$7:$O$329,11,0)</f>
        <v>146</v>
      </c>
      <c r="O76" s="103">
        <f>VLOOKUP($A76,'OI(Value)'!$A$7:$O$329,12,0)</f>
        <v>-170</v>
      </c>
      <c r="P76" s="179">
        <f>VLOOKUP(A76,'OI(Value)'!A76:O300,8,0)</f>
        <v>216</v>
      </c>
      <c r="Q76" s="179">
        <f>VLOOKUP(A76,'OI(Value)'!A76:O300,9,0)</f>
        <v>-261</v>
      </c>
      <c r="R76" s="179">
        <f>VLOOKUP(A76,'OI(Value)'!A76:O300,11,0)</f>
        <v>146</v>
      </c>
      <c r="S76" s="179">
        <f>VLOOKUP(A76,'OI(Value)'!A76:O300,11,0)</f>
        <v>146</v>
      </c>
    </row>
    <row r="77" spans="1:19" x14ac:dyDescent="0.25">
      <c r="A77" s="105" t="str">
        <f>'Data Vlaue (Cr)'!C72</f>
        <v>GODFRYPHLP</v>
      </c>
      <c r="B77" s="143">
        <f>VLOOKUP($A77,'Data shares'!$C:$FA,118)</f>
        <v>0.34</v>
      </c>
      <c r="C77" s="143">
        <f>VLOOKUP($A77,'Data shares'!$C:$FA,119)</f>
        <v>0.5</v>
      </c>
      <c r="D77" s="143">
        <f>VLOOKUP($A77,'Data shares'!$C:$FA,121)*100</f>
        <v>-32</v>
      </c>
      <c r="E77" s="143">
        <f>VLOOKUP($A77,'Data shares'!$C:$FA,124)</f>
        <v>0.54</v>
      </c>
      <c r="F77" s="143">
        <f>VLOOKUP($A77,'Data shares'!$C:$FA,125)</f>
        <v>0.28999999999999998</v>
      </c>
      <c r="G77" s="143">
        <f>VLOOKUP($A77,'Data shares'!$C:$FA,127)*100</f>
        <v>86.21</v>
      </c>
      <c r="H77" s="103">
        <f>VLOOKUP($A77,'OI(Volume)'!$A$7:$O$445,8)</f>
        <v>555500</v>
      </c>
      <c r="I77" s="103">
        <f>VLOOKUP($A77,'OI(Volume)'!$A$7:$O$445,9)</f>
        <v>-815100</v>
      </c>
      <c r="J77" s="103">
        <f>VLOOKUP($A77,'OI(Volume)'!$A$7:$O$445,11)</f>
        <v>189750</v>
      </c>
      <c r="K77" s="103">
        <f>VLOOKUP($A77,'OI(Volume)'!$A$7:$O$445,12)</f>
        <v>-493075</v>
      </c>
      <c r="L77" s="103">
        <f>VLOOKUP($A77,'OI(Value)'!$A$7:$O$329,8,0)</f>
        <v>128</v>
      </c>
      <c r="M77" s="103">
        <f>VLOOKUP($A77,'OI(Value)'!$A$7:$O$329,9,0)</f>
        <v>-188</v>
      </c>
      <c r="N77" s="103">
        <f>VLOOKUP($A77,'OI(Value)'!$A$7:$O$329,11,0)</f>
        <v>44</v>
      </c>
      <c r="O77" s="103">
        <f>VLOOKUP($A77,'OI(Value)'!$A$7:$O$329,12,0)</f>
        <v>-114</v>
      </c>
      <c r="P77" s="179">
        <f>VLOOKUP(A77,'OI(Value)'!A77:O301,8,0)</f>
        <v>128</v>
      </c>
      <c r="Q77" s="179">
        <f>VLOOKUP(A77,'OI(Value)'!A77:O301,9,0)</f>
        <v>-188</v>
      </c>
      <c r="R77" s="179">
        <f>VLOOKUP(A77,'OI(Value)'!A77:O301,11,0)</f>
        <v>44</v>
      </c>
      <c r="S77" s="179">
        <f>VLOOKUP(A77,'OI(Value)'!A77:O301,11,0)</f>
        <v>44</v>
      </c>
    </row>
    <row r="78" spans="1:19" x14ac:dyDescent="0.25">
      <c r="A78" s="105" t="str">
        <f>'Data Vlaue (Cr)'!C73</f>
        <v>GODREJCP</v>
      </c>
      <c r="B78" s="143">
        <f>VLOOKUP($A78,'Data shares'!$C:$FA,118)</f>
        <v>0.73</v>
      </c>
      <c r="C78" s="143">
        <f>VLOOKUP($A78,'Data shares'!$C:$FA,119)</f>
        <v>0.63</v>
      </c>
      <c r="D78" s="143">
        <f>VLOOKUP($A78,'Data shares'!$C:$FA,121)*100</f>
        <v>15.870000000000001</v>
      </c>
      <c r="E78" s="143">
        <f>VLOOKUP($A78,'Data shares'!$C:$FA,124)</f>
        <v>0.65</v>
      </c>
      <c r="F78" s="143">
        <f>VLOOKUP($A78,'Data shares'!$C:$FA,125)</f>
        <v>0.45</v>
      </c>
      <c r="G78" s="143">
        <f>VLOOKUP($A78,'Data shares'!$C:$FA,127)*100</f>
        <v>44.440000000000005</v>
      </c>
      <c r="H78" s="103">
        <f>VLOOKUP($A78,'OI(Volume)'!$A$7:$O$445,8)</f>
        <v>624000</v>
      </c>
      <c r="I78" s="103">
        <f>VLOOKUP($A78,'OI(Volume)'!$A$7:$O$445,9)</f>
        <v>-2645000</v>
      </c>
      <c r="J78" s="103">
        <f>VLOOKUP($A78,'OI(Volume)'!$A$7:$O$445,11)</f>
        <v>455500</v>
      </c>
      <c r="K78" s="103">
        <f>VLOOKUP($A78,'OI(Volume)'!$A$7:$O$445,12)</f>
        <v>-1606500</v>
      </c>
      <c r="L78" s="103">
        <f>VLOOKUP($A78,'OI(Value)'!$A$7:$O$329,8,0)</f>
        <v>65</v>
      </c>
      <c r="M78" s="103">
        <f>VLOOKUP($A78,'OI(Value)'!$A$7:$O$329,9,0)</f>
        <v>-274</v>
      </c>
      <c r="N78" s="103">
        <f>VLOOKUP($A78,'OI(Value)'!$A$7:$O$329,11,0)</f>
        <v>47</v>
      </c>
      <c r="O78" s="103">
        <f>VLOOKUP($A78,'OI(Value)'!$A$7:$O$329,12,0)</f>
        <v>-167</v>
      </c>
      <c r="P78" s="179">
        <f>VLOOKUP(A78,'OI(Value)'!A78:O302,8,0)</f>
        <v>65</v>
      </c>
      <c r="Q78" s="179">
        <f>VLOOKUP(A78,'OI(Value)'!A78:O302,9,0)</f>
        <v>-274</v>
      </c>
      <c r="R78" s="179">
        <f>VLOOKUP(A78,'OI(Value)'!A78:O302,11,0)</f>
        <v>47</v>
      </c>
      <c r="S78" s="179">
        <f>VLOOKUP(A78,'OI(Value)'!A78:O302,11,0)</f>
        <v>47</v>
      </c>
    </row>
    <row r="79" spans="1:19" x14ac:dyDescent="0.25">
      <c r="A79" s="105" t="str">
        <f>'Data Vlaue (Cr)'!C74</f>
        <v>GODREJPROP</v>
      </c>
      <c r="B79" s="143">
        <f>VLOOKUP($A79,'Data shares'!$C:$FA,118)</f>
        <v>0.67</v>
      </c>
      <c r="C79" s="143">
        <f>VLOOKUP($A79,'Data shares'!$C:$FA,119)</f>
        <v>0.69</v>
      </c>
      <c r="D79" s="143">
        <f>VLOOKUP($A79,'Data shares'!$C:$FA,121)*100</f>
        <v>-2.9000000000000004</v>
      </c>
      <c r="E79" s="143">
        <f>VLOOKUP($A79,'Data shares'!$C:$FA,124)</f>
        <v>0.65</v>
      </c>
      <c r="F79" s="143">
        <f>VLOOKUP($A79,'Data shares'!$C:$FA,125)</f>
        <v>0.73</v>
      </c>
      <c r="G79" s="143">
        <f>VLOOKUP($A79,'Data shares'!$C:$FA,127)*100</f>
        <v>-10.96</v>
      </c>
      <c r="H79" s="103">
        <f>VLOOKUP($A79,'OI(Volume)'!$A$7:$O$445,8)</f>
        <v>1255100</v>
      </c>
      <c r="I79" s="103">
        <f>VLOOKUP($A79,'OI(Volume)'!$A$7:$O$445,9)</f>
        <v>-1855425</v>
      </c>
      <c r="J79" s="103">
        <f>VLOOKUP($A79,'OI(Volume)'!$A$7:$O$445,11)</f>
        <v>836050</v>
      </c>
      <c r="K79" s="103">
        <f>VLOOKUP($A79,'OI(Volume)'!$A$7:$O$445,12)</f>
        <v>-1298775</v>
      </c>
      <c r="L79" s="103">
        <f>VLOOKUP($A79,'OI(Value)'!$A$7:$O$329,8,0)</f>
        <v>222</v>
      </c>
      <c r="M79" s="103">
        <f>VLOOKUP($A79,'OI(Value)'!$A$7:$O$329,9,0)</f>
        <v>-329</v>
      </c>
      <c r="N79" s="103">
        <f>VLOOKUP($A79,'OI(Value)'!$A$7:$O$329,11,0)</f>
        <v>148</v>
      </c>
      <c r="O79" s="103">
        <f>VLOOKUP($A79,'OI(Value)'!$A$7:$O$329,12,0)</f>
        <v>-230</v>
      </c>
      <c r="P79" s="179">
        <f>VLOOKUP(A79,'OI(Value)'!A79:O303,8,0)</f>
        <v>222</v>
      </c>
      <c r="Q79" s="179">
        <f>VLOOKUP(A79,'OI(Value)'!A79:O303,9,0)</f>
        <v>-329</v>
      </c>
      <c r="R79" s="179">
        <f>VLOOKUP(A79,'OI(Value)'!A79:O303,11,0)</f>
        <v>148</v>
      </c>
      <c r="S79" s="179">
        <f>VLOOKUP(A79,'OI(Value)'!A79:O303,11,0)</f>
        <v>148</v>
      </c>
    </row>
    <row r="80" spans="1:19" x14ac:dyDescent="0.25">
      <c r="A80" s="105" t="str">
        <f>'Data Vlaue (Cr)'!C75</f>
        <v>GRASIM</v>
      </c>
      <c r="B80" s="143">
        <f>VLOOKUP($A80,'Data shares'!$C:$FA,118)</f>
        <v>1.08</v>
      </c>
      <c r="C80" s="143">
        <f>VLOOKUP($A80,'Data shares'!$C:$FA,119)</f>
        <v>1.1200000000000001</v>
      </c>
      <c r="D80" s="143">
        <f>VLOOKUP($A80,'Data shares'!$C:$FA,121)*100</f>
        <v>-3.5700000000000003</v>
      </c>
      <c r="E80" s="143">
        <f>VLOOKUP($A80,'Data shares'!$C:$FA,124)</f>
        <v>0.72</v>
      </c>
      <c r="F80" s="143">
        <f>VLOOKUP($A80,'Data shares'!$C:$FA,125)</f>
        <v>0.84</v>
      </c>
      <c r="G80" s="143">
        <f>VLOOKUP($A80,'Data shares'!$C:$FA,127)*100</f>
        <v>-14.29</v>
      </c>
      <c r="H80" s="103">
        <f>VLOOKUP($A80,'OI(Volume)'!$A$7:$O$445,8)</f>
        <v>785000</v>
      </c>
      <c r="I80" s="103">
        <f>VLOOKUP($A80,'OI(Volume)'!$A$7:$O$445,9)</f>
        <v>-1622000</v>
      </c>
      <c r="J80" s="103">
        <f>VLOOKUP($A80,'OI(Volume)'!$A$7:$O$445,11)</f>
        <v>845250</v>
      </c>
      <c r="K80" s="103">
        <f>VLOOKUP($A80,'OI(Volume)'!$A$7:$O$445,12)</f>
        <v>-1861250</v>
      </c>
      <c r="L80" s="103">
        <f>VLOOKUP($A80,'OI(Value)'!$A$7:$O$329,8,0)</f>
        <v>250</v>
      </c>
      <c r="M80" s="103">
        <f>VLOOKUP($A80,'OI(Value)'!$A$7:$O$329,9,0)</f>
        <v>-517</v>
      </c>
      <c r="N80" s="103">
        <f>VLOOKUP($A80,'OI(Value)'!$A$7:$O$329,11,0)</f>
        <v>269</v>
      </c>
      <c r="O80" s="103">
        <f>VLOOKUP($A80,'OI(Value)'!$A$7:$O$329,12,0)</f>
        <v>-593</v>
      </c>
      <c r="P80" s="179">
        <f>VLOOKUP(A80,'OI(Value)'!A80:O304,8,0)</f>
        <v>250</v>
      </c>
      <c r="Q80" s="179">
        <f>VLOOKUP(A80,'OI(Value)'!A80:O304,9,0)</f>
        <v>-517</v>
      </c>
      <c r="R80" s="179">
        <f>VLOOKUP(A80,'OI(Value)'!A80:O304,11,0)</f>
        <v>269</v>
      </c>
      <c r="S80" s="179">
        <f>VLOOKUP(A80,'OI(Value)'!A80:O304,11,0)</f>
        <v>269</v>
      </c>
    </row>
    <row r="81" spans="1:19" x14ac:dyDescent="0.25">
      <c r="A81" s="105" t="str">
        <f>'Data Vlaue (Cr)'!C76</f>
        <v>HAL</v>
      </c>
      <c r="B81" s="143">
        <f>VLOOKUP($A81,'Data shares'!$C:$FA,118)</f>
        <v>0.81</v>
      </c>
      <c r="C81" s="143">
        <f>VLOOKUP($A81,'Data shares'!$C:$FA,119)</f>
        <v>0.64</v>
      </c>
      <c r="D81" s="143">
        <f>VLOOKUP($A81,'Data shares'!$C:$FA,121)*100</f>
        <v>26.56</v>
      </c>
      <c r="E81" s="143">
        <f>VLOOKUP($A81,'Data shares'!$C:$FA,124)</f>
        <v>0.56000000000000005</v>
      </c>
      <c r="F81" s="143">
        <f>VLOOKUP($A81,'Data shares'!$C:$FA,125)</f>
        <v>0.47</v>
      </c>
      <c r="G81" s="143">
        <f>VLOOKUP($A81,'Data shares'!$C:$FA,127)*100</f>
        <v>19.149999999999999</v>
      </c>
      <c r="H81" s="103">
        <f>VLOOKUP($A81,'OI(Volume)'!$A$7:$O$445,8)</f>
        <v>1500000</v>
      </c>
      <c r="I81" s="103">
        <f>VLOOKUP($A81,'OI(Volume)'!$A$7:$O$445,9)</f>
        <v>-2600250</v>
      </c>
      <c r="J81" s="103">
        <f>VLOOKUP($A81,'OI(Volume)'!$A$7:$O$445,11)</f>
        <v>1211700</v>
      </c>
      <c r="K81" s="103">
        <f>VLOOKUP($A81,'OI(Volume)'!$A$7:$O$445,12)</f>
        <v>-1414350</v>
      </c>
      <c r="L81" s="103">
        <f>VLOOKUP($A81,'OI(Value)'!$A$7:$O$329,8,0)</f>
        <v>669</v>
      </c>
      <c r="M81" s="103">
        <f>VLOOKUP($A81,'OI(Value)'!$A$7:$O$329,9,0)</f>
        <v>-1160</v>
      </c>
      <c r="N81" s="103">
        <f>VLOOKUP($A81,'OI(Value)'!$A$7:$O$329,11,0)</f>
        <v>540</v>
      </c>
      <c r="O81" s="103">
        <f>VLOOKUP($A81,'OI(Value)'!$A$7:$O$329,12,0)</f>
        <v>-631</v>
      </c>
      <c r="P81" s="179">
        <f>VLOOKUP(A81,'OI(Value)'!A81:O305,8,0)</f>
        <v>669</v>
      </c>
      <c r="Q81" s="179">
        <f>VLOOKUP(A81,'OI(Value)'!A81:O305,9,0)</f>
        <v>-1160</v>
      </c>
      <c r="R81" s="179">
        <f>VLOOKUP(A81,'OI(Value)'!A81:O305,11,0)</f>
        <v>540</v>
      </c>
      <c r="S81" s="179">
        <f>VLOOKUP(A81,'OI(Value)'!A81:O305,11,0)</f>
        <v>540</v>
      </c>
    </row>
    <row r="82" spans="1:19" x14ac:dyDescent="0.25">
      <c r="A82" s="105" t="str">
        <f>'Data Vlaue (Cr)'!C77</f>
        <v>HAVELLS</v>
      </c>
      <c r="B82" s="143">
        <f>VLOOKUP($A82,'Data shares'!$C:$FA,118)</f>
        <v>0.74</v>
      </c>
      <c r="C82" s="143">
        <f>VLOOKUP($A82,'Data shares'!$C:$FA,119)</f>
        <v>0.47</v>
      </c>
      <c r="D82" s="143">
        <f>VLOOKUP($A82,'Data shares'!$C:$FA,121)*100</f>
        <v>57.45</v>
      </c>
      <c r="E82" s="143">
        <f>VLOOKUP($A82,'Data shares'!$C:$FA,124)</f>
        <v>1.37</v>
      </c>
      <c r="F82" s="143">
        <f>VLOOKUP($A82,'Data shares'!$C:$FA,125)</f>
        <v>0.38</v>
      </c>
      <c r="G82" s="143">
        <f>VLOOKUP($A82,'Data shares'!$C:$FA,127)*100</f>
        <v>260.53000000000003</v>
      </c>
      <c r="H82" s="103">
        <f>VLOOKUP($A82,'OI(Volume)'!$A$7:$O$445,8)</f>
        <v>1219500</v>
      </c>
      <c r="I82" s="103">
        <f>VLOOKUP($A82,'OI(Volume)'!$A$7:$O$445,9)</f>
        <v>-2956500</v>
      </c>
      <c r="J82" s="103">
        <f>VLOOKUP($A82,'OI(Volume)'!$A$7:$O$445,11)</f>
        <v>905000</v>
      </c>
      <c r="K82" s="103">
        <f>VLOOKUP($A82,'OI(Volume)'!$A$7:$O$445,12)</f>
        <v>-1045000</v>
      </c>
      <c r="L82" s="103">
        <f>VLOOKUP($A82,'OI(Value)'!$A$7:$O$329,8,0)</f>
        <v>148</v>
      </c>
      <c r="M82" s="103">
        <f>VLOOKUP($A82,'OI(Value)'!$A$7:$O$329,9,0)</f>
        <v>-358</v>
      </c>
      <c r="N82" s="103">
        <f>VLOOKUP($A82,'OI(Value)'!$A$7:$O$329,11,0)</f>
        <v>110</v>
      </c>
      <c r="O82" s="103">
        <f>VLOOKUP($A82,'OI(Value)'!$A$7:$O$329,12,0)</f>
        <v>-127</v>
      </c>
      <c r="P82" s="179">
        <f>VLOOKUP(A82,'OI(Value)'!A82:O306,8,0)</f>
        <v>148</v>
      </c>
      <c r="Q82" s="179">
        <f>VLOOKUP(A82,'OI(Value)'!A82:O306,9,0)</f>
        <v>-358</v>
      </c>
      <c r="R82" s="179">
        <f>VLOOKUP(A82,'OI(Value)'!A82:O306,11,0)</f>
        <v>110</v>
      </c>
      <c r="S82" s="179">
        <f>VLOOKUP(A82,'OI(Value)'!A82:O306,11,0)</f>
        <v>110</v>
      </c>
    </row>
    <row r="83" spans="1:19" x14ac:dyDescent="0.25">
      <c r="A83" s="105" t="str">
        <f>'Data Vlaue (Cr)'!C78</f>
        <v>HCLTECH</v>
      </c>
      <c r="B83" s="143">
        <f>VLOOKUP($A83,'Data shares'!$C:$FA,118)</f>
        <v>0.75</v>
      </c>
      <c r="C83" s="143">
        <f>VLOOKUP($A83,'Data shares'!$C:$FA,119)</f>
        <v>0.43</v>
      </c>
      <c r="D83" s="143">
        <f>VLOOKUP($A83,'Data shares'!$C:$FA,121)*100</f>
        <v>74.42</v>
      </c>
      <c r="E83" s="143">
        <f>VLOOKUP($A83,'Data shares'!$C:$FA,124)</f>
        <v>0.47</v>
      </c>
      <c r="F83" s="143">
        <f>VLOOKUP($A83,'Data shares'!$C:$FA,125)</f>
        <v>0.52</v>
      </c>
      <c r="G83" s="143">
        <f>VLOOKUP($A83,'Data shares'!$C:$FA,127)*100</f>
        <v>-9.6199999999999992</v>
      </c>
      <c r="H83" s="103">
        <f>VLOOKUP($A83,'OI(Volume)'!$A$7:$O$445,8)</f>
        <v>4354750</v>
      </c>
      <c r="I83" s="103">
        <f>VLOOKUP($A83,'OI(Volume)'!$A$7:$O$445,9)</f>
        <v>-19998050</v>
      </c>
      <c r="J83" s="103">
        <f>VLOOKUP($A83,'OI(Volume)'!$A$7:$O$445,11)</f>
        <v>3264050</v>
      </c>
      <c r="K83" s="103">
        <f>VLOOKUP($A83,'OI(Volume)'!$A$7:$O$445,12)</f>
        <v>-7107850</v>
      </c>
      <c r="L83" s="103">
        <f>VLOOKUP($A83,'OI(Value)'!$A$7:$O$329,8,0)</f>
        <v>506</v>
      </c>
      <c r="M83" s="103">
        <f>VLOOKUP($A83,'OI(Value)'!$A$7:$O$329,9,0)</f>
        <v>-2322</v>
      </c>
      <c r="N83" s="103">
        <f>VLOOKUP($A83,'OI(Value)'!$A$7:$O$329,11,0)</f>
        <v>379</v>
      </c>
      <c r="O83" s="103">
        <f>VLOOKUP($A83,'OI(Value)'!$A$7:$O$329,12,0)</f>
        <v>-825</v>
      </c>
      <c r="P83" s="179">
        <f>VLOOKUP(A83,'OI(Value)'!A83:O307,8,0)</f>
        <v>506</v>
      </c>
      <c r="Q83" s="179">
        <f>VLOOKUP(A83,'OI(Value)'!A83:O307,9,0)</f>
        <v>-2322</v>
      </c>
      <c r="R83" s="179">
        <f>VLOOKUP(A83,'OI(Value)'!A83:O307,11,0)</f>
        <v>379</v>
      </c>
      <c r="S83" s="179">
        <f>VLOOKUP(A83,'OI(Value)'!A83:O307,11,0)</f>
        <v>379</v>
      </c>
    </row>
    <row r="84" spans="1:19" x14ac:dyDescent="0.25">
      <c r="A84" s="105" t="str">
        <f>'Data Vlaue (Cr)'!C79</f>
        <v>HDFCAMC</v>
      </c>
      <c r="B84" s="143">
        <f>VLOOKUP($A84,'Data shares'!$C:$FA,118)</f>
        <v>0.65</v>
      </c>
      <c r="C84" s="143">
        <f>VLOOKUP($A84,'Data shares'!$C:$FA,119)</f>
        <v>0.67</v>
      </c>
      <c r="D84" s="143">
        <f>VLOOKUP($A84,'Data shares'!$C:$FA,121)*100</f>
        <v>-2.9899999999999998</v>
      </c>
      <c r="E84" s="143">
        <f>VLOOKUP($A84,'Data shares'!$C:$FA,124)</f>
        <v>0.55000000000000004</v>
      </c>
      <c r="F84" s="143">
        <f>VLOOKUP($A84,'Data shares'!$C:$FA,125)</f>
        <v>0.16</v>
      </c>
      <c r="G84" s="143">
        <f>VLOOKUP($A84,'Data shares'!$C:$FA,127)*100</f>
        <v>243.75</v>
      </c>
      <c r="H84" s="103">
        <f>VLOOKUP($A84,'OI(Volume)'!$A$7:$O$445,8)</f>
        <v>491100</v>
      </c>
      <c r="I84" s="103">
        <f>VLOOKUP($A84,'OI(Volume)'!$A$7:$O$445,9)</f>
        <v>-993000</v>
      </c>
      <c r="J84" s="103">
        <f>VLOOKUP($A84,'OI(Volume)'!$A$7:$O$445,11)</f>
        <v>318900</v>
      </c>
      <c r="K84" s="103">
        <f>VLOOKUP($A84,'OI(Volume)'!$A$7:$O$445,12)</f>
        <v>-677100</v>
      </c>
      <c r="L84" s="103">
        <f>VLOOKUP($A84,'OI(Value)'!$A$7:$O$329,8,0)</f>
        <v>135</v>
      </c>
      <c r="M84" s="103">
        <f>VLOOKUP($A84,'OI(Value)'!$A$7:$O$329,9,0)</f>
        <v>-274</v>
      </c>
      <c r="N84" s="103">
        <f>VLOOKUP($A84,'OI(Value)'!$A$7:$O$329,11,0)</f>
        <v>88</v>
      </c>
      <c r="O84" s="103">
        <f>VLOOKUP($A84,'OI(Value)'!$A$7:$O$329,12,0)</f>
        <v>-187</v>
      </c>
      <c r="P84" s="179">
        <f>VLOOKUP(A84,'OI(Value)'!A84:O308,8,0)</f>
        <v>135</v>
      </c>
      <c r="Q84" s="179">
        <f>VLOOKUP(A84,'OI(Value)'!A84:O308,9,0)</f>
        <v>-274</v>
      </c>
      <c r="R84" s="179">
        <f>VLOOKUP(A84,'OI(Value)'!A84:O308,11,0)</f>
        <v>88</v>
      </c>
      <c r="S84" s="179">
        <f>VLOOKUP(A84,'OI(Value)'!A84:O308,11,0)</f>
        <v>88</v>
      </c>
    </row>
    <row r="85" spans="1:19" x14ac:dyDescent="0.25">
      <c r="A85" s="105" t="str">
        <f>'Data Vlaue (Cr)'!C80</f>
        <v>HDFCBANK</v>
      </c>
      <c r="B85" s="143">
        <f>VLOOKUP($A85,'Data shares'!$C:$FA,118)</f>
        <v>0.62</v>
      </c>
      <c r="C85" s="143">
        <f>VLOOKUP($A85,'Data shares'!$C:$FA,119)</f>
        <v>0.67</v>
      </c>
      <c r="D85" s="143">
        <f>VLOOKUP($A85,'Data shares'!$C:$FA,121)*100</f>
        <v>-7.46</v>
      </c>
      <c r="E85" s="143">
        <f>VLOOKUP($A85,'Data shares'!$C:$FA,124)</f>
        <v>0.55000000000000004</v>
      </c>
      <c r="F85" s="143">
        <f>VLOOKUP($A85,'Data shares'!$C:$FA,125)</f>
        <v>0.56000000000000005</v>
      </c>
      <c r="G85" s="143">
        <f>VLOOKUP($A85,'Data shares'!$C:$FA,127)*100</f>
        <v>-1.79</v>
      </c>
      <c r="H85" s="103">
        <f>VLOOKUP($A85,'OI(Volume)'!$A$7:$O$445,8)</f>
        <v>45862000</v>
      </c>
      <c r="I85" s="103">
        <f>VLOOKUP($A85,'OI(Volume)'!$A$7:$O$445,9)</f>
        <v>-29239800</v>
      </c>
      <c r="J85" s="103">
        <f>VLOOKUP($A85,'OI(Volume)'!$A$7:$O$445,11)</f>
        <v>28584650</v>
      </c>
      <c r="K85" s="103">
        <f>VLOOKUP($A85,'OI(Volume)'!$A$7:$O$445,12)</f>
        <v>-21473200</v>
      </c>
      <c r="L85" s="103">
        <f>VLOOKUP($A85,'OI(Value)'!$A$7:$O$329,8,0)</f>
        <v>3540</v>
      </c>
      <c r="M85" s="103">
        <f>VLOOKUP($A85,'OI(Value)'!$A$7:$O$329,9,0)</f>
        <v>-2257</v>
      </c>
      <c r="N85" s="103">
        <f>VLOOKUP($A85,'OI(Value)'!$A$7:$O$329,11,0)</f>
        <v>2206</v>
      </c>
      <c r="O85" s="103">
        <f>VLOOKUP($A85,'OI(Value)'!$A$7:$O$329,12,0)</f>
        <v>-1657</v>
      </c>
      <c r="P85" s="179">
        <f>VLOOKUP(A85,'OI(Value)'!A85:O309,8,0)</f>
        <v>3540</v>
      </c>
      <c r="Q85" s="179">
        <f>VLOOKUP(A85,'OI(Value)'!A85:O309,9,0)</f>
        <v>-2257</v>
      </c>
      <c r="R85" s="179">
        <f>VLOOKUP(A85,'OI(Value)'!A85:O309,11,0)</f>
        <v>2206</v>
      </c>
      <c r="S85" s="179">
        <f>VLOOKUP(A85,'OI(Value)'!A85:O309,11,0)</f>
        <v>2206</v>
      </c>
    </row>
    <row r="86" spans="1:19" x14ac:dyDescent="0.25">
      <c r="A86" s="105" t="str">
        <f>'Data Vlaue (Cr)'!C81</f>
        <v>HDFCLIFE</v>
      </c>
      <c r="B86" s="143">
        <f>VLOOKUP($A86,'Data shares'!$C:$FA,118)</f>
        <v>0.75</v>
      </c>
      <c r="C86" s="143">
        <f>VLOOKUP($A86,'Data shares'!$C:$FA,119)</f>
        <v>0.7</v>
      </c>
      <c r="D86" s="143">
        <f>VLOOKUP($A86,'Data shares'!$C:$FA,121)*100</f>
        <v>7.1400000000000006</v>
      </c>
      <c r="E86" s="143">
        <f>VLOOKUP($A86,'Data shares'!$C:$FA,124)</f>
        <v>0.51</v>
      </c>
      <c r="F86" s="143">
        <f>VLOOKUP($A86,'Data shares'!$C:$FA,125)</f>
        <v>0.59</v>
      </c>
      <c r="G86" s="143">
        <f>VLOOKUP($A86,'Data shares'!$C:$FA,127)*100</f>
        <v>-13.56</v>
      </c>
      <c r="H86" s="103">
        <f>VLOOKUP($A86,'OI(Volume)'!$A$7:$O$445,8)</f>
        <v>6441600</v>
      </c>
      <c r="I86" s="103">
        <f>VLOOKUP($A86,'OI(Volume)'!$A$7:$O$445,9)</f>
        <v>-14539800</v>
      </c>
      <c r="J86" s="103">
        <f>VLOOKUP($A86,'OI(Volume)'!$A$7:$O$445,11)</f>
        <v>4813600</v>
      </c>
      <c r="K86" s="103">
        <f>VLOOKUP($A86,'OI(Volume)'!$A$7:$O$445,12)</f>
        <v>-9974800</v>
      </c>
      <c r="L86" s="103">
        <f>VLOOKUP($A86,'OI(Value)'!$A$7:$O$329,8,0)</f>
        <v>400</v>
      </c>
      <c r="M86" s="103">
        <f>VLOOKUP($A86,'OI(Value)'!$A$7:$O$329,9,0)</f>
        <v>-902</v>
      </c>
      <c r="N86" s="103">
        <f>VLOOKUP($A86,'OI(Value)'!$A$7:$O$329,11,0)</f>
        <v>299</v>
      </c>
      <c r="O86" s="103">
        <f>VLOOKUP($A86,'OI(Value)'!$A$7:$O$329,12,0)</f>
        <v>-619</v>
      </c>
      <c r="P86" s="179">
        <f>VLOOKUP(A86,'OI(Value)'!A86:O310,8,0)</f>
        <v>400</v>
      </c>
      <c r="Q86" s="179">
        <f>VLOOKUP(A86,'OI(Value)'!A86:O310,9,0)</f>
        <v>-902</v>
      </c>
      <c r="R86" s="179">
        <f>VLOOKUP(A86,'OI(Value)'!A86:O310,11,0)</f>
        <v>299</v>
      </c>
      <c r="S86" s="179">
        <f>VLOOKUP(A86,'OI(Value)'!A86:O310,11,0)</f>
        <v>299</v>
      </c>
    </row>
    <row r="87" spans="1:19" x14ac:dyDescent="0.25">
      <c r="A87" s="105" t="str">
        <f>'Data Vlaue (Cr)'!C82</f>
        <v>HEROMOTOCO</v>
      </c>
      <c r="B87" s="143">
        <f>VLOOKUP($A87,'Data shares'!$C:$FA,118)</f>
        <v>0.54</v>
      </c>
      <c r="C87" s="143">
        <f>VLOOKUP($A87,'Data shares'!$C:$FA,119)</f>
        <v>0.59</v>
      </c>
      <c r="D87" s="143">
        <f>VLOOKUP($A87,'Data shares'!$C:$FA,121)*100</f>
        <v>-8.4699999999999989</v>
      </c>
      <c r="E87" s="143">
        <f>VLOOKUP($A87,'Data shares'!$C:$FA,124)</f>
        <v>0.32</v>
      </c>
      <c r="F87" s="143">
        <f>VLOOKUP($A87,'Data shares'!$C:$FA,125)</f>
        <v>0.33</v>
      </c>
      <c r="G87" s="143">
        <f>VLOOKUP($A87,'Data shares'!$C:$FA,127)*100</f>
        <v>-3.0300000000000002</v>
      </c>
      <c r="H87" s="103">
        <f>VLOOKUP($A87,'OI(Volume)'!$A$7:$O$445,8)</f>
        <v>1161450</v>
      </c>
      <c r="I87" s="103">
        <f>VLOOKUP($A87,'OI(Volume)'!$A$7:$O$445,9)</f>
        <v>-1807650</v>
      </c>
      <c r="J87" s="103">
        <f>VLOOKUP($A87,'OI(Volume)'!$A$7:$O$445,11)</f>
        <v>630150</v>
      </c>
      <c r="K87" s="103">
        <f>VLOOKUP($A87,'OI(Volume)'!$A$7:$O$445,12)</f>
        <v>-1123200</v>
      </c>
      <c r="L87" s="103">
        <f>VLOOKUP($A87,'OI(Value)'!$A$7:$O$329,8,0)</f>
        <v>582</v>
      </c>
      <c r="M87" s="103">
        <f>VLOOKUP($A87,'OI(Value)'!$A$7:$O$329,9,0)</f>
        <v>-906</v>
      </c>
      <c r="N87" s="103">
        <f>VLOOKUP($A87,'OI(Value)'!$A$7:$O$329,11,0)</f>
        <v>316</v>
      </c>
      <c r="O87" s="103">
        <f>VLOOKUP($A87,'OI(Value)'!$A$7:$O$329,12,0)</f>
        <v>-563</v>
      </c>
      <c r="P87" s="179">
        <f>VLOOKUP(A87,'OI(Value)'!A87:O311,8,0)</f>
        <v>582</v>
      </c>
      <c r="Q87" s="179">
        <f>VLOOKUP(A87,'OI(Value)'!A87:O311,9,0)</f>
        <v>-906</v>
      </c>
      <c r="R87" s="179">
        <f>VLOOKUP(A87,'OI(Value)'!A87:O311,11,0)</f>
        <v>316</v>
      </c>
      <c r="S87" s="179">
        <f>VLOOKUP(A87,'OI(Value)'!A87:O311,11,0)</f>
        <v>316</v>
      </c>
    </row>
    <row r="88" spans="1:19" x14ac:dyDescent="0.25">
      <c r="A88" s="105" t="str">
        <f>'Data Vlaue (Cr)'!C83</f>
        <v>HINDALCO</v>
      </c>
      <c r="B88" s="143">
        <f>VLOOKUP($A88,'Data shares'!$C:$FA,118)</f>
        <v>0.64</v>
      </c>
      <c r="C88" s="143">
        <f>VLOOKUP($A88,'Data shares'!$C:$FA,119)</f>
        <v>0.86</v>
      </c>
      <c r="D88" s="143">
        <f>VLOOKUP($A88,'Data shares'!$C:$FA,121)*100</f>
        <v>-25.580000000000002</v>
      </c>
      <c r="E88" s="143">
        <f>VLOOKUP($A88,'Data shares'!$C:$FA,124)</f>
        <v>0.56999999999999995</v>
      </c>
      <c r="F88" s="143">
        <f>VLOOKUP($A88,'Data shares'!$C:$FA,125)</f>
        <v>0.57999999999999996</v>
      </c>
      <c r="G88" s="143">
        <f>VLOOKUP($A88,'Data shares'!$C:$FA,127)*100</f>
        <v>-1.72</v>
      </c>
      <c r="H88" s="103">
        <f>VLOOKUP($A88,'OI(Volume)'!$A$7:$O$445,8)</f>
        <v>5843600</v>
      </c>
      <c r="I88" s="103">
        <f>VLOOKUP($A88,'OI(Volume)'!$A$7:$O$445,9)</f>
        <v>-6008100</v>
      </c>
      <c r="J88" s="103">
        <f>VLOOKUP($A88,'OI(Volume)'!$A$7:$O$445,11)</f>
        <v>3735900</v>
      </c>
      <c r="K88" s="103">
        <f>VLOOKUP($A88,'OI(Volume)'!$A$7:$O$445,12)</f>
        <v>-6405000</v>
      </c>
      <c r="L88" s="103">
        <f>VLOOKUP($A88,'OI(Value)'!$A$7:$O$329,8,0)</f>
        <v>651</v>
      </c>
      <c r="M88" s="103">
        <f>VLOOKUP($A88,'OI(Value)'!$A$7:$O$329,9,0)</f>
        <v>-669</v>
      </c>
      <c r="N88" s="103">
        <f>VLOOKUP($A88,'OI(Value)'!$A$7:$O$329,11,0)</f>
        <v>416</v>
      </c>
      <c r="O88" s="103">
        <f>VLOOKUP($A88,'OI(Value)'!$A$7:$O$329,12,0)</f>
        <v>-714</v>
      </c>
      <c r="P88" s="179">
        <f>VLOOKUP(A88,'OI(Value)'!A88:O312,8,0)</f>
        <v>651</v>
      </c>
      <c r="Q88" s="179">
        <f>VLOOKUP(A88,'OI(Value)'!A88:O312,9,0)</f>
        <v>-669</v>
      </c>
      <c r="R88" s="179">
        <f>VLOOKUP(A88,'OI(Value)'!A88:O312,11,0)</f>
        <v>416</v>
      </c>
      <c r="S88" s="179">
        <f>VLOOKUP(A88,'OI(Value)'!A88:O312,11,0)</f>
        <v>416</v>
      </c>
    </row>
    <row r="89" spans="1:19" x14ac:dyDescent="0.25">
      <c r="A89" s="105" t="str">
        <f>'Data Vlaue (Cr)'!C84</f>
        <v>HINDPETRO</v>
      </c>
      <c r="B89" s="143">
        <f>VLOOKUP($A89,'Data shares'!$C:$FA,118)</f>
        <v>0.75</v>
      </c>
      <c r="C89" s="143">
        <f>VLOOKUP($A89,'Data shares'!$C:$FA,119)</f>
        <v>0.86</v>
      </c>
      <c r="D89" s="143">
        <f>VLOOKUP($A89,'Data shares'!$C:$FA,121)*100</f>
        <v>-12.790000000000001</v>
      </c>
      <c r="E89" s="143">
        <f>VLOOKUP($A89,'Data shares'!$C:$FA,124)</f>
        <v>0.74</v>
      </c>
      <c r="F89" s="143">
        <f>VLOOKUP($A89,'Data shares'!$C:$FA,125)</f>
        <v>0.41</v>
      </c>
      <c r="G89" s="143">
        <f>VLOOKUP($A89,'Data shares'!$C:$FA,127)*100</f>
        <v>80.489999999999995</v>
      </c>
      <c r="H89" s="103">
        <f>VLOOKUP($A89,'OI(Volume)'!$A$7:$O$445,8)</f>
        <v>8646750</v>
      </c>
      <c r="I89" s="103">
        <f>VLOOKUP($A89,'OI(Volume)'!$A$7:$O$445,9)</f>
        <v>-9142875</v>
      </c>
      <c r="J89" s="103">
        <f>VLOOKUP($A89,'OI(Volume)'!$A$7:$O$445,11)</f>
        <v>6463800</v>
      </c>
      <c r="K89" s="103">
        <f>VLOOKUP($A89,'OI(Volume)'!$A$7:$O$445,12)</f>
        <v>-8871525</v>
      </c>
      <c r="L89" s="103">
        <f>VLOOKUP($A89,'OI(Value)'!$A$7:$O$329,8,0)</f>
        <v>346</v>
      </c>
      <c r="M89" s="103">
        <f>VLOOKUP($A89,'OI(Value)'!$A$7:$O$329,9,0)</f>
        <v>-366</v>
      </c>
      <c r="N89" s="103">
        <f>VLOOKUP($A89,'OI(Value)'!$A$7:$O$329,11,0)</f>
        <v>259</v>
      </c>
      <c r="O89" s="103">
        <f>VLOOKUP($A89,'OI(Value)'!$A$7:$O$329,12,0)</f>
        <v>-355</v>
      </c>
      <c r="P89" s="179">
        <f>VLOOKUP(A89,'OI(Value)'!A89:O313,8,0)</f>
        <v>346</v>
      </c>
      <c r="Q89" s="179">
        <f>VLOOKUP(A89,'OI(Value)'!A89:O313,9,0)</f>
        <v>-366</v>
      </c>
      <c r="R89" s="179">
        <f>VLOOKUP(A89,'OI(Value)'!A89:O313,11,0)</f>
        <v>259</v>
      </c>
      <c r="S89" s="179">
        <f>VLOOKUP(A89,'OI(Value)'!A89:O313,11,0)</f>
        <v>259</v>
      </c>
    </row>
    <row r="90" spans="1:19" x14ac:dyDescent="0.25">
      <c r="A90" s="105" t="str">
        <f>'Data Vlaue (Cr)'!C85</f>
        <v>HINDUNILVR</v>
      </c>
      <c r="B90" s="143">
        <f>VLOOKUP($A90,'Data shares'!$C:$FA,118)</f>
        <v>0.55000000000000004</v>
      </c>
      <c r="C90" s="143">
        <f>VLOOKUP($A90,'Data shares'!$C:$FA,119)</f>
        <v>0.48</v>
      </c>
      <c r="D90" s="143">
        <f>VLOOKUP($A90,'Data shares'!$C:$FA,121)*100</f>
        <v>14.580000000000002</v>
      </c>
      <c r="E90" s="143">
        <f>VLOOKUP($A90,'Data shares'!$C:$FA,124)</f>
        <v>0.6</v>
      </c>
      <c r="F90" s="143">
        <f>VLOOKUP($A90,'Data shares'!$C:$FA,125)</f>
        <v>0.53</v>
      </c>
      <c r="G90" s="143">
        <f>VLOOKUP($A90,'Data shares'!$C:$FA,127)*100</f>
        <v>13.209999999999999</v>
      </c>
      <c r="H90" s="103">
        <f>VLOOKUP($A90,'OI(Volume)'!$A$7:$O$445,8)</f>
        <v>3802200</v>
      </c>
      <c r="I90" s="103">
        <f>VLOOKUP($A90,'OI(Volume)'!$A$7:$O$445,9)</f>
        <v>-7280400</v>
      </c>
      <c r="J90" s="103">
        <f>VLOOKUP($A90,'OI(Volume)'!$A$7:$O$445,11)</f>
        <v>2075700</v>
      </c>
      <c r="K90" s="103">
        <f>VLOOKUP($A90,'OI(Volume)'!$A$7:$O$445,12)</f>
        <v>-3293700</v>
      </c>
      <c r="L90" s="103">
        <f>VLOOKUP($A90,'OI(Value)'!$A$7:$O$329,8,0)</f>
        <v>835</v>
      </c>
      <c r="M90" s="103">
        <f>VLOOKUP($A90,'OI(Value)'!$A$7:$O$329,9,0)</f>
        <v>-1598</v>
      </c>
      <c r="N90" s="103">
        <f>VLOOKUP($A90,'OI(Value)'!$A$7:$O$329,11,0)</f>
        <v>456</v>
      </c>
      <c r="O90" s="103">
        <f>VLOOKUP($A90,'OI(Value)'!$A$7:$O$329,12,0)</f>
        <v>-723</v>
      </c>
      <c r="P90" s="179">
        <f>VLOOKUP(A90,'OI(Value)'!A90:O314,8,0)</f>
        <v>835</v>
      </c>
      <c r="Q90" s="179">
        <f>VLOOKUP(A90,'OI(Value)'!A90:O314,9,0)</f>
        <v>-1598</v>
      </c>
      <c r="R90" s="179">
        <f>VLOOKUP(A90,'OI(Value)'!A90:O314,11,0)</f>
        <v>456</v>
      </c>
      <c r="S90" s="179">
        <f>VLOOKUP(A90,'OI(Value)'!A90:O314,11,0)</f>
        <v>456</v>
      </c>
    </row>
    <row r="91" spans="1:19" x14ac:dyDescent="0.25">
      <c r="A91" s="105" t="str">
        <f>'Data Vlaue (Cr)'!C86</f>
        <v>HINDZINC</v>
      </c>
      <c r="B91" s="143">
        <f>VLOOKUP($A91,'Data shares'!$C:$FA,118)</f>
        <v>0.7</v>
      </c>
      <c r="C91" s="143">
        <f>VLOOKUP($A91,'Data shares'!$C:$FA,119)</f>
        <v>0.73</v>
      </c>
      <c r="D91" s="143">
        <f>VLOOKUP($A91,'Data shares'!$C:$FA,121)*100</f>
        <v>-4.1099999999999994</v>
      </c>
      <c r="E91" s="143">
        <f>VLOOKUP($A91,'Data shares'!$C:$FA,124)</f>
        <v>0.49</v>
      </c>
      <c r="F91" s="143">
        <f>VLOOKUP($A91,'Data shares'!$C:$FA,125)</f>
        <v>0.34</v>
      </c>
      <c r="G91" s="143">
        <f>VLOOKUP($A91,'Data shares'!$C:$FA,127)*100</f>
        <v>44.12</v>
      </c>
      <c r="H91" s="103">
        <f>VLOOKUP($A91,'OI(Volume)'!$A$7:$O$445,8)</f>
        <v>10576650</v>
      </c>
      <c r="I91" s="103">
        <f>VLOOKUP($A91,'OI(Volume)'!$A$7:$O$445,9)</f>
        <v>-11339825</v>
      </c>
      <c r="J91" s="103">
        <f>VLOOKUP($A91,'OI(Volume)'!$A$7:$O$445,11)</f>
        <v>7380625</v>
      </c>
      <c r="K91" s="103">
        <f>VLOOKUP($A91,'OI(Volume)'!$A$7:$O$445,12)</f>
        <v>-8584800</v>
      </c>
      <c r="L91" s="103">
        <f>VLOOKUP($A91,'OI(Value)'!$A$7:$O$329,8,0)</f>
        <v>688</v>
      </c>
      <c r="M91" s="103">
        <f>VLOOKUP($A91,'OI(Value)'!$A$7:$O$329,9,0)</f>
        <v>-738</v>
      </c>
      <c r="N91" s="103">
        <f>VLOOKUP($A91,'OI(Value)'!$A$7:$O$329,11,0)</f>
        <v>480</v>
      </c>
      <c r="O91" s="103">
        <f>VLOOKUP($A91,'OI(Value)'!$A$7:$O$329,12,0)</f>
        <v>-559</v>
      </c>
      <c r="P91" s="179">
        <f>VLOOKUP(A91,'OI(Value)'!A91:O315,8,0)</f>
        <v>688</v>
      </c>
      <c r="Q91" s="179">
        <f>VLOOKUP(A91,'OI(Value)'!A91:O315,9,0)</f>
        <v>-738</v>
      </c>
      <c r="R91" s="179">
        <f>VLOOKUP(A91,'OI(Value)'!A91:O315,11,0)</f>
        <v>480</v>
      </c>
      <c r="S91" s="179">
        <f>VLOOKUP(A91,'OI(Value)'!A91:O315,11,0)</f>
        <v>480</v>
      </c>
    </row>
    <row r="92" spans="1:19" x14ac:dyDescent="0.25">
      <c r="A92" s="105" t="str">
        <f>'Data Vlaue (Cr)'!C87</f>
        <v>HYUNDAI</v>
      </c>
      <c r="B92" s="143">
        <f>VLOOKUP($A92,'Data shares'!$C:$FA,118)</f>
        <v>0.73</v>
      </c>
      <c r="C92" s="143">
        <f>VLOOKUP($A92,'Data shares'!$C:$FA,119)</f>
        <v>0.76</v>
      </c>
      <c r="D92" s="143">
        <f>VLOOKUP($A92,'Data shares'!$C:$FA,121)*100</f>
        <v>-3.95</v>
      </c>
      <c r="E92" s="143">
        <f>VLOOKUP($A92,'Data shares'!$C:$FA,124)</f>
        <v>0.36</v>
      </c>
      <c r="F92" s="143">
        <f>VLOOKUP($A92,'Data shares'!$C:$FA,125)</f>
        <v>0.31</v>
      </c>
      <c r="G92" s="143">
        <f>VLOOKUP($A92,'Data shares'!$C:$FA,127)*100</f>
        <v>16.13</v>
      </c>
      <c r="H92" s="103">
        <f>VLOOKUP($A92,'OI(Volume)'!$A$7:$O$445,8)</f>
        <v>311575</v>
      </c>
      <c r="I92" s="103">
        <f>VLOOKUP($A92,'OI(Volume)'!$A$7:$O$445,9)</f>
        <v>-915200</v>
      </c>
      <c r="J92" s="103">
        <f>VLOOKUP($A92,'OI(Volume)'!$A$7:$O$445,11)</f>
        <v>227975</v>
      </c>
      <c r="K92" s="103">
        <f>VLOOKUP($A92,'OI(Volume)'!$A$7:$O$445,12)</f>
        <v>-705650</v>
      </c>
      <c r="L92" s="103">
        <f>VLOOKUP($A92,'OI(Value)'!$A$7:$O$329,8,0)</f>
        <v>59</v>
      </c>
      <c r="M92" s="103">
        <f>VLOOKUP($A92,'OI(Value)'!$A$7:$O$329,9,0)</f>
        <v>-174</v>
      </c>
      <c r="N92" s="103">
        <f>VLOOKUP($A92,'OI(Value)'!$A$7:$O$329,11,0)</f>
        <v>43</v>
      </c>
      <c r="O92" s="103">
        <f>VLOOKUP($A92,'OI(Value)'!$A$7:$O$329,12,0)</f>
        <v>-134</v>
      </c>
      <c r="P92" s="179">
        <f>VLOOKUP(A92,'OI(Value)'!A92:O316,8,0)</f>
        <v>59</v>
      </c>
      <c r="Q92" s="179">
        <f>VLOOKUP(A92,'OI(Value)'!A92:O316,9,0)</f>
        <v>-174</v>
      </c>
      <c r="R92" s="179">
        <f>VLOOKUP(A92,'OI(Value)'!A92:O316,11,0)</f>
        <v>43</v>
      </c>
      <c r="S92" s="179">
        <f>VLOOKUP(A92,'OI(Value)'!A92:O316,11,0)</f>
        <v>43</v>
      </c>
    </row>
    <row r="93" spans="1:19" x14ac:dyDescent="0.25">
      <c r="A93" s="105" t="str">
        <f>'Data Vlaue (Cr)'!C88</f>
        <v>ICICIBANK</v>
      </c>
      <c r="B93" s="143">
        <f>VLOOKUP($A93,'Data shares'!$C:$FA,118)</f>
        <v>1.07</v>
      </c>
      <c r="C93" s="143">
        <f>VLOOKUP($A93,'Data shares'!$C:$FA,119)</f>
        <v>0.76</v>
      </c>
      <c r="D93" s="143">
        <f>VLOOKUP($A93,'Data shares'!$C:$FA,121)*100</f>
        <v>40.79</v>
      </c>
      <c r="E93" s="143">
        <f>VLOOKUP($A93,'Data shares'!$C:$FA,124)</f>
        <v>0.68</v>
      </c>
      <c r="F93" s="143">
        <f>VLOOKUP($A93,'Data shares'!$C:$FA,125)</f>
        <v>0.59</v>
      </c>
      <c r="G93" s="143">
        <f>VLOOKUP($A93,'Data shares'!$C:$FA,127)*100</f>
        <v>15.25</v>
      </c>
      <c r="H93" s="103">
        <f>VLOOKUP($A93,'OI(Volume)'!$A$7:$O$445,8)</f>
        <v>12620300</v>
      </c>
      <c r="I93" s="103">
        <f>VLOOKUP($A93,'OI(Volume)'!$A$7:$O$445,9)</f>
        <v>-21261800</v>
      </c>
      <c r="J93" s="103">
        <f>VLOOKUP($A93,'OI(Volume)'!$A$7:$O$445,11)</f>
        <v>13486200</v>
      </c>
      <c r="K93" s="103">
        <f>VLOOKUP($A93,'OI(Volume)'!$A$7:$O$445,12)</f>
        <v>-12324900</v>
      </c>
      <c r="L93" s="103">
        <f>VLOOKUP($A93,'OI(Value)'!$A$7:$O$329,8,0)</f>
        <v>1628</v>
      </c>
      <c r="M93" s="103">
        <f>VLOOKUP($A93,'OI(Value)'!$A$7:$O$329,9,0)</f>
        <v>-2743</v>
      </c>
      <c r="N93" s="103">
        <f>VLOOKUP($A93,'OI(Value)'!$A$7:$O$329,11,0)</f>
        <v>1740</v>
      </c>
      <c r="O93" s="103">
        <f>VLOOKUP($A93,'OI(Value)'!$A$7:$O$329,12,0)</f>
        <v>-1590</v>
      </c>
      <c r="P93" s="179">
        <f>VLOOKUP(A93,'OI(Value)'!A93:O317,8,0)</f>
        <v>1628</v>
      </c>
      <c r="Q93" s="179">
        <f>VLOOKUP(A93,'OI(Value)'!A93:O317,9,0)</f>
        <v>-2743</v>
      </c>
      <c r="R93" s="179">
        <f>VLOOKUP(A93,'OI(Value)'!A93:O317,11,0)</f>
        <v>1740</v>
      </c>
      <c r="S93" s="179">
        <f>VLOOKUP(A93,'OI(Value)'!A93:O317,11,0)</f>
        <v>1740</v>
      </c>
    </row>
    <row r="94" spans="1:19" x14ac:dyDescent="0.25">
      <c r="A94" s="105" t="str">
        <f>'Data Vlaue (Cr)'!C89</f>
        <v>ICICIGI</v>
      </c>
      <c r="B94" s="143">
        <f>VLOOKUP($A94,'Data shares'!$C:$FA,118)</f>
        <v>0.64</v>
      </c>
      <c r="C94" s="143">
        <f>VLOOKUP($A94,'Data shares'!$C:$FA,119)</f>
        <v>0.43</v>
      </c>
      <c r="D94" s="143">
        <f>VLOOKUP($A94,'Data shares'!$C:$FA,121)*100</f>
        <v>48.84</v>
      </c>
      <c r="E94" s="143">
        <f>VLOOKUP($A94,'Data shares'!$C:$FA,124)</f>
        <v>0.4</v>
      </c>
      <c r="F94" s="143">
        <f>VLOOKUP($A94,'Data shares'!$C:$FA,125)</f>
        <v>0.2</v>
      </c>
      <c r="G94" s="143">
        <f>VLOOKUP($A94,'Data shares'!$C:$FA,127)*100</f>
        <v>100</v>
      </c>
      <c r="H94" s="103">
        <f>VLOOKUP($A94,'OI(Volume)'!$A$7:$O$445,8)</f>
        <v>266500</v>
      </c>
      <c r="I94" s="103">
        <f>VLOOKUP($A94,'OI(Volume)'!$A$7:$O$445,9)</f>
        <v>-939900</v>
      </c>
      <c r="J94" s="103">
        <f>VLOOKUP($A94,'OI(Volume)'!$A$7:$O$445,11)</f>
        <v>171600</v>
      </c>
      <c r="K94" s="103">
        <f>VLOOKUP($A94,'OI(Volume)'!$A$7:$O$445,12)</f>
        <v>-347425</v>
      </c>
      <c r="L94" s="103">
        <f>VLOOKUP($A94,'OI(Value)'!$A$7:$O$329,8,0)</f>
        <v>50</v>
      </c>
      <c r="M94" s="103">
        <f>VLOOKUP($A94,'OI(Value)'!$A$7:$O$329,9,0)</f>
        <v>-175</v>
      </c>
      <c r="N94" s="103">
        <f>VLOOKUP($A94,'OI(Value)'!$A$7:$O$329,11,0)</f>
        <v>32</v>
      </c>
      <c r="O94" s="103">
        <f>VLOOKUP($A94,'OI(Value)'!$A$7:$O$329,12,0)</f>
        <v>-65</v>
      </c>
      <c r="P94" s="179">
        <f>VLOOKUP(A94,'OI(Value)'!A94:O318,8,0)</f>
        <v>50</v>
      </c>
      <c r="Q94" s="179">
        <f>VLOOKUP(A94,'OI(Value)'!A94:O318,9,0)</f>
        <v>-175</v>
      </c>
      <c r="R94" s="179">
        <f>VLOOKUP(A94,'OI(Value)'!A94:O318,11,0)</f>
        <v>32</v>
      </c>
      <c r="S94" s="179">
        <f>VLOOKUP(A94,'OI(Value)'!A94:O318,11,0)</f>
        <v>32</v>
      </c>
    </row>
    <row r="95" spans="1:19" x14ac:dyDescent="0.25">
      <c r="A95" s="105" t="str">
        <f>'Data Vlaue (Cr)'!C90</f>
        <v>ICICIPRULI</v>
      </c>
      <c r="B95" s="143">
        <f>VLOOKUP($A95,'Data shares'!$C:$FA,118)</f>
        <v>1.02</v>
      </c>
      <c r="C95" s="143">
        <f>VLOOKUP($A95,'Data shares'!$C:$FA,119)</f>
        <v>0.89</v>
      </c>
      <c r="D95" s="143">
        <f>VLOOKUP($A95,'Data shares'!$C:$FA,121)*100</f>
        <v>14.610000000000001</v>
      </c>
      <c r="E95" s="143">
        <f>VLOOKUP($A95,'Data shares'!$C:$FA,124)</f>
        <v>0.85</v>
      </c>
      <c r="F95" s="143">
        <f>VLOOKUP($A95,'Data shares'!$C:$FA,125)</f>
        <v>0.5</v>
      </c>
      <c r="G95" s="143">
        <f>VLOOKUP($A95,'Data shares'!$C:$FA,127)*100</f>
        <v>70</v>
      </c>
      <c r="H95" s="103">
        <f>VLOOKUP($A95,'OI(Volume)'!$A$7:$O$445,8)</f>
        <v>1138675</v>
      </c>
      <c r="I95" s="103">
        <f>VLOOKUP($A95,'OI(Volume)'!$A$7:$O$445,9)</f>
        <v>-5864500</v>
      </c>
      <c r="J95" s="103">
        <f>VLOOKUP($A95,'OI(Volume)'!$A$7:$O$445,11)</f>
        <v>1162725</v>
      </c>
      <c r="K95" s="103">
        <f>VLOOKUP($A95,'OI(Volume)'!$A$7:$O$445,12)</f>
        <v>-5098600</v>
      </c>
      <c r="L95" s="103">
        <f>VLOOKUP($A95,'OI(Value)'!$A$7:$O$329,8,0)</f>
        <v>60</v>
      </c>
      <c r="M95" s="103">
        <f>VLOOKUP($A95,'OI(Value)'!$A$7:$O$329,9,0)</f>
        <v>-307</v>
      </c>
      <c r="N95" s="103">
        <f>VLOOKUP($A95,'OI(Value)'!$A$7:$O$329,11,0)</f>
        <v>61</v>
      </c>
      <c r="O95" s="103">
        <f>VLOOKUP($A95,'OI(Value)'!$A$7:$O$329,12,0)</f>
        <v>-267</v>
      </c>
      <c r="P95" s="179">
        <f>VLOOKUP(A95,'OI(Value)'!A95:O319,8,0)</f>
        <v>60</v>
      </c>
      <c r="Q95" s="179">
        <f>VLOOKUP(A95,'OI(Value)'!A95:O319,9,0)</f>
        <v>-307</v>
      </c>
      <c r="R95" s="179">
        <f>VLOOKUP(A95,'OI(Value)'!A95:O319,11,0)</f>
        <v>61</v>
      </c>
      <c r="S95" s="179">
        <f>VLOOKUP(A95,'OI(Value)'!A95:O319,11,0)</f>
        <v>61</v>
      </c>
    </row>
    <row r="96" spans="1:19" x14ac:dyDescent="0.25">
      <c r="A96" s="105" t="str">
        <f>'Data Vlaue (Cr)'!C91</f>
        <v>IDEA</v>
      </c>
      <c r="B96" s="143">
        <f>VLOOKUP($A96,'Data shares'!$C:$FA,118)</f>
        <v>0.44</v>
      </c>
      <c r="C96" s="143">
        <f>VLOOKUP($A96,'Data shares'!$C:$FA,119)</f>
        <v>0.62</v>
      </c>
      <c r="D96" s="143">
        <f>VLOOKUP($A96,'Data shares'!$C:$FA,121)*100</f>
        <v>-29.03</v>
      </c>
      <c r="E96" s="143">
        <f>VLOOKUP($A96,'Data shares'!$C:$FA,124)</f>
        <v>0.36</v>
      </c>
      <c r="F96" s="143">
        <f>VLOOKUP($A96,'Data shares'!$C:$FA,125)</f>
        <v>0.36</v>
      </c>
      <c r="G96" s="143">
        <f>VLOOKUP($A96,'Data shares'!$C:$FA,127)*100</f>
        <v>0</v>
      </c>
      <c r="H96" s="103">
        <f>VLOOKUP($A96,'OI(Volume)'!$A$7:$O$445,8)</f>
        <v>1226010675</v>
      </c>
      <c r="I96" s="103">
        <f>VLOOKUP($A96,'OI(Volume)'!$A$7:$O$445,9)</f>
        <v>-684944925</v>
      </c>
      <c r="J96" s="103">
        <f>VLOOKUP($A96,'OI(Volume)'!$A$7:$O$445,11)</f>
        <v>542066400</v>
      </c>
      <c r="K96" s="103">
        <f>VLOOKUP($A96,'OI(Volume)'!$A$7:$O$445,12)</f>
        <v>-649207425</v>
      </c>
      <c r="L96" s="103">
        <f>VLOOKUP($A96,'OI(Value)'!$A$7:$O$329,8,0)</f>
        <v>1743</v>
      </c>
      <c r="M96" s="103">
        <f>VLOOKUP($A96,'OI(Value)'!$A$7:$O$329,9,0)</f>
        <v>-974</v>
      </c>
      <c r="N96" s="103">
        <f>VLOOKUP($A96,'OI(Value)'!$A$7:$O$329,11,0)</f>
        <v>771</v>
      </c>
      <c r="O96" s="103">
        <f>VLOOKUP($A96,'OI(Value)'!$A$7:$O$329,12,0)</f>
        <v>-923</v>
      </c>
      <c r="P96" s="179">
        <f>VLOOKUP(A96,'OI(Value)'!A96:O320,8,0)</f>
        <v>1743</v>
      </c>
      <c r="Q96" s="179">
        <f>VLOOKUP(A96,'OI(Value)'!A96:O320,9,0)</f>
        <v>-974</v>
      </c>
      <c r="R96" s="179">
        <f>VLOOKUP(A96,'OI(Value)'!A96:O320,11,0)</f>
        <v>771</v>
      </c>
      <c r="S96" s="179">
        <f>VLOOKUP(A96,'OI(Value)'!A96:O320,11,0)</f>
        <v>771</v>
      </c>
    </row>
    <row r="97" spans="1:19" x14ac:dyDescent="0.25">
      <c r="A97" s="105" t="str">
        <f>'Data Vlaue (Cr)'!C92</f>
        <v>IDFCFIRSTB</v>
      </c>
      <c r="B97" s="143">
        <f>VLOOKUP($A97,'Data shares'!$C:$FA,118)</f>
        <v>1.01</v>
      </c>
      <c r="C97" s="143">
        <f>VLOOKUP($A97,'Data shares'!$C:$FA,119)</f>
        <v>0.89</v>
      </c>
      <c r="D97" s="143">
        <f>VLOOKUP($A97,'Data shares'!$C:$FA,121)*100</f>
        <v>13.48</v>
      </c>
      <c r="E97" s="143">
        <f>VLOOKUP($A97,'Data shares'!$C:$FA,124)</f>
        <v>0.64</v>
      </c>
      <c r="F97" s="143">
        <f>VLOOKUP($A97,'Data shares'!$C:$FA,125)</f>
        <v>0.86</v>
      </c>
      <c r="G97" s="143">
        <f>VLOOKUP($A97,'Data shares'!$C:$FA,127)*100</f>
        <v>-25.580000000000002</v>
      </c>
      <c r="H97" s="103">
        <f>VLOOKUP($A97,'OI(Volume)'!$A$7:$O$445,8)</f>
        <v>52793300</v>
      </c>
      <c r="I97" s="103">
        <f>VLOOKUP($A97,'OI(Volume)'!$A$7:$O$445,9)</f>
        <v>-58219175</v>
      </c>
      <c r="J97" s="103">
        <f>VLOOKUP($A97,'OI(Volume)'!$A$7:$O$445,11)</f>
        <v>53294150</v>
      </c>
      <c r="K97" s="103">
        <f>VLOOKUP($A97,'OI(Volume)'!$A$7:$O$445,12)</f>
        <v>-45410400</v>
      </c>
      <c r="L97" s="103">
        <f>VLOOKUP($A97,'OI(Value)'!$A$7:$O$329,8,0)</f>
        <v>373</v>
      </c>
      <c r="M97" s="103">
        <f>VLOOKUP($A97,'OI(Value)'!$A$7:$O$329,9,0)</f>
        <v>-411</v>
      </c>
      <c r="N97" s="103">
        <f>VLOOKUP($A97,'OI(Value)'!$A$7:$O$329,11,0)</f>
        <v>377</v>
      </c>
      <c r="O97" s="103">
        <f>VLOOKUP($A97,'OI(Value)'!$A$7:$O$329,12,0)</f>
        <v>-321</v>
      </c>
      <c r="P97" s="179">
        <f>VLOOKUP(A97,'OI(Value)'!A97:O321,8,0)</f>
        <v>373</v>
      </c>
      <c r="Q97" s="179">
        <f>VLOOKUP(A97,'OI(Value)'!A97:O321,9,0)</f>
        <v>-411</v>
      </c>
      <c r="R97" s="179">
        <f>VLOOKUP(A97,'OI(Value)'!A97:O321,11,0)</f>
        <v>377</v>
      </c>
      <c r="S97" s="179">
        <f>VLOOKUP(A97,'OI(Value)'!A97:O321,11,0)</f>
        <v>377</v>
      </c>
    </row>
    <row r="98" spans="1:19" x14ac:dyDescent="0.25">
      <c r="A98" s="105" t="str">
        <f>'Data Vlaue (Cr)'!C93</f>
        <v>IEX</v>
      </c>
      <c r="B98" s="143">
        <f>VLOOKUP($A98,'Data shares'!$C:$FA,118)</f>
        <v>0.76</v>
      </c>
      <c r="C98" s="143">
        <f>VLOOKUP($A98,'Data shares'!$C:$FA,119)</f>
        <v>0.6</v>
      </c>
      <c r="D98" s="143">
        <f>VLOOKUP($A98,'Data shares'!$C:$FA,121)*100</f>
        <v>26.669999999999998</v>
      </c>
      <c r="E98" s="143">
        <f>VLOOKUP($A98,'Data shares'!$C:$FA,124)</f>
        <v>0.3</v>
      </c>
      <c r="F98" s="143">
        <f>VLOOKUP($A98,'Data shares'!$C:$FA,125)</f>
        <v>0.39</v>
      </c>
      <c r="G98" s="143">
        <f>VLOOKUP($A98,'Data shares'!$C:$FA,127)*100</f>
        <v>-23.080000000000002</v>
      </c>
      <c r="H98" s="103">
        <f>VLOOKUP($A98,'OI(Volume)'!$A$7:$O$445,8)</f>
        <v>16814550</v>
      </c>
      <c r="I98" s="103">
        <f>VLOOKUP($A98,'OI(Volume)'!$A$7:$O$445,9)</f>
        <v>-18937050</v>
      </c>
      <c r="J98" s="103">
        <f>VLOOKUP($A98,'OI(Volume)'!$A$7:$O$445,11)</f>
        <v>12732900</v>
      </c>
      <c r="K98" s="103">
        <f>VLOOKUP($A98,'OI(Volume)'!$A$7:$O$445,12)</f>
        <v>-8876250</v>
      </c>
      <c r="L98" s="103">
        <f>VLOOKUP($A98,'OI(Value)'!$A$7:$O$329,8,0)</f>
        <v>216</v>
      </c>
      <c r="M98" s="103">
        <f>VLOOKUP($A98,'OI(Value)'!$A$7:$O$329,9,0)</f>
        <v>-243</v>
      </c>
      <c r="N98" s="103">
        <f>VLOOKUP($A98,'OI(Value)'!$A$7:$O$329,11,0)</f>
        <v>164</v>
      </c>
      <c r="O98" s="103">
        <f>VLOOKUP($A98,'OI(Value)'!$A$7:$O$329,12,0)</f>
        <v>-114</v>
      </c>
      <c r="P98" s="179">
        <f>VLOOKUP(A98,'OI(Value)'!A98:O322,8,0)</f>
        <v>216</v>
      </c>
      <c r="Q98" s="179">
        <f>VLOOKUP(A98,'OI(Value)'!A98:O322,9,0)</f>
        <v>-243</v>
      </c>
      <c r="R98" s="179">
        <f>VLOOKUP(A98,'OI(Value)'!A98:O322,11,0)</f>
        <v>164</v>
      </c>
      <c r="S98" s="179">
        <f>VLOOKUP(A98,'OI(Value)'!A98:O322,11,0)</f>
        <v>164</v>
      </c>
    </row>
    <row r="99" spans="1:19" x14ac:dyDescent="0.25">
      <c r="A99" s="105" t="str">
        <f>'Data Vlaue (Cr)'!C94</f>
        <v>INDHOTEL</v>
      </c>
      <c r="B99" s="143">
        <f>VLOOKUP($A99,'Data shares'!$C:$FA,118)</f>
        <v>1.08</v>
      </c>
      <c r="C99" s="143">
        <f>VLOOKUP($A99,'Data shares'!$C:$FA,119)</f>
        <v>0.85</v>
      </c>
      <c r="D99" s="143">
        <f>VLOOKUP($A99,'Data shares'!$C:$FA,121)*100</f>
        <v>27.060000000000002</v>
      </c>
      <c r="E99" s="143">
        <f>VLOOKUP($A99,'Data shares'!$C:$FA,124)</f>
        <v>0.57999999999999996</v>
      </c>
      <c r="F99" s="143">
        <f>VLOOKUP($A99,'Data shares'!$C:$FA,125)</f>
        <v>0.68</v>
      </c>
      <c r="G99" s="143">
        <f>VLOOKUP($A99,'Data shares'!$C:$FA,127)*100</f>
        <v>-14.71</v>
      </c>
      <c r="H99" s="103">
        <f>VLOOKUP($A99,'OI(Volume)'!$A$7:$O$445,8)</f>
        <v>2303000</v>
      </c>
      <c r="I99" s="103">
        <f>VLOOKUP($A99,'OI(Volume)'!$A$7:$O$445,9)</f>
        <v>-3706000</v>
      </c>
      <c r="J99" s="103">
        <f>VLOOKUP($A99,'OI(Volume)'!$A$7:$O$445,11)</f>
        <v>2491000</v>
      </c>
      <c r="K99" s="103">
        <f>VLOOKUP($A99,'OI(Volume)'!$A$7:$O$445,12)</f>
        <v>-2612000</v>
      </c>
      <c r="L99" s="103">
        <f>VLOOKUP($A99,'OI(Value)'!$A$7:$O$329,8,0)</f>
        <v>152</v>
      </c>
      <c r="M99" s="103">
        <f>VLOOKUP($A99,'OI(Value)'!$A$7:$O$329,9,0)</f>
        <v>-244</v>
      </c>
      <c r="N99" s="103">
        <f>VLOOKUP($A99,'OI(Value)'!$A$7:$O$329,11,0)</f>
        <v>164</v>
      </c>
      <c r="O99" s="103">
        <f>VLOOKUP($A99,'OI(Value)'!$A$7:$O$329,12,0)</f>
        <v>-172</v>
      </c>
      <c r="P99" s="179">
        <f>VLOOKUP(A99,'OI(Value)'!A99:O323,8,0)</f>
        <v>152</v>
      </c>
      <c r="Q99" s="179">
        <f>VLOOKUP(A99,'OI(Value)'!A99:O323,9,0)</f>
        <v>-244</v>
      </c>
      <c r="R99" s="179">
        <f>VLOOKUP(A99,'OI(Value)'!A99:O323,11,0)</f>
        <v>164</v>
      </c>
      <c r="S99" s="179">
        <f>VLOOKUP(A99,'OI(Value)'!A99:O323,11,0)</f>
        <v>164</v>
      </c>
    </row>
    <row r="100" spans="1:19" x14ac:dyDescent="0.25">
      <c r="A100" s="105" t="str">
        <f>'Data Vlaue (Cr)'!C95</f>
        <v>INDIANB</v>
      </c>
      <c r="B100" s="143">
        <f>VLOOKUP($A100,'Data shares'!$C:$FA,118)</f>
        <v>0.85</v>
      </c>
      <c r="C100" s="143">
        <f>VLOOKUP($A100,'Data shares'!$C:$FA,119)</f>
        <v>0.68</v>
      </c>
      <c r="D100" s="143">
        <f>VLOOKUP($A100,'Data shares'!$C:$FA,121)*100</f>
        <v>25</v>
      </c>
      <c r="E100" s="143">
        <f>VLOOKUP($A100,'Data shares'!$C:$FA,124)</f>
        <v>0.53</v>
      </c>
      <c r="F100" s="143">
        <f>VLOOKUP($A100,'Data shares'!$C:$FA,125)</f>
        <v>0.4</v>
      </c>
      <c r="G100" s="143">
        <f>VLOOKUP($A100,'Data shares'!$C:$FA,127)*100</f>
        <v>32.5</v>
      </c>
      <c r="H100" s="103">
        <f>VLOOKUP($A100,'OI(Volume)'!$A$7:$O$445,8)</f>
        <v>2129000</v>
      </c>
      <c r="I100" s="103">
        <f>VLOOKUP($A100,'OI(Volume)'!$A$7:$O$445,9)</f>
        <v>-4197000</v>
      </c>
      <c r="J100" s="103">
        <f>VLOOKUP($A100,'OI(Volume)'!$A$7:$O$445,11)</f>
        <v>1808000</v>
      </c>
      <c r="K100" s="103">
        <f>VLOOKUP($A100,'OI(Volume)'!$A$7:$O$445,12)</f>
        <v>-2473000</v>
      </c>
      <c r="L100" s="103">
        <f>VLOOKUP($A100,'OI(Value)'!$A$7:$O$329,8,0)</f>
        <v>178</v>
      </c>
      <c r="M100" s="103">
        <f>VLOOKUP($A100,'OI(Value)'!$A$7:$O$329,9,0)</f>
        <v>-352</v>
      </c>
      <c r="N100" s="103">
        <f>VLOOKUP($A100,'OI(Value)'!$A$7:$O$329,11,0)</f>
        <v>152</v>
      </c>
      <c r="O100" s="103">
        <f>VLOOKUP($A100,'OI(Value)'!$A$7:$O$329,12,0)</f>
        <v>-207</v>
      </c>
      <c r="P100" s="179">
        <f>VLOOKUP(A100,'OI(Value)'!A100:O324,8,0)</f>
        <v>178</v>
      </c>
      <c r="Q100" s="179">
        <f>VLOOKUP(A100,'OI(Value)'!A100:O324,9,0)</f>
        <v>-352</v>
      </c>
      <c r="R100" s="179">
        <f>VLOOKUP(A100,'OI(Value)'!A100:O324,11,0)</f>
        <v>152</v>
      </c>
      <c r="S100" s="179">
        <f>VLOOKUP(A100,'OI(Value)'!A100:O324,11,0)</f>
        <v>152</v>
      </c>
    </row>
    <row r="101" spans="1:19" x14ac:dyDescent="0.25">
      <c r="A101" s="105" t="str">
        <f>'Data Vlaue (Cr)'!C96</f>
        <v>INDIAVIX</v>
      </c>
      <c r="B101" s="143">
        <f>VLOOKUP($A101,'Data shares'!$C:$FA,118)</f>
        <v>0</v>
      </c>
      <c r="C101" s="143">
        <f>VLOOKUP($A101,'Data shares'!$C:$FA,119)</f>
        <v>0</v>
      </c>
      <c r="D101" s="143">
        <f>VLOOKUP($A101,'Data shares'!$C:$FA,121)*100</f>
        <v>0</v>
      </c>
      <c r="E101" s="143">
        <f>VLOOKUP($A101,'Data shares'!$C:$FA,124)</f>
        <v>0</v>
      </c>
      <c r="F101" s="143">
        <f>VLOOKUP($A101,'Data shares'!$C:$FA,125)</f>
        <v>0</v>
      </c>
      <c r="G101" s="143">
        <f>VLOOKUP($A101,'Data shares'!$C:$FA,127)*100</f>
        <v>0</v>
      </c>
      <c r="H101" s="103">
        <f>VLOOKUP($A101,'OI(Volume)'!$A$7:$O$445,8)</f>
        <v>0</v>
      </c>
      <c r="I101" s="103">
        <f>VLOOKUP($A101,'OI(Volume)'!$A$7:$O$445,9)</f>
        <v>0</v>
      </c>
      <c r="J101" s="103">
        <f>VLOOKUP($A101,'OI(Volume)'!$A$7:$O$445,11)</f>
        <v>0</v>
      </c>
      <c r="K101" s="103">
        <f>VLOOKUP($A101,'OI(Volume)'!$A$7:$O$445,12)</f>
        <v>0</v>
      </c>
      <c r="L101" s="103">
        <f>VLOOKUP($A101,'OI(Value)'!$A$7:$O$329,8,0)</f>
        <v>0</v>
      </c>
      <c r="M101" s="103">
        <f>VLOOKUP($A101,'OI(Value)'!$A$7:$O$329,9,0)</f>
        <v>0</v>
      </c>
      <c r="N101" s="103">
        <f>VLOOKUP($A101,'OI(Value)'!$A$7:$O$329,11,0)</f>
        <v>0</v>
      </c>
      <c r="O101" s="103">
        <f>VLOOKUP($A101,'OI(Value)'!$A$7:$O$329,12,0)</f>
        <v>0</v>
      </c>
      <c r="P101" s="179">
        <f>VLOOKUP(A101,'OI(Value)'!A101:O325,8,0)</f>
        <v>0</v>
      </c>
      <c r="Q101" s="179">
        <f>VLOOKUP(A101,'OI(Value)'!A101:O325,9,0)</f>
        <v>0</v>
      </c>
      <c r="R101" s="179">
        <f>VLOOKUP(A101,'OI(Value)'!A101:O325,11,0)</f>
        <v>0</v>
      </c>
      <c r="S101" s="179">
        <f>VLOOKUP(A101,'OI(Value)'!A101:O325,11,0)</f>
        <v>0</v>
      </c>
    </row>
    <row r="102" spans="1:19" x14ac:dyDescent="0.25">
      <c r="A102" s="105" t="str">
        <f>'Data Vlaue (Cr)'!C97</f>
        <v>INDIGO</v>
      </c>
      <c r="B102" s="143">
        <f>VLOOKUP($A102,'Data shares'!$C:$FA,118)</f>
        <v>0.97</v>
      </c>
      <c r="C102" s="143">
        <f>VLOOKUP($A102,'Data shares'!$C:$FA,119)</f>
        <v>0.63</v>
      </c>
      <c r="D102" s="143">
        <f>VLOOKUP($A102,'Data shares'!$C:$FA,121)*100</f>
        <v>53.97</v>
      </c>
      <c r="E102" s="143">
        <f>VLOOKUP($A102,'Data shares'!$C:$FA,124)</f>
        <v>0.64</v>
      </c>
      <c r="F102" s="143">
        <f>VLOOKUP($A102,'Data shares'!$C:$FA,125)</f>
        <v>1.39</v>
      </c>
      <c r="G102" s="143">
        <f>VLOOKUP($A102,'Data shares'!$C:$FA,127)*100</f>
        <v>-53.959999999999994</v>
      </c>
      <c r="H102" s="103">
        <f>VLOOKUP($A102,'OI(Volume)'!$A$7:$O$445,8)</f>
        <v>1461750</v>
      </c>
      <c r="I102" s="103">
        <f>VLOOKUP($A102,'OI(Volume)'!$A$7:$O$445,9)</f>
        <v>-4152750</v>
      </c>
      <c r="J102" s="103">
        <f>VLOOKUP($A102,'OI(Volume)'!$A$7:$O$445,11)</f>
        <v>1419900</v>
      </c>
      <c r="K102" s="103">
        <f>VLOOKUP($A102,'OI(Volume)'!$A$7:$O$445,12)</f>
        <v>-2132700</v>
      </c>
      <c r="L102" s="103">
        <f>VLOOKUP($A102,'OI(Value)'!$A$7:$O$329,8,0)</f>
        <v>659</v>
      </c>
      <c r="M102" s="103">
        <f>VLOOKUP($A102,'OI(Value)'!$A$7:$O$329,9,0)</f>
        <v>-1872</v>
      </c>
      <c r="N102" s="103">
        <f>VLOOKUP($A102,'OI(Value)'!$A$7:$O$329,11,0)</f>
        <v>640</v>
      </c>
      <c r="O102" s="103">
        <f>VLOOKUP($A102,'OI(Value)'!$A$7:$O$329,12,0)</f>
        <v>-961</v>
      </c>
      <c r="P102" s="179">
        <f>VLOOKUP(A102,'OI(Value)'!A102:O326,8,0)</f>
        <v>659</v>
      </c>
      <c r="Q102" s="179">
        <f>VLOOKUP(A102,'OI(Value)'!A102:O326,9,0)</f>
        <v>-1872</v>
      </c>
      <c r="R102" s="179">
        <f>VLOOKUP(A102,'OI(Value)'!A102:O326,11,0)</f>
        <v>640</v>
      </c>
      <c r="S102" s="179">
        <f>VLOOKUP(A102,'OI(Value)'!A102:O326,11,0)</f>
        <v>640</v>
      </c>
    </row>
    <row r="103" spans="1:19" x14ac:dyDescent="0.25">
      <c r="A103" s="105" t="str">
        <f>'Data Vlaue (Cr)'!C98</f>
        <v>INDUSINDBK</v>
      </c>
      <c r="B103" s="143">
        <f>VLOOKUP($A103,'Data shares'!$C:$FA,118)</f>
        <v>1.03</v>
      </c>
      <c r="C103" s="143">
        <f>VLOOKUP($A103,'Data shares'!$C:$FA,119)</f>
        <v>0.81</v>
      </c>
      <c r="D103" s="143">
        <f>VLOOKUP($A103,'Data shares'!$C:$FA,121)*100</f>
        <v>27.16</v>
      </c>
      <c r="E103" s="143">
        <f>VLOOKUP($A103,'Data shares'!$C:$FA,124)</f>
        <v>0.6</v>
      </c>
      <c r="F103" s="143">
        <f>VLOOKUP($A103,'Data shares'!$C:$FA,125)</f>
        <v>0.56999999999999995</v>
      </c>
      <c r="G103" s="143">
        <f>VLOOKUP($A103,'Data shares'!$C:$FA,127)*100</f>
        <v>5.26</v>
      </c>
      <c r="H103" s="103">
        <f>VLOOKUP($A103,'OI(Volume)'!$A$7:$O$445,8)</f>
        <v>2153900</v>
      </c>
      <c r="I103" s="103">
        <f>VLOOKUP($A103,'OI(Volume)'!$A$7:$O$445,9)</f>
        <v>-4443600</v>
      </c>
      <c r="J103" s="103">
        <f>VLOOKUP($A103,'OI(Volume)'!$A$7:$O$445,11)</f>
        <v>2219700</v>
      </c>
      <c r="K103" s="103">
        <f>VLOOKUP($A103,'OI(Volume)'!$A$7:$O$445,12)</f>
        <v>-3117800</v>
      </c>
      <c r="L103" s="103">
        <f>VLOOKUP($A103,'OI(Value)'!$A$7:$O$329,8,0)</f>
        <v>202</v>
      </c>
      <c r="M103" s="103">
        <f>VLOOKUP($A103,'OI(Value)'!$A$7:$O$329,9,0)</f>
        <v>-417</v>
      </c>
      <c r="N103" s="103">
        <f>VLOOKUP($A103,'OI(Value)'!$A$7:$O$329,11,0)</f>
        <v>208</v>
      </c>
      <c r="O103" s="103">
        <f>VLOOKUP($A103,'OI(Value)'!$A$7:$O$329,12,0)</f>
        <v>-292</v>
      </c>
      <c r="P103" s="179">
        <f>VLOOKUP(A103,'OI(Value)'!A103:O327,8,0)</f>
        <v>202</v>
      </c>
      <c r="Q103" s="179">
        <f>VLOOKUP(A103,'OI(Value)'!A103:O327,9,0)</f>
        <v>-417</v>
      </c>
      <c r="R103" s="179">
        <f>VLOOKUP(A103,'OI(Value)'!A103:O327,11,0)</f>
        <v>208</v>
      </c>
      <c r="S103" s="179">
        <f>VLOOKUP(A103,'OI(Value)'!A103:O327,11,0)</f>
        <v>208</v>
      </c>
    </row>
    <row r="104" spans="1:19" x14ac:dyDescent="0.25">
      <c r="A104" s="105" t="str">
        <f>'Data Vlaue (Cr)'!C99</f>
        <v>INDUSTOWER</v>
      </c>
      <c r="B104" s="143">
        <f>VLOOKUP($A104,'Data shares'!$C:$FA,118)</f>
        <v>1.06</v>
      </c>
      <c r="C104" s="143">
        <f>VLOOKUP($A104,'Data shares'!$C:$FA,119)</f>
        <v>0.91</v>
      </c>
      <c r="D104" s="143">
        <f>VLOOKUP($A104,'Data shares'!$C:$FA,121)*100</f>
        <v>16.48</v>
      </c>
      <c r="E104" s="143">
        <f>VLOOKUP($A104,'Data shares'!$C:$FA,124)</f>
        <v>0.5</v>
      </c>
      <c r="F104" s="143">
        <f>VLOOKUP($A104,'Data shares'!$C:$FA,125)</f>
        <v>0.49</v>
      </c>
      <c r="G104" s="143">
        <f>VLOOKUP($A104,'Data shares'!$C:$FA,127)*100</f>
        <v>2.04</v>
      </c>
      <c r="H104" s="103">
        <f>VLOOKUP($A104,'OI(Volume)'!$A$7:$O$445,8)</f>
        <v>15075600</v>
      </c>
      <c r="I104" s="103">
        <f>VLOOKUP($A104,'OI(Volume)'!$A$7:$O$445,9)</f>
        <v>-15711400</v>
      </c>
      <c r="J104" s="103">
        <f>VLOOKUP($A104,'OI(Volume)'!$A$7:$O$445,11)</f>
        <v>15925600</v>
      </c>
      <c r="K104" s="103">
        <f>VLOOKUP($A104,'OI(Volume)'!$A$7:$O$445,12)</f>
        <v>-12170300</v>
      </c>
      <c r="L104" s="103">
        <f>VLOOKUP($A104,'OI(Value)'!$A$7:$O$329,8,0)</f>
        <v>659</v>
      </c>
      <c r="M104" s="103">
        <f>VLOOKUP($A104,'OI(Value)'!$A$7:$O$329,9,0)</f>
        <v>-687</v>
      </c>
      <c r="N104" s="103">
        <f>VLOOKUP($A104,'OI(Value)'!$A$7:$O$329,11,0)</f>
        <v>696</v>
      </c>
      <c r="O104" s="103">
        <f>VLOOKUP($A104,'OI(Value)'!$A$7:$O$329,12,0)</f>
        <v>-532</v>
      </c>
      <c r="P104" s="179">
        <f>VLOOKUP(A104,'OI(Value)'!A104:O328,8,0)</f>
        <v>659</v>
      </c>
      <c r="Q104" s="179">
        <f>VLOOKUP(A104,'OI(Value)'!A104:O328,9,0)</f>
        <v>-687</v>
      </c>
      <c r="R104" s="179">
        <f>VLOOKUP(A104,'OI(Value)'!A104:O328,11,0)</f>
        <v>696</v>
      </c>
      <c r="S104" s="179">
        <f>VLOOKUP(A104,'OI(Value)'!A104:O328,11,0)</f>
        <v>696</v>
      </c>
    </row>
    <row r="105" spans="1:19" x14ac:dyDescent="0.25">
      <c r="A105" s="105" t="str">
        <f>'Data Vlaue (Cr)'!C100</f>
        <v>INFY</v>
      </c>
      <c r="B105" s="143">
        <f>VLOOKUP($A105,'Data shares'!$C:$FA,118)</f>
        <v>0.91</v>
      </c>
      <c r="C105" s="143">
        <f>VLOOKUP($A105,'Data shares'!$C:$FA,119)</f>
        <v>0.67</v>
      </c>
      <c r="D105" s="143">
        <f>VLOOKUP($A105,'Data shares'!$C:$FA,121)*100</f>
        <v>35.82</v>
      </c>
      <c r="E105" s="143">
        <f>VLOOKUP($A105,'Data shares'!$C:$FA,124)</f>
        <v>0.6</v>
      </c>
      <c r="F105" s="143">
        <f>VLOOKUP($A105,'Data shares'!$C:$FA,125)</f>
        <v>0.61</v>
      </c>
      <c r="G105" s="143">
        <f>VLOOKUP($A105,'Data shares'!$C:$FA,127)*100</f>
        <v>-1.6400000000000001</v>
      </c>
      <c r="H105" s="103">
        <f>VLOOKUP($A105,'OI(Volume)'!$A$7:$O$445,8)</f>
        <v>12822000</v>
      </c>
      <c r="I105" s="103">
        <f>VLOOKUP($A105,'OI(Volume)'!$A$7:$O$445,9)</f>
        <v>-25766000</v>
      </c>
      <c r="J105" s="103">
        <f>VLOOKUP($A105,'OI(Volume)'!$A$7:$O$445,11)</f>
        <v>11729200</v>
      </c>
      <c r="K105" s="103">
        <f>VLOOKUP($A105,'OI(Volume)'!$A$7:$O$445,12)</f>
        <v>-14046800</v>
      </c>
      <c r="L105" s="103">
        <f>VLOOKUP($A105,'OI(Value)'!$A$7:$O$329,8,0)</f>
        <v>1495</v>
      </c>
      <c r="M105" s="103">
        <f>VLOOKUP($A105,'OI(Value)'!$A$7:$O$329,9,0)</f>
        <v>-3004</v>
      </c>
      <c r="N105" s="103">
        <f>VLOOKUP($A105,'OI(Value)'!$A$7:$O$329,11,0)</f>
        <v>1368</v>
      </c>
      <c r="O105" s="103">
        <f>VLOOKUP($A105,'OI(Value)'!$A$7:$O$329,12,0)</f>
        <v>-1638</v>
      </c>
      <c r="P105" s="179">
        <f>VLOOKUP(A105,'OI(Value)'!A105:O329,8,0)</f>
        <v>1495</v>
      </c>
      <c r="Q105" s="179">
        <f>VLOOKUP(A105,'OI(Value)'!A105:O329,9,0)</f>
        <v>-3004</v>
      </c>
      <c r="R105" s="179">
        <f>VLOOKUP(A105,'OI(Value)'!A105:O329,11,0)</f>
        <v>1368</v>
      </c>
      <c r="S105" s="179">
        <f>VLOOKUP(A105,'OI(Value)'!A105:O329,11,0)</f>
        <v>1368</v>
      </c>
    </row>
    <row r="106" spans="1:19" x14ac:dyDescent="0.25">
      <c r="A106" s="105" t="str">
        <f>'Data Vlaue (Cr)'!C101</f>
        <v>INOXWIND</v>
      </c>
      <c r="B106" s="143">
        <f>VLOOKUP($A106,'Data shares'!$C:$FA,118)</f>
        <v>0.48</v>
      </c>
      <c r="C106" s="143">
        <f>VLOOKUP($A106,'Data shares'!$C:$FA,119)</f>
        <v>0.45</v>
      </c>
      <c r="D106" s="143">
        <f>VLOOKUP($A106,'Data shares'!$C:$FA,121)*100</f>
        <v>6.67</v>
      </c>
      <c r="E106" s="143">
        <f>VLOOKUP($A106,'Data shares'!$C:$FA,124)</f>
        <v>0.23</v>
      </c>
      <c r="F106" s="143">
        <f>VLOOKUP($A106,'Data shares'!$C:$FA,125)</f>
        <v>0.36</v>
      </c>
      <c r="G106" s="143">
        <f>VLOOKUP($A106,'Data shares'!$C:$FA,127)*100</f>
        <v>-36.11</v>
      </c>
      <c r="H106" s="103">
        <f>VLOOKUP($A106,'OI(Volume)'!$A$7:$O$445,8)</f>
        <v>12139950</v>
      </c>
      <c r="I106" s="103">
        <f>VLOOKUP($A106,'OI(Volume)'!$A$7:$O$445,9)</f>
        <v>-17328025</v>
      </c>
      <c r="J106" s="103">
        <f>VLOOKUP($A106,'OI(Volume)'!$A$7:$O$445,11)</f>
        <v>5855200</v>
      </c>
      <c r="K106" s="103">
        <f>VLOOKUP($A106,'OI(Volume)'!$A$7:$O$445,12)</f>
        <v>-7320275</v>
      </c>
      <c r="L106" s="103">
        <f>VLOOKUP($A106,'OI(Value)'!$A$7:$O$329,8,0)</f>
        <v>118</v>
      </c>
      <c r="M106" s="103">
        <f>VLOOKUP($A106,'OI(Value)'!$A$7:$O$329,9,0)</f>
        <v>-168</v>
      </c>
      <c r="N106" s="103">
        <f>VLOOKUP($A106,'OI(Value)'!$A$7:$O$329,11,0)</f>
        <v>57</v>
      </c>
      <c r="O106" s="103">
        <f>VLOOKUP($A106,'OI(Value)'!$A$7:$O$329,12,0)</f>
        <v>-71</v>
      </c>
      <c r="P106" s="179">
        <f>VLOOKUP(A106,'OI(Value)'!A106:O330,8,0)</f>
        <v>118</v>
      </c>
      <c r="Q106" s="179">
        <f>VLOOKUP(A106,'OI(Value)'!A106:O330,9,0)</f>
        <v>-168</v>
      </c>
      <c r="R106" s="179">
        <f>VLOOKUP(A106,'OI(Value)'!A106:O330,11,0)</f>
        <v>57</v>
      </c>
      <c r="S106" s="179">
        <f>VLOOKUP(A106,'OI(Value)'!A106:O330,11,0)</f>
        <v>57</v>
      </c>
    </row>
    <row r="107" spans="1:19" x14ac:dyDescent="0.25">
      <c r="A107" s="105" t="str">
        <f>'Data Vlaue (Cr)'!C102</f>
        <v>IOC</v>
      </c>
      <c r="B107" s="143">
        <f>VLOOKUP($A107,'Data shares'!$C:$FA,118)</f>
        <v>0.98</v>
      </c>
      <c r="C107" s="143">
        <f>VLOOKUP($A107,'Data shares'!$C:$FA,119)</f>
        <v>0.76</v>
      </c>
      <c r="D107" s="143">
        <f>VLOOKUP($A107,'Data shares'!$C:$FA,121)*100</f>
        <v>28.95</v>
      </c>
      <c r="E107" s="143">
        <f>VLOOKUP($A107,'Data shares'!$C:$FA,124)</f>
        <v>0.73</v>
      </c>
      <c r="F107" s="143">
        <f>VLOOKUP($A107,'Data shares'!$C:$FA,125)</f>
        <v>0.55000000000000004</v>
      </c>
      <c r="G107" s="143">
        <f>VLOOKUP($A107,'Data shares'!$C:$FA,127)*100</f>
        <v>32.729999999999997</v>
      </c>
      <c r="H107" s="103">
        <f>VLOOKUP($A107,'OI(Volume)'!$A$7:$O$445,8)</f>
        <v>29956875</v>
      </c>
      <c r="I107" s="103">
        <f>VLOOKUP($A107,'OI(Volume)'!$A$7:$O$445,9)</f>
        <v>-34958625</v>
      </c>
      <c r="J107" s="103">
        <f>VLOOKUP($A107,'OI(Volume)'!$A$7:$O$445,11)</f>
        <v>29381625</v>
      </c>
      <c r="K107" s="103">
        <f>VLOOKUP($A107,'OI(Volume)'!$A$7:$O$445,12)</f>
        <v>-19763250</v>
      </c>
      <c r="L107" s="103">
        <f>VLOOKUP($A107,'OI(Value)'!$A$7:$O$329,8,0)</f>
        <v>430</v>
      </c>
      <c r="M107" s="103">
        <f>VLOOKUP($A107,'OI(Value)'!$A$7:$O$329,9,0)</f>
        <v>-501</v>
      </c>
      <c r="N107" s="103">
        <f>VLOOKUP($A107,'OI(Value)'!$A$7:$O$329,11,0)</f>
        <v>421</v>
      </c>
      <c r="O107" s="103">
        <f>VLOOKUP($A107,'OI(Value)'!$A$7:$O$329,12,0)</f>
        <v>-283</v>
      </c>
      <c r="P107" s="179">
        <f>VLOOKUP(A107,'OI(Value)'!A107:O331,8,0)</f>
        <v>430</v>
      </c>
      <c r="Q107" s="179">
        <f>VLOOKUP(A107,'OI(Value)'!A107:O331,9,0)</f>
        <v>-501</v>
      </c>
      <c r="R107" s="179">
        <f>VLOOKUP(A107,'OI(Value)'!A107:O331,11,0)</f>
        <v>421</v>
      </c>
      <c r="S107" s="179">
        <f>VLOOKUP(A107,'OI(Value)'!A107:O331,11,0)</f>
        <v>421</v>
      </c>
    </row>
    <row r="108" spans="1:19" x14ac:dyDescent="0.25">
      <c r="A108" s="105" t="str">
        <f>'Data Vlaue (Cr)'!C103</f>
        <v>IREDA</v>
      </c>
      <c r="B108" s="143">
        <f>VLOOKUP($A108,'Data shares'!$C:$FA,118)</f>
        <v>0.9</v>
      </c>
      <c r="C108" s="143">
        <f>VLOOKUP($A108,'Data shares'!$C:$FA,119)</f>
        <v>0.73</v>
      </c>
      <c r="D108" s="143">
        <f>VLOOKUP($A108,'Data shares'!$C:$FA,121)*100</f>
        <v>23.29</v>
      </c>
      <c r="E108" s="143">
        <f>VLOOKUP($A108,'Data shares'!$C:$FA,124)</f>
        <v>0.5</v>
      </c>
      <c r="F108" s="143">
        <f>VLOOKUP($A108,'Data shares'!$C:$FA,125)</f>
        <v>0.45</v>
      </c>
      <c r="G108" s="143">
        <f>VLOOKUP($A108,'Data shares'!$C:$FA,127)*100</f>
        <v>11.110000000000001</v>
      </c>
      <c r="H108" s="103">
        <f>VLOOKUP($A108,'OI(Volume)'!$A$7:$O$445,8)</f>
        <v>13205925</v>
      </c>
      <c r="I108" s="103">
        <f>VLOOKUP($A108,'OI(Volume)'!$A$7:$O$445,9)</f>
        <v>-12254400</v>
      </c>
      <c r="J108" s="103">
        <f>VLOOKUP($A108,'OI(Volume)'!$A$7:$O$445,11)</f>
        <v>11874175</v>
      </c>
      <c r="K108" s="103">
        <f>VLOOKUP($A108,'OI(Volume)'!$A$7:$O$445,12)</f>
        <v>-6673825</v>
      </c>
      <c r="L108" s="103">
        <f>VLOOKUP($A108,'OI(Value)'!$A$7:$O$329,8,0)</f>
        <v>168</v>
      </c>
      <c r="M108" s="103">
        <f>VLOOKUP($A108,'OI(Value)'!$A$7:$O$329,9,0)</f>
        <v>-156</v>
      </c>
      <c r="N108" s="103">
        <f>VLOOKUP($A108,'OI(Value)'!$A$7:$O$329,11,0)</f>
        <v>151</v>
      </c>
      <c r="O108" s="103">
        <f>VLOOKUP($A108,'OI(Value)'!$A$7:$O$329,12,0)</f>
        <v>-85</v>
      </c>
      <c r="P108" s="179">
        <f>VLOOKUP(A108,'OI(Value)'!A108:O332,8,0)</f>
        <v>168</v>
      </c>
      <c r="Q108" s="179">
        <f>VLOOKUP(A108,'OI(Value)'!A108:O332,9,0)</f>
        <v>-156</v>
      </c>
      <c r="R108" s="179">
        <f>VLOOKUP(A108,'OI(Value)'!A108:O332,11,0)</f>
        <v>151</v>
      </c>
      <c r="S108" s="179">
        <f>VLOOKUP(A108,'OI(Value)'!A108:O332,11,0)</f>
        <v>151</v>
      </c>
    </row>
    <row r="109" spans="1:19" x14ac:dyDescent="0.25">
      <c r="A109" s="105" t="str">
        <f>'Data Vlaue (Cr)'!C104</f>
        <v>IRFC</v>
      </c>
      <c r="B109" s="143">
        <f>VLOOKUP($A109,'Data shares'!$C:$FA,118)</f>
        <v>0.88</v>
      </c>
      <c r="C109" s="143">
        <f>VLOOKUP($A109,'Data shares'!$C:$FA,119)</f>
        <v>0.71</v>
      </c>
      <c r="D109" s="143">
        <f>VLOOKUP($A109,'Data shares'!$C:$FA,121)*100</f>
        <v>23.94</v>
      </c>
      <c r="E109" s="143">
        <f>VLOOKUP($A109,'Data shares'!$C:$FA,124)</f>
        <v>0.35</v>
      </c>
      <c r="F109" s="143">
        <f>VLOOKUP($A109,'Data shares'!$C:$FA,125)</f>
        <v>0.28000000000000003</v>
      </c>
      <c r="G109" s="143">
        <f>VLOOKUP($A109,'Data shares'!$C:$FA,127)*100</f>
        <v>25</v>
      </c>
      <c r="H109" s="103">
        <f>VLOOKUP($A109,'OI(Volume)'!$A$7:$O$445,8)</f>
        <v>22589200</v>
      </c>
      <c r="I109" s="103">
        <f>VLOOKUP($A109,'OI(Volume)'!$A$7:$O$445,9)</f>
        <v>-23671325</v>
      </c>
      <c r="J109" s="103">
        <f>VLOOKUP($A109,'OI(Volume)'!$A$7:$O$445,11)</f>
        <v>19859525</v>
      </c>
      <c r="K109" s="103">
        <f>VLOOKUP($A109,'OI(Volume)'!$A$7:$O$445,12)</f>
        <v>-12983750</v>
      </c>
      <c r="L109" s="103">
        <f>VLOOKUP($A109,'OI(Value)'!$A$7:$O$329,8,0)</f>
        <v>223</v>
      </c>
      <c r="M109" s="103">
        <f>VLOOKUP($A109,'OI(Value)'!$A$7:$O$329,9,0)</f>
        <v>-233</v>
      </c>
      <c r="N109" s="103">
        <f>VLOOKUP($A109,'OI(Value)'!$A$7:$O$329,11,0)</f>
        <v>196</v>
      </c>
      <c r="O109" s="103">
        <f>VLOOKUP($A109,'OI(Value)'!$A$7:$O$329,12,0)</f>
        <v>-128</v>
      </c>
      <c r="P109" s="179">
        <f>VLOOKUP(A109,'OI(Value)'!A109:O333,8,0)</f>
        <v>223</v>
      </c>
      <c r="Q109" s="179">
        <f>VLOOKUP(A109,'OI(Value)'!A109:O333,9,0)</f>
        <v>-233</v>
      </c>
      <c r="R109" s="179">
        <f>VLOOKUP(A109,'OI(Value)'!A109:O333,11,0)</f>
        <v>196</v>
      </c>
      <c r="S109" s="179">
        <f>VLOOKUP(A109,'OI(Value)'!A109:O333,11,0)</f>
        <v>196</v>
      </c>
    </row>
    <row r="110" spans="1:19" x14ac:dyDescent="0.25">
      <c r="A110" s="105" t="str">
        <f>'Data Vlaue (Cr)'!C105</f>
        <v>ITC</v>
      </c>
      <c r="B110" s="143">
        <f>VLOOKUP($A110,'Data shares'!$C:$FA,118)</f>
        <v>0.68</v>
      </c>
      <c r="C110" s="143">
        <f>VLOOKUP($A110,'Data shares'!$C:$FA,119)</f>
        <v>0.35</v>
      </c>
      <c r="D110" s="143">
        <f>VLOOKUP($A110,'Data shares'!$C:$FA,121)*100</f>
        <v>94.289999999999992</v>
      </c>
      <c r="E110" s="143">
        <f>VLOOKUP($A110,'Data shares'!$C:$FA,124)</f>
        <v>0.64</v>
      </c>
      <c r="F110" s="143">
        <f>VLOOKUP($A110,'Data shares'!$C:$FA,125)</f>
        <v>0.6</v>
      </c>
      <c r="G110" s="143">
        <f>VLOOKUP($A110,'Data shares'!$C:$FA,127)*100</f>
        <v>6.67</v>
      </c>
      <c r="H110" s="103">
        <f>VLOOKUP($A110,'OI(Volume)'!$A$7:$O$445,8)</f>
        <v>46915475</v>
      </c>
      <c r="I110" s="103">
        <f>VLOOKUP($A110,'OI(Volume)'!$A$7:$O$445,9)</f>
        <v>-94725725</v>
      </c>
      <c r="J110" s="103">
        <f>VLOOKUP($A110,'OI(Volume)'!$A$7:$O$445,11)</f>
        <v>31744575</v>
      </c>
      <c r="K110" s="103">
        <f>VLOOKUP($A110,'OI(Volume)'!$A$7:$O$445,12)</f>
        <v>-18066800</v>
      </c>
      <c r="L110" s="103">
        <f>VLOOKUP($A110,'OI(Value)'!$A$7:$O$329,8,0)</f>
        <v>1422</v>
      </c>
      <c r="M110" s="103">
        <f>VLOOKUP($A110,'OI(Value)'!$A$7:$O$329,9,0)</f>
        <v>-2872</v>
      </c>
      <c r="N110" s="103">
        <f>VLOOKUP($A110,'OI(Value)'!$A$7:$O$329,11,0)</f>
        <v>962</v>
      </c>
      <c r="O110" s="103">
        <f>VLOOKUP($A110,'OI(Value)'!$A$7:$O$329,12,0)</f>
        <v>-548</v>
      </c>
      <c r="P110" s="179">
        <f>VLOOKUP(A110,'OI(Value)'!A110:O334,8,0)</f>
        <v>1422</v>
      </c>
      <c r="Q110" s="179">
        <f>VLOOKUP(A110,'OI(Value)'!A110:O334,9,0)</f>
        <v>-2872</v>
      </c>
      <c r="R110" s="179">
        <f>VLOOKUP(A110,'OI(Value)'!A110:O334,11,0)</f>
        <v>962</v>
      </c>
      <c r="S110" s="179">
        <f>VLOOKUP(A110,'OI(Value)'!A110:O334,11,0)</f>
        <v>962</v>
      </c>
    </row>
    <row r="111" spans="1:19" x14ac:dyDescent="0.25">
      <c r="A111" s="105" t="str">
        <f>'Data Vlaue (Cr)'!C106</f>
        <v>JINDALSTEL</v>
      </c>
      <c r="B111" s="143">
        <f>VLOOKUP($A111,'Data shares'!$C:$FA,118)</f>
        <v>1.55</v>
      </c>
      <c r="C111" s="143">
        <f>VLOOKUP($A111,'Data shares'!$C:$FA,119)</f>
        <v>0.75</v>
      </c>
      <c r="D111" s="143">
        <f>VLOOKUP($A111,'Data shares'!$C:$FA,121)*100</f>
        <v>106.67</v>
      </c>
      <c r="E111" s="143">
        <f>VLOOKUP($A111,'Data shares'!$C:$FA,124)</f>
        <v>0.51</v>
      </c>
      <c r="F111" s="143">
        <f>VLOOKUP($A111,'Data shares'!$C:$FA,125)</f>
        <v>0.65</v>
      </c>
      <c r="G111" s="143">
        <f>VLOOKUP($A111,'Data shares'!$C:$FA,127)*100</f>
        <v>-21.54</v>
      </c>
      <c r="H111" s="103">
        <f>VLOOKUP($A111,'OI(Volume)'!$A$7:$O$445,8)</f>
        <v>746250</v>
      </c>
      <c r="I111" s="103">
        <f>VLOOKUP($A111,'OI(Volume)'!$A$7:$O$445,9)</f>
        <v>-2891875</v>
      </c>
      <c r="J111" s="103">
        <f>VLOOKUP($A111,'OI(Volume)'!$A$7:$O$445,11)</f>
        <v>1160000</v>
      </c>
      <c r="K111" s="103">
        <f>VLOOKUP($A111,'OI(Volume)'!$A$7:$O$445,12)</f>
        <v>-1574375</v>
      </c>
      <c r="L111" s="103">
        <f>VLOOKUP($A111,'OI(Value)'!$A$7:$O$329,8,0)</f>
        <v>92</v>
      </c>
      <c r="M111" s="103">
        <f>VLOOKUP($A111,'OI(Value)'!$A$7:$O$329,9,0)</f>
        <v>-356</v>
      </c>
      <c r="N111" s="103">
        <f>VLOOKUP($A111,'OI(Value)'!$A$7:$O$329,11,0)</f>
        <v>143</v>
      </c>
      <c r="O111" s="103">
        <f>VLOOKUP($A111,'OI(Value)'!$A$7:$O$329,12,0)</f>
        <v>-194</v>
      </c>
      <c r="P111" s="179">
        <f>VLOOKUP(A111,'OI(Value)'!A111:O335,8,0)</f>
        <v>92</v>
      </c>
      <c r="Q111" s="179">
        <f>VLOOKUP(A111,'OI(Value)'!A111:O335,9,0)</f>
        <v>-356</v>
      </c>
      <c r="R111" s="179">
        <f>VLOOKUP(A111,'OI(Value)'!A111:O335,11,0)</f>
        <v>143</v>
      </c>
      <c r="S111" s="179">
        <f>VLOOKUP(A111,'OI(Value)'!A111:O335,11,0)</f>
        <v>143</v>
      </c>
    </row>
    <row r="112" spans="1:19" x14ac:dyDescent="0.25">
      <c r="A112" s="105" t="str">
        <f>'Data Vlaue (Cr)'!C107</f>
        <v>JIOFIN</v>
      </c>
      <c r="B112" s="143">
        <f>VLOOKUP($A112,'Data shares'!$C:$FA,118)</f>
        <v>0.95</v>
      </c>
      <c r="C112" s="143">
        <f>VLOOKUP($A112,'Data shares'!$C:$FA,119)</f>
        <v>0.73</v>
      </c>
      <c r="D112" s="143">
        <f>VLOOKUP($A112,'Data shares'!$C:$FA,121)*100</f>
        <v>30.14</v>
      </c>
      <c r="E112" s="143">
        <f>VLOOKUP($A112,'Data shares'!$C:$FA,124)</f>
        <v>0.57999999999999996</v>
      </c>
      <c r="F112" s="143">
        <f>VLOOKUP($A112,'Data shares'!$C:$FA,125)</f>
        <v>0.41</v>
      </c>
      <c r="G112" s="143">
        <f>VLOOKUP($A112,'Data shares'!$C:$FA,127)*100</f>
        <v>41.46</v>
      </c>
      <c r="H112" s="103">
        <f>VLOOKUP($A112,'OI(Volume)'!$A$7:$O$445,8)</f>
        <v>26578500</v>
      </c>
      <c r="I112" s="103">
        <f>VLOOKUP($A112,'OI(Volume)'!$A$7:$O$445,9)</f>
        <v>-33550950</v>
      </c>
      <c r="J112" s="103">
        <f>VLOOKUP($A112,'OI(Volume)'!$A$7:$O$445,11)</f>
        <v>25147350</v>
      </c>
      <c r="K112" s="103">
        <f>VLOOKUP($A112,'OI(Volume)'!$A$7:$O$445,12)</f>
        <v>-18894000</v>
      </c>
      <c r="L112" s="103">
        <f>VLOOKUP($A112,'OI(Value)'!$A$7:$O$329,8,0)</f>
        <v>643</v>
      </c>
      <c r="M112" s="103">
        <f>VLOOKUP($A112,'OI(Value)'!$A$7:$O$329,9,0)</f>
        <v>-812</v>
      </c>
      <c r="N112" s="103">
        <f>VLOOKUP($A112,'OI(Value)'!$A$7:$O$329,11,0)</f>
        <v>609</v>
      </c>
      <c r="O112" s="103">
        <f>VLOOKUP($A112,'OI(Value)'!$A$7:$O$329,12,0)</f>
        <v>-457</v>
      </c>
      <c r="P112" s="179">
        <f>VLOOKUP(A112,'OI(Value)'!A112:O336,8,0)</f>
        <v>643</v>
      </c>
      <c r="Q112" s="179">
        <f>VLOOKUP(A112,'OI(Value)'!A112:O336,9,0)</f>
        <v>-812</v>
      </c>
      <c r="R112" s="179">
        <f>VLOOKUP(A112,'OI(Value)'!A112:O336,11,0)</f>
        <v>609</v>
      </c>
      <c r="S112" s="179">
        <f>VLOOKUP(A112,'OI(Value)'!A112:O336,11,0)</f>
        <v>609</v>
      </c>
    </row>
    <row r="113" spans="1:19" x14ac:dyDescent="0.25">
      <c r="A113" s="105" t="str">
        <f>'Data Vlaue (Cr)'!C108</f>
        <v>JSWENERGY</v>
      </c>
      <c r="B113" s="143">
        <f>VLOOKUP($A113,'Data shares'!$C:$FA,118)</f>
        <v>0.7</v>
      </c>
      <c r="C113" s="143">
        <f>VLOOKUP($A113,'Data shares'!$C:$FA,119)</f>
        <v>0.79</v>
      </c>
      <c r="D113" s="143">
        <f>VLOOKUP($A113,'Data shares'!$C:$FA,121)*100</f>
        <v>-11.39</v>
      </c>
      <c r="E113" s="143">
        <f>VLOOKUP($A113,'Data shares'!$C:$FA,124)</f>
        <v>0.28000000000000003</v>
      </c>
      <c r="F113" s="143">
        <f>VLOOKUP($A113,'Data shares'!$C:$FA,125)</f>
        <v>0.56999999999999995</v>
      </c>
      <c r="G113" s="143">
        <f>VLOOKUP($A113,'Data shares'!$C:$FA,127)*100</f>
        <v>-50.88</v>
      </c>
      <c r="H113" s="103">
        <f>VLOOKUP($A113,'OI(Volume)'!$A$7:$O$445,8)</f>
        <v>3364075</v>
      </c>
      <c r="I113" s="103">
        <f>VLOOKUP($A113,'OI(Volume)'!$A$7:$O$445,9)</f>
        <v>-6378000</v>
      </c>
      <c r="J113" s="103">
        <f>VLOOKUP($A113,'OI(Volume)'!$A$7:$O$445,11)</f>
        <v>2343075</v>
      </c>
      <c r="K113" s="103">
        <f>VLOOKUP($A113,'OI(Volume)'!$A$7:$O$445,12)</f>
        <v>-5326125</v>
      </c>
      <c r="L113" s="103">
        <f>VLOOKUP($A113,'OI(Value)'!$A$7:$O$329,8,0)</f>
        <v>195</v>
      </c>
      <c r="M113" s="103">
        <f>VLOOKUP($A113,'OI(Value)'!$A$7:$O$329,9,0)</f>
        <v>-369</v>
      </c>
      <c r="N113" s="103">
        <f>VLOOKUP($A113,'OI(Value)'!$A$7:$O$329,11,0)</f>
        <v>136</v>
      </c>
      <c r="O113" s="103">
        <f>VLOOKUP($A113,'OI(Value)'!$A$7:$O$329,12,0)</f>
        <v>-308</v>
      </c>
      <c r="P113" s="179">
        <f>VLOOKUP(A113,'OI(Value)'!A113:O337,8,0)</f>
        <v>195</v>
      </c>
      <c r="Q113" s="179">
        <f>VLOOKUP(A113,'OI(Value)'!A113:O337,9,0)</f>
        <v>-369</v>
      </c>
      <c r="R113" s="179">
        <f>VLOOKUP(A113,'OI(Value)'!A113:O337,11,0)</f>
        <v>136</v>
      </c>
      <c r="S113" s="179">
        <f>VLOOKUP(A113,'OI(Value)'!A113:O337,11,0)</f>
        <v>136</v>
      </c>
    </row>
    <row r="114" spans="1:19" x14ac:dyDescent="0.25">
      <c r="A114" s="105" t="str">
        <f>'Data Vlaue (Cr)'!C109</f>
        <v>JSWSTEEL</v>
      </c>
      <c r="B114" s="143">
        <f>VLOOKUP($A114,'Data shares'!$C:$FA,118)</f>
        <v>0.69</v>
      </c>
      <c r="C114" s="143">
        <f>VLOOKUP($A114,'Data shares'!$C:$FA,119)</f>
        <v>0.63</v>
      </c>
      <c r="D114" s="143">
        <f>VLOOKUP($A114,'Data shares'!$C:$FA,121)*100</f>
        <v>9.5200000000000014</v>
      </c>
      <c r="E114" s="143">
        <f>VLOOKUP($A114,'Data shares'!$C:$FA,124)</f>
        <v>0.47</v>
      </c>
      <c r="F114" s="143">
        <f>VLOOKUP($A114,'Data shares'!$C:$FA,125)</f>
        <v>0.38</v>
      </c>
      <c r="G114" s="143">
        <f>VLOOKUP($A114,'Data shares'!$C:$FA,127)*100</f>
        <v>23.68</v>
      </c>
      <c r="H114" s="103">
        <f>VLOOKUP($A114,'OI(Volume)'!$A$7:$O$445,8)</f>
        <v>1933875</v>
      </c>
      <c r="I114" s="103">
        <f>VLOOKUP($A114,'OI(Volume)'!$A$7:$O$445,9)</f>
        <v>-4119525</v>
      </c>
      <c r="J114" s="103">
        <f>VLOOKUP($A114,'OI(Volume)'!$A$7:$O$445,11)</f>
        <v>1327725</v>
      </c>
      <c r="K114" s="103">
        <f>VLOOKUP($A114,'OI(Volume)'!$A$7:$O$445,12)</f>
        <v>-2484000</v>
      </c>
      <c r="L114" s="103">
        <f>VLOOKUP($A114,'OI(Value)'!$A$7:$O$329,8,0)</f>
        <v>252</v>
      </c>
      <c r="M114" s="103">
        <f>VLOOKUP($A114,'OI(Value)'!$A$7:$O$329,9,0)</f>
        <v>-536</v>
      </c>
      <c r="N114" s="103">
        <f>VLOOKUP($A114,'OI(Value)'!$A$7:$O$329,11,0)</f>
        <v>173</v>
      </c>
      <c r="O114" s="103">
        <f>VLOOKUP($A114,'OI(Value)'!$A$7:$O$329,12,0)</f>
        <v>-323</v>
      </c>
      <c r="P114" s="179">
        <f>VLOOKUP(A114,'OI(Value)'!A114:O338,8,0)</f>
        <v>252</v>
      </c>
      <c r="Q114" s="179">
        <f>VLOOKUP(A114,'OI(Value)'!A114:O338,9,0)</f>
        <v>-536</v>
      </c>
      <c r="R114" s="179">
        <f>VLOOKUP(A114,'OI(Value)'!A114:O338,11,0)</f>
        <v>173</v>
      </c>
      <c r="S114" s="179">
        <f>VLOOKUP(A114,'OI(Value)'!A114:O338,11,0)</f>
        <v>173</v>
      </c>
    </row>
    <row r="115" spans="1:19" x14ac:dyDescent="0.25">
      <c r="A115" s="105" t="str">
        <f>'Data Vlaue (Cr)'!C110</f>
        <v>JUBLFOOD</v>
      </c>
      <c r="B115" s="143">
        <f>VLOOKUP($A115,'Data shares'!$C:$FA,118)</f>
        <v>0.79</v>
      </c>
      <c r="C115" s="143">
        <f>VLOOKUP($A115,'Data shares'!$C:$FA,119)</f>
        <v>0.65</v>
      </c>
      <c r="D115" s="143">
        <f>VLOOKUP($A115,'Data shares'!$C:$FA,121)*100</f>
        <v>21.54</v>
      </c>
      <c r="E115" s="143">
        <f>VLOOKUP($A115,'Data shares'!$C:$FA,124)</f>
        <v>0.56000000000000005</v>
      </c>
      <c r="F115" s="143">
        <f>VLOOKUP($A115,'Data shares'!$C:$FA,125)</f>
        <v>0.31</v>
      </c>
      <c r="G115" s="143">
        <f>VLOOKUP($A115,'Data shares'!$C:$FA,127)*100</f>
        <v>80.650000000000006</v>
      </c>
      <c r="H115" s="103">
        <f>VLOOKUP($A115,'OI(Volume)'!$A$7:$O$445,8)</f>
        <v>6251250</v>
      </c>
      <c r="I115" s="103">
        <f>VLOOKUP($A115,'OI(Volume)'!$A$7:$O$445,9)</f>
        <v>-5901250</v>
      </c>
      <c r="J115" s="103">
        <f>VLOOKUP($A115,'OI(Volume)'!$A$7:$O$445,11)</f>
        <v>4926250</v>
      </c>
      <c r="K115" s="103">
        <f>VLOOKUP($A115,'OI(Volume)'!$A$7:$O$445,12)</f>
        <v>-2942500</v>
      </c>
      <c r="L115" s="103">
        <f>VLOOKUP($A115,'OI(Value)'!$A$7:$O$329,8,0)</f>
        <v>269</v>
      </c>
      <c r="M115" s="103">
        <f>VLOOKUP($A115,'OI(Value)'!$A$7:$O$329,9,0)</f>
        <v>-254</v>
      </c>
      <c r="N115" s="103">
        <f>VLOOKUP($A115,'OI(Value)'!$A$7:$O$329,11,0)</f>
        <v>212</v>
      </c>
      <c r="O115" s="103">
        <f>VLOOKUP($A115,'OI(Value)'!$A$7:$O$329,12,0)</f>
        <v>-127</v>
      </c>
      <c r="P115" s="179">
        <f>VLOOKUP(A115,'OI(Value)'!A115:O339,8,0)</f>
        <v>269</v>
      </c>
      <c r="Q115" s="179">
        <f>VLOOKUP(A115,'OI(Value)'!A115:O339,9,0)</f>
        <v>-254</v>
      </c>
      <c r="R115" s="179">
        <f>VLOOKUP(A115,'OI(Value)'!A115:O339,11,0)</f>
        <v>212</v>
      </c>
      <c r="S115" s="179">
        <f>VLOOKUP(A115,'OI(Value)'!A115:O339,11,0)</f>
        <v>212</v>
      </c>
    </row>
    <row r="116" spans="1:19" x14ac:dyDescent="0.25">
      <c r="A116" s="105" t="str">
        <f>'Data Vlaue (Cr)'!C111</f>
        <v>KALYANKJIL</v>
      </c>
      <c r="B116" s="143">
        <f>VLOOKUP($A116,'Data shares'!$C:$FA,118)</f>
        <v>0.64</v>
      </c>
      <c r="C116" s="143">
        <f>VLOOKUP($A116,'Data shares'!$C:$FA,119)</f>
        <v>0.55000000000000004</v>
      </c>
      <c r="D116" s="143">
        <f>VLOOKUP($A116,'Data shares'!$C:$FA,121)*100</f>
        <v>16.36</v>
      </c>
      <c r="E116" s="143">
        <f>VLOOKUP($A116,'Data shares'!$C:$FA,124)</f>
        <v>0.45</v>
      </c>
      <c r="F116" s="143">
        <f>VLOOKUP($A116,'Data shares'!$C:$FA,125)</f>
        <v>0.5</v>
      </c>
      <c r="G116" s="143">
        <f>VLOOKUP($A116,'Data shares'!$C:$FA,127)*100</f>
        <v>-10</v>
      </c>
      <c r="H116" s="103">
        <f>VLOOKUP($A116,'OI(Volume)'!$A$7:$O$445,8)</f>
        <v>5351000</v>
      </c>
      <c r="I116" s="103">
        <f>VLOOKUP($A116,'OI(Volume)'!$A$7:$O$445,9)</f>
        <v>-17370025</v>
      </c>
      <c r="J116" s="103">
        <f>VLOOKUP($A116,'OI(Volume)'!$A$7:$O$445,11)</f>
        <v>3438750</v>
      </c>
      <c r="K116" s="103">
        <f>VLOOKUP($A116,'OI(Volume)'!$A$7:$O$445,12)</f>
        <v>-9145550</v>
      </c>
      <c r="L116" s="103">
        <f>VLOOKUP($A116,'OI(Value)'!$A$7:$O$329,8,0)</f>
        <v>192</v>
      </c>
      <c r="M116" s="103">
        <f>VLOOKUP($A116,'OI(Value)'!$A$7:$O$329,9,0)</f>
        <v>-622</v>
      </c>
      <c r="N116" s="103">
        <f>VLOOKUP($A116,'OI(Value)'!$A$7:$O$329,11,0)</f>
        <v>123</v>
      </c>
      <c r="O116" s="103">
        <f>VLOOKUP($A116,'OI(Value)'!$A$7:$O$329,12,0)</f>
        <v>-328</v>
      </c>
      <c r="P116" s="179">
        <f>VLOOKUP(A116,'OI(Value)'!A116:O340,8,0)</f>
        <v>192</v>
      </c>
      <c r="Q116" s="179">
        <f>VLOOKUP(A116,'OI(Value)'!A116:O340,9,0)</f>
        <v>-622</v>
      </c>
      <c r="R116" s="179">
        <f>VLOOKUP(A116,'OI(Value)'!A116:O340,11,0)</f>
        <v>123</v>
      </c>
      <c r="S116" s="179">
        <f>VLOOKUP(A116,'OI(Value)'!A116:O340,11,0)</f>
        <v>123</v>
      </c>
    </row>
    <row r="117" spans="1:19" x14ac:dyDescent="0.25">
      <c r="A117" s="105" t="str">
        <f>'Data Vlaue (Cr)'!C112</f>
        <v>KAYNES</v>
      </c>
      <c r="B117" s="143">
        <f>VLOOKUP($A117,'Data shares'!$C:$FA,118)</f>
        <v>0.66</v>
      </c>
      <c r="C117" s="143">
        <f>VLOOKUP($A117,'Data shares'!$C:$FA,119)</f>
        <v>0.5</v>
      </c>
      <c r="D117" s="143">
        <f>VLOOKUP($A117,'Data shares'!$C:$FA,121)*100</f>
        <v>32</v>
      </c>
      <c r="E117" s="143">
        <f>VLOOKUP($A117,'Data shares'!$C:$FA,124)</f>
        <v>0.57999999999999996</v>
      </c>
      <c r="F117" s="143">
        <f>VLOOKUP($A117,'Data shares'!$C:$FA,125)</f>
        <v>0.49</v>
      </c>
      <c r="G117" s="143">
        <f>VLOOKUP($A117,'Data shares'!$C:$FA,127)*100</f>
        <v>18.37</v>
      </c>
      <c r="H117" s="103">
        <f>VLOOKUP($A117,'OI(Volume)'!$A$7:$O$445,8)</f>
        <v>953800</v>
      </c>
      <c r="I117" s="103">
        <f>VLOOKUP($A117,'OI(Volume)'!$A$7:$O$445,9)</f>
        <v>-2462350</v>
      </c>
      <c r="J117" s="103">
        <f>VLOOKUP($A117,'OI(Volume)'!$A$7:$O$445,11)</f>
        <v>625600</v>
      </c>
      <c r="K117" s="103">
        <f>VLOOKUP($A117,'OI(Volume)'!$A$7:$O$445,12)</f>
        <v>-1095600</v>
      </c>
      <c r="L117" s="103">
        <f>VLOOKUP($A117,'OI(Value)'!$A$7:$O$329,8,0)</f>
        <v>306</v>
      </c>
      <c r="M117" s="103">
        <f>VLOOKUP($A117,'OI(Value)'!$A$7:$O$329,9,0)</f>
        <v>-791</v>
      </c>
      <c r="N117" s="103">
        <f>VLOOKUP($A117,'OI(Value)'!$A$7:$O$329,11,0)</f>
        <v>201</v>
      </c>
      <c r="O117" s="103">
        <f>VLOOKUP($A117,'OI(Value)'!$A$7:$O$329,12,0)</f>
        <v>-352</v>
      </c>
      <c r="P117" s="179">
        <f>VLOOKUP(A117,'OI(Value)'!A117:O341,8,0)</f>
        <v>306</v>
      </c>
      <c r="Q117" s="179">
        <f>VLOOKUP(A117,'OI(Value)'!A117:O341,9,0)</f>
        <v>-791</v>
      </c>
      <c r="R117" s="179">
        <f>VLOOKUP(A117,'OI(Value)'!A117:O341,11,0)</f>
        <v>201</v>
      </c>
      <c r="S117" s="179">
        <f>VLOOKUP(A117,'OI(Value)'!A117:O341,11,0)</f>
        <v>201</v>
      </c>
    </row>
    <row r="118" spans="1:19" x14ac:dyDescent="0.25">
      <c r="A118" s="105" t="str">
        <f>'Data Vlaue (Cr)'!C113</f>
        <v>KEI</v>
      </c>
      <c r="B118" s="143">
        <f>VLOOKUP($A118,'Data shares'!$C:$FA,118)</f>
        <v>0.57999999999999996</v>
      </c>
      <c r="C118" s="143">
        <f>VLOOKUP($A118,'Data shares'!$C:$FA,119)</f>
        <v>0.79</v>
      </c>
      <c r="D118" s="143">
        <f>VLOOKUP($A118,'Data shares'!$C:$FA,121)*100</f>
        <v>-26.58</v>
      </c>
      <c r="E118" s="143">
        <f>VLOOKUP($A118,'Data shares'!$C:$FA,124)</f>
        <v>1.53</v>
      </c>
      <c r="F118" s="143">
        <f>VLOOKUP($A118,'Data shares'!$C:$FA,125)</f>
        <v>1.54</v>
      </c>
      <c r="G118" s="143">
        <f>VLOOKUP($A118,'Data shares'!$C:$FA,127)*100</f>
        <v>-0.65</v>
      </c>
      <c r="H118" s="103">
        <f>VLOOKUP($A118,'OI(Volume)'!$A$7:$O$445,8)</f>
        <v>257075</v>
      </c>
      <c r="I118" s="103">
        <f>VLOOKUP($A118,'OI(Volume)'!$A$7:$O$445,9)</f>
        <v>-484050</v>
      </c>
      <c r="J118" s="103">
        <f>VLOOKUP($A118,'OI(Volume)'!$A$7:$O$445,11)</f>
        <v>149800</v>
      </c>
      <c r="K118" s="103">
        <f>VLOOKUP($A118,'OI(Volume)'!$A$7:$O$445,12)</f>
        <v>-434175</v>
      </c>
      <c r="L118" s="103">
        <f>VLOOKUP($A118,'OI(Value)'!$A$7:$O$329,8,0)</f>
        <v>137</v>
      </c>
      <c r="M118" s="103">
        <f>VLOOKUP($A118,'OI(Value)'!$A$7:$O$329,9,0)</f>
        <v>-258</v>
      </c>
      <c r="N118" s="103">
        <f>VLOOKUP($A118,'OI(Value)'!$A$7:$O$329,11,0)</f>
        <v>80</v>
      </c>
      <c r="O118" s="103">
        <f>VLOOKUP($A118,'OI(Value)'!$A$7:$O$329,12,0)</f>
        <v>-232</v>
      </c>
      <c r="P118" s="179">
        <f>VLOOKUP(A118,'OI(Value)'!A118:O342,8,0)</f>
        <v>137</v>
      </c>
      <c r="Q118" s="179">
        <f>VLOOKUP(A118,'OI(Value)'!A118:O342,9,0)</f>
        <v>-258</v>
      </c>
      <c r="R118" s="179">
        <f>VLOOKUP(A118,'OI(Value)'!A118:O342,11,0)</f>
        <v>80</v>
      </c>
      <c r="S118" s="179">
        <f>VLOOKUP(A118,'OI(Value)'!A118:O342,11,0)</f>
        <v>80</v>
      </c>
    </row>
    <row r="119" spans="1:19" x14ac:dyDescent="0.25">
      <c r="A119" s="105" t="str">
        <f>'Data Vlaue (Cr)'!C114</f>
        <v>KFINTECH</v>
      </c>
      <c r="B119" s="143">
        <f>VLOOKUP($A119,'Data shares'!$C:$FA,118)</f>
        <v>1.04</v>
      </c>
      <c r="C119" s="143">
        <f>VLOOKUP($A119,'Data shares'!$C:$FA,119)</f>
        <v>0.67</v>
      </c>
      <c r="D119" s="143">
        <f>VLOOKUP($A119,'Data shares'!$C:$FA,121)*100</f>
        <v>55.22</v>
      </c>
      <c r="E119" s="143">
        <f>VLOOKUP($A119,'Data shares'!$C:$FA,124)</f>
        <v>0.68</v>
      </c>
      <c r="F119" s="143">
        <f>VLOOKUP($A119,'Data shares'!$C:$FA,125)</f>
        <v>0.4</v>
      </c>
      <c r="G119" s="143">
        <f>VLOOKUP($A119,'Data shares'!$C:$FA,127)*100</f>
        <v>70</v>
      </c>
      <c r="H119" s="103">
        <f>VLOOKUP($A119,'OI(Volume)'!$A$7:$O$445,8)</f>
        <v>600500</v>
      </c>
      <c r="I119" s="103">
        <f>VLOOKUP($A119,'OI(Volume)'!$A$7:$O$445,9)</f>
        <v>-3439000</v>
      </c>
      <c r="J119" s="103">
        <f>VLOOKUP($A119,'OI(Volume)'!$A$7:$O$445,11)</f>
        <v>625225</v>
      </c>
      <c r="K119" s="103">
        <f>VLOOKUP($A119,'OI(Volume)'!$A$7:$O$445,12)</f>
        <v>-2085500</v>
      </c>
      <c r="L119" s="103">
        <f>VLOOKUP($A119,'OI(Value)'!$A$7:$O$329,8,0)</f>
        <v>51</v>
      </c>
      <c r="M119" s="103">
        <f>VLOOKUP($A119,'OI(Value)'!$A$7:$O$329,9,0)</f>
        <v>-289</v>
      </c>
      <c r="N119" s="103">
        <f>VLOOKUP($A119,'OI(Value)'!$A$7:$O$329,11,0)</f>
        <v>53</v>
      </c>
      <c r="O119" s="103">
        <f>VLOOKUP($A119,'OI(Value)'!$A$7:$O$329,12,0)</f>
        <v>-176</v>
      </c>
      <c r="P119" s="179">
        <f>VLOOKUP(A119,'OI(Value)'!A119:O343,8,0)</f>
        <v>51</v>
      </c>
      <c r="Q119" s="179">
        <f>VLOOKUP(A119,'OI(Value)'!A119:O343,9,0)</f>
        <v>-289</v>
      </c>
      <c r="R119" s="179">
        <f>VLOOKUP(A119,'OI(Value)'!A119:O343,11,0)</f>
        <v>53</v>
      </c>
      <c r="S119" s="179">
        <f>VLOOKUP(A119,'OI(Value)'!A119:O343,11,0)</f>
        <v>53</v>
      </c>
    </row>
    <row r="120" spans="1:19" x14ac:dyDescent="0.25">
      <c r="A120" s="105" t="str">
        <f>'Data Vlaue (Cr)'!C115</f>
        <v>KOTAKBANK</v>
      </c>
      <c r="B120" s="143">
        <f>VLOOKUP($A120,'Data shares'!$C:$FA,118)</f>
        <v>0.85</v>
      </c>
      <c r="C120" s="143">
        <f>VLOOKUP($A120,'Data shares'!$C:$FA,119)</f>
        <v>0.82</v>
      </c>
      <c r="D120" s="143">
        <f>VLOOKUP($A120,'Data shares'!$C:$FA,121)*100</f>
        <v>3.66</v>
      </c>
      <c r="E120" s="143">
        <f>VLOOKUP($A120,'Data shares'!$C:$FA,124)</f>
        <v>0.67</v>
      </c>
      <c r="F120" s="143">
        <f>VLOOKUP($A120,'Data shares'!$C:$FA,125)</f>
        <v>0.45</v>
      </c>
      <c r="G120" s="143">
        <f>VLOOKUP($A120,'Data shares'!$C:$FA,127)*100</f>
        <v>48.89</v>
      </c>
      <c r="H120" s="103">
        <f>VLOOKUP($A120,'OI(Volume)'!$A$7:$O$445,8)</f>
        <v>16866000</v>
      </c>
      <c r="I120" s="103">
        <f>VLOOKUP($A120,'OI(Volume)'!$A$7:$O$445,9)</f>
        <v>-25326000</v>
      </c>
      <c r="J120" s="103">
        <f>VLOOKUP($A120,'OI(Volume)'!$A$7:$O$445,11)</f>
        <v>14318000</v>
      </c>
      <c r="K120" s="103">
        <f>VLOOKUP($A120,'OI(Volume)'!$A$7:$O$445,12)</f>
        <v>-20278000</v>
      </c>
      <c r="L120" s="103">
        <f>VLOOKUP($A120,'OI(Value)'!$A$7:$O$329,8,0)</f>
        <v>659</v>
      </c>
      <c r="M120" s="103">
        <f>VLOOKUP($A120,'OI(Value)'!$A$7:$O$329,9,0)</f>
        <v>-990</v>
      </c>
      <c r="N120" s="103">
        <f>VLOOKUP($A120,'OI(Value)'!$A$7:$O$329,11,0)</f>
        <v>560</v>
      </c>
      <c r="O120" s="103">
        <f>VLOOKUP($A120,'OI(Value)'!$A$7:$O$329,12,0)</f>
        <v>-793</v>
      </c>
      <c r="P120" s="179">
        <f>VLOOKUP(A120,'OI(Value)'!A120:O344,8,0)</f>
        <v>659</v>
      </c>
      <c r="Q120" s="179">
        <f>VLOOKUP(A120,'OI(Value)'!A120:O344,9,0)</f>
        <v>-990</v>
      </c>
      <c r="R120" s="179">
        <f>VLOOKUP(A120,'OI(Value)'!A120:O344,11,0)</f>
        <v>560</v>
      </c>
      <c r="S120" s="179">
        <f>VLOOKUP(A120,'OI(Value)'!A120:O344,11,0)</f>
        <v>560</v>
      </c>
    </row>
    <row r="121" spans="1:19" x14ac:dyDescent="0.25">
      <c r="A121" s="105" t="str">
        <f>'Data Vlaue (Cr)'!C116</f>
        <v>KPITTECH</v>
      </c>
      <c r="B121" s="143">
        <f>VLOOKUP($A121,'Data shares'!$C:$FA,118)</f>
        <v>0.64</v>
      </c>
      <c r="C121" s="143">
        <f>VLOOKUP($A121,'Data shares'!$C:$FA,119)</f>
        <v>0.55000000000000004</v>
      </c>
      <c r="D121" s="143">
        <f>VLOOKUP($A121,'Data shares'!$C:$FA,121)*100</f>
        <v>16.36</v>
      </c>
      <c r="E121" s="143">
        <f>VLOOKUP($A121,'Data shares'!$C:$FA,124)</f>
        <v>0.24</v>
      </c>
      <c r="F121" s="143">
        <f>VLOOKUP($A121,'Data shares'!$C:$FA,125)</f>
        <v>0.28000000000000003</v>
      </c>
      <c r="G121" s="143">
        <f>VLOOKUP($A121,'Data shares'!$C:$FA,127)*100</f>
        <v>-14.29</v>
      </c>
      <c r="H121" s="103">
        <f>VLOOKUP($A121,'OI(Volume)'!$A$7:$O$445,8)</f>
        <v>2195975</v>
      </c>
      <c r="I121" s="103">
        <f>VLOOKUP($A121,'OI(Volume)'!$A$7:$O$445,9)</f>
        <v>-3584025</v>
      </c>
      <c r="J121" s="103">
        <f>VLOOKUP($A121,'OI(Volume)'!$A$7:$O$445,11)</f>
        <v>1405825</v>
      </c>
      <c r="K121" s="103">
        <f>VLOOKUP($A121,'OI(Volume)'!$A$7:$O$445,12)</f>
        <v>-1789675</v>
      </c>
      <c r="L121" s="103">
        <f>VLOOKUP($A121,'OI(Value)'!$A$7:$O$329,8,0)</f>
        <v>168</v>
      </c>
      <c r="M121" s="103">
        <f>VLOOKUP($A121,'OI(Value)'!$A$7:$O$329,9,0)</f>
        <v>-274</v>
      </c>
      <c r="N121" s="103">
        <f>VLOOKUP($A121,'OI(Value)'!$A$7:$O$329,11,0)</f>
        <v>108</v>
      </c>
      <c r="O121" s="103">
        <f>VLOOKUP($A121,'OI(Value)'!$A$7:$O$329,12,0)</f>
        <v>-137</v>
      </c>
      <c r="P121" s="179">
        <f>VLOOKUP(A121,'OI(Value)'!A121:O345,8,0)</f>
        <v>168</v>
      </c>
      <c r="Q121" s="179">
        <f>VLOOKUP(A121,'OI(Value)'!A121:O345,9,0)</f>
        <v>-274</v>
      </c>
      <c r="R121" s="179">
        <f>VLOOKUP(A121,'OI(Value)'!A121:O345,11,0)</f>
        <v>108</v>
      </c>
      <c r="S121" s="179">
        <f>VLOOKUP(A121,'OI(Value)'!A121:O345,11,0)</f>
        <v>108</v>
      </c>
    </row>
    <row r="122" spans="1:19" x14ac:dyDescent="0.25">
      <c r="A122" s="105" t="str">
        <f>'Data Vlaue (Cr)'!C117</f>
        <v>LAURUSLABS</v>
      </c>
      <c r="B122" s="143">
        <f>VLOOKUP($A122,'Data shares'!$C:$FA,118)</f>
        <v>1.02</v>
      </c>
      <c r="C122" s="143">
        <f>VLOOKUP($A122,'Data shares'!$C:$FA,119)</f>
        <v>1.05</v>
      </c>
      <c r="D122" s="143">
        <f>VLOOKUP($A122,'Data shares'!$C:$FA,121)*100</f>
        <v>-2.86</v>
      </c>
      <c r="E122" s="143">
        <f>VLOOKUP($A122,'Data shares'!$C:$FA,124)</f>
        <v>0.82</v>
      </c>
      <c r="F122" s="143">
        <f>VLOOKUP($A122,'Data shares'!$C:$FA,125)</f>
        <v>0.91</v>
      </c>
      <c r="G122" s="143">
        <f>VLOOKUP($A122,'Data shares'!$C:$FA,127)*100</f>
        <v>-9.89</v>
      </c>
      <c r="H122" s="103">
        <f>VLOOKUP($A122,'OI(Volume)'!$A$7:$O$445,8)</f>
        <v>3112700</v>
      </c>
      <c r="I122" s="103">
        <f>VLOOKUP($A122,'OI(Volume)'!$A$7:$O$445,9)</f>
        <v>-4235550</v>
      </c>
      <c r="J122" s="103">
        <f>VLOOKUP($A122,'OI(Volume)'!$A$7:$O$445,11)</f>
        <v>3187500</v>
      </c>
      <c r="K122" s="103">
        <f>VLOOKUP($A122,'OI(Volume)'!$A$7:$O$445,12)</f>
        <v>-4539000</v>
      </c>
      <c r="L122" s="103">
        <f>VLOOKUP($A122,'OI(Value)'!$A$7:$O$329,8,0)</f>
        <v>430</v>
      </c>
      <c r="M122" s="103">
        <f>VLOOKUP($A122,'OI(Value)'!$A$7:$O$329,9,0)</f>
        <v>-585</v>
      </c>
      <c r="N122" s="103">
        <f>VLOOKUP($A122,'OI(Value)'!$A$7:$O$329,11,0)</f>
        <v>440</v>
      </c>
      <c r="O122" s="103">
        <f>VLOOKUP($A122,'OI(Value)'!$A$7:$O$329,12,0)</f>
        <v>-627</v>
      </c>
      <c r="P122" s="179">
        <f>VLOOKUP(A122,'OI(Value)'!A122:O346,8,0)</f>
        <v>430</v>
      </c>
      <c r="Q122" s="179">
        <f>VLOOKUP(A122,'OI(Value)'!A122:O346,9,0)</f>
        <v>-585</v>
      </c>
      <c r="R122" s="179">
        <f>VLOOKUP(A122,'OI(Value)'!A122:O346,11,0)</f>
        <v>440</v>
      </c>
      <c r="S122" s="179">
        <f>VLOOKUP(A122,'OI(Value)'!A122:O346,11,0)</f>
        <v>440</v>
      </c>
    </row>
    <row r="123" spans="1:19" x14ac:dyDescent="0.25">
      <c r="A123" s="105" t="str">
        <f>'Data Vlaue (Cr)'!C118</f>
        <v>LICHSGFIN</v>
      </c>
      <c r="B123" s="143">
        <f>VLOOKUP($A123,'Data shares'!$C:$FA,118)</f>
        <v>0.99</v>
      </c>
      <c r="C123" s="143">
        <f>VLOOKUP($A123,'Data shares'!$C:$FA,119)</f>
        <v>0.66</v>
      </c>
      <c r="D123" s="143">
        <f>VLOOKUP($A123,'Data shares'!$C:$FA,121)*100</f>
        <v>50</v>
      </c>
      <c r="E123" s="143">
        <f>VLOOKUP($A123,'Data shares'!$C:$FA,124)</f>
        <v>0.68</v>
      </c>
      <c r="F123" s="143">
        <f>VLOOKUP($A123,'Data shares'!$C:$FA,125)</f>
        <v>0.52</v>
      </c>
      <c r="G123" s="143">
        <f>VLOOKUP($A123,'Data shares'!$C:$FA,127)*100</f>
        <v>30.769999999999996</v>
      </c>
      <c r="H123" s="103">
        <f>VLOOKUP($A123,'OI(Volume)'!$A$7:$O$445,8)</f>
        <v>3239000</v>
      </c>
      <c r="I123" s="103">
        <f>VLOOKUP($A123,'OI(Volume)'!$A$7:$O$445,9)</f>
        <v>-5805000</v>
      </c>
      <c r="J123" s="103">
        <f>VLOOKUP($A123,'OI(Volume)'!$A$7:$O$445,11)</f>
        <v>3195000</v>
      </c>
      <c r="K123" s="103">
        <f>VLOOKUP($A123,'OI(Volume)'!$A$7:$O$445,12)</f>
        <v>-2817000</v>
      </c>
      <c r="L123" s="103">
        <f>VLOOKUP($A123,'OI(Value)'!$A$7:$O$329,8,0)</f>
        <v>178</v>
      </c>
      <c r="M123" s="103">
        <f>VLOOKUP($A123,'OI(Value)'!$A$7:$O$329,9,0)</f>
        <v>-318</v>
      </c>
      <c r="N123" s="103">
        <f>VLOOKUP($A123,'OI(Value)'!$A$7:$O$329,11,0)</f>
        <v>175</v>
      </c>
      <c r="O123" s="103">
        <f>VLOOKUP($A123,'OI(Value)'!$A$7:$O$329,12,0)</f>
        <v>-154</v>
      </c>
      <c r="P123" s="179">
        <f>VLOOKUP(A123,'OI(Value)'!A123:O347,8,0)</f>
        <v>178</v>
      </c>
      <c r="Q123" s="179">
        <f>VLOOKUP(A123,'OI(Value)'!A123:O347,9,0)</f>
        <v>-318</v>
      </c>
      <c r="R123" s="179">
        <f>VLOOKUP(A123,'OI(Value)'!A123:O347,11,0)</f>
        <v>175</v>
      </c>
      <c r="S123" s="179">
        <f>VLOOKUP(A123,'OI(Value)'!A123:O347,11,0)</f>
        <v>175</v>
      </c>
    </row>
    <row r="124" spans="1:19" x14ac:dyDescent="0.25">
      <c r="A124" s="105" t="str">
        <f>'Data Vlaue (Cr)'!C119</f>
        <v>LICI</v>
      </c>
      <c r="B124" s="143">
        <f>VLOOKUP($A124,'Data shares'!$C:$FA,118)</f>
        <v>0.69</v>
      </c>
      <c r="C124" s="143">
        <f>VLOOKUP($A124,'Data shares'!$C:$FA,119)</f>
        <v>0.56000000000000005</v>
      </c>
      <c r="D124" s="143">
        <f>VLOOKUP($A124,'Data shares'!$C:$FA,121)*100</f>
        <v>23.21</v>
      </c>
      <c r="E124" s="143">
        <f>VLOOKUP($A124,'Data shares'!$C:$FA,124)</f>
        <v>0.34</v>
      </c>
      <c r="F124" s="143">
        <f>VLOOKUP($A124,'Data shares'!$C:$FA,125)</f>
        <v>0.34</v>
      </c>
      <c r="G124" s="143">
        <f>VLOOKUP($A124,'Data shares'!$C:$FA,127)*100</f>
        <v>0</v>
      </c>
      <c r="H124" s="103">
        <f>VLOOKUP($A124,'OI(Volume)'!$A$7:$O$445,8)</f>
        <v>4442200</v>
      </c>
      <c r="I124" s="103">
        <f>VLOOKUP($A124,'OI(Volume)'!$A$7:$O$445,9)</f>
        <v>-5105800</v>
      </c>
      <c r="J124" s="103">
        <f>VLOOKUP($A124,'OI(Volume)'!$A$7:$O$445,11)</f>
        <v>3066000</v>
      </c>
      <c r="K124" s="103">
        <f>VLOOKUP($A124,'OI(Volume)'!$A$7:$O$445,12)</f>
        <v>-2286200</v>
      </c>
      <c r="L124" s="103">
        <f>VLOOKUP($A124,'OI(Value)'!$A$7:$O$329,8,0)</f>
        <v>383</v>
      </c>
      <c r="M124" s="103">
        <f>VLOOKUP($A124,'OI(Value)'!$A$7:$O$329,9,0)</f>
        <v>-440</v>
      </c>
      <c r="N124" s="103">
        <f>VLOOKUP($A124,'OI(Value)'!$A$7:$O$329,11,0)</f>
        <v>264</v>
      </c>
      <c r="O124" s="103">
        <f>VLOOKUP($A124,'OI(Value)'!$A$7:$O$329,12,0)</f>
        <v>-197</v>
      </c>
      <c r="P124" s="179">
        <f>VLOOKUP(A124,'OI(Value)'!A124:O348,8,0)</f>
        <v>383</v>
      </c>
      <c r="Q124" s="179">
        <f>VLOOKUP(A124,'OI(Value)'!A124:O348,9,0)</f>
        <v>-440</v>
      </c>
      <c r="R124" s="179">
        <f>VLOOKUP(A124,'OI(Value)'!A124:O348,11,0)</f>
        <v>264</v>
      </c>
      <c r="S124" s="179">
        <f>VLOOKUP(A124,'OI(Value)'!A124:O348,11,0)</f>
        <v>264</v>
      </c>
    </row>
    <row r="125" spans="1:19" x14ac:dyDescent="0.25">
      <c r="A125" s="105" t="str">
        <f>'Data Vlaue (Cr)'!C120</f>
        <v>LODHA</v>
      </c>
      <c r="B125" s="143">
        <f>VLOOKUP($A125,'Data shares'!$C:$FA,118)</f>
        <v>0.92</v>
      </c>
      <c r="C125" s="143">
        <f>VLOOKUP($A125,'Data shares'!$C:$FA,119)</f>
        <v>0.91</v>
      </c>
      <c r="D125" s="143">
        <f>VLOOKUP($A125,'Data shares'!$C:$FA,121)*100</f>
        <v>1.0999999999999999</v>
      </c>
      <c r="E125" s="143">
        <f>VLOOKUP($A125,'Data shares'!$C:$FA,124)</f>
        <v>0.38</v>
      </c>
      <c r="F125" s="143">
        <f>VLOOKUP($A125,'Data shares'!$C:$FA,125)</f>
        <v>0.52</v>
      </c>
      <c r="G125" s="143">
        <f>VLOOKUP($A125,'Data shares'!$C:$FA,127)*100</f>
        <v>-26.919999999999998</v>
      </c>
      <c r="H125" s="103">
        <f>VLOOKUP($A125,'OI(Volume)'!$A$7:$O$445,8)</f>
        <v>751500</v>
      </c>
      <c r="I125" s="103">
        <f>VLOOKUP($A125,'OI(Volume)'!$A$7:$O$445,9)</f>
        <v>-2322900</v>
      </c>
      <c r="J125" s="103">
        <f>VLOOKUP($A125,'OI(Volume)'!$A$7:$O$445,11)</f>
        <v>694350</v>
      </c>
      <c r="K125" s="103">
        <f>VLOOKUP($A125,'OI(Volume)'!$A$7:$O$445,12)</f>
        <v>-2101050</v>
      </c>
      <c r="L125" s="103">
        <f>VLOOKUP($A125,'OI(Value)'!$A$7:$O$329,8,0)</f>
        <v>68</v>
      </c>
      <c r="M125" s="103">
        <f>VLOOKUP($A125,'OI(Value)'!$A$7:$O$329,9,0)</f>
        <v>-211</v>
      </c>
      <c r="N125" s="103">
        <f>VLOOKUP($A125,'OI(Value)'!$A$7:$O$329,11,0)</f>
        <v>63</v>
      </c>
      <c r="O125" s="103">
        <f>VLOOKUP($A125,'OI(Value)'!$A$7:$O$329,12,0)</f>
        <v>-191</v>
      </c>
      <c r="P125" s="179">
        <f>VLOOKUP(A125,'OI(Value)'!A125:O349,8,0)</f>
        <v>68</v>
      </c>
      <c r="Q125" s="179">
        <f>VLOOKUP(A125,'OI(Value)'!A125:O349,9,0)</f>
        <v>-211</v>
      </c>
      <c r="R125" s="179">
        <f>VLOOKUP(A125,'OI(Value)'!A125:O349,11,0)</f>
        <v>63</v>
      </c>
      <c r="S125" s="179">
        <f>VLOOKUP(A125,'OI(Value)'!A125:O349,11,0)</f>
        <v>63</v>
      </c>
    </row>
    <row r="126" spans="1:19" x14ac:dyDescent="0.25">
      <c r="A126" s="105" t="str">
        <f>'Data Vlaue (Cr)'!C121</f>
        <v>LT</v>
      </c>
      <c r="B126" s="143">
        <f>VLOOKUP($A126,'Data shares'!$C:$FA,118)</f>
        <v>1.33</v>
      </c>
      <c r="C126" s="143">
        <f>VLOOKUP($A126,'Data shares'!$C:$FA,119)</f>
        <v>0.78</v>
      </c>
      <c r="D126" s="143">
        <f>VLOOKUP($A126,'Data shares'!$C:$FA,121)*100</f>
        <v>70.509999999999991</v>
      </c>
      <c r="E126" s="143">
        <f>VLOOKUP($A126,'Data shares'!$C:$FA,124)</f>
        <v>0.53</v>
      </c>
      <c r="F126" s="143">
        <f>VLOOKUP($A126,'Data shares'!$C:$FA,125)</f>
        <v>0.52</v>
      </c>
      <c r="G126" s="143">
        <f>VLOOKUP($A126,'Data shares'!$C:$FA,127)*100</f>
        <v>1.92</v>
      </c>
      <c r="H126" s="103">
        <f>VLOOKUP($A126,'OI(Volume)'!$A$7:$O$445,8)</f>
        <v>2550625</v>
      </c>
      <c r="I126" s="103">
        <f>VLOOKUP($A126,'OI(Volume)'!$A$7:$O$445,9)</f>
        <v>-4968775</v>
      </c>
      <c r="J126" s="103">
        <f>VLOOKUP($A126,'OI(Volume)'!$A$7:$O$445,11)</f>
        <v>3384325</v>
      </c>
      <c r="K126" s="103">
        <f>VLOOKUP($A126,'OI(Volume)'!$A$7:$O$445,12)</f>
        <v>-2509500</v>
      </c>
      <c r="L126" s="103">
        <f>VLOOKUP($A126,'OI(Value)'!$A$7:$O$329,8,0)</f>
        <v>1035</v>
      </c>
      <c r="M126" s="103">
        <f>VLOOKUP($A126,'OI(Value)'!$A$7:$O$329,9,0)</f>
        <v>-2016</v>
      </c>
      <c r="N126" s="103">
        <f>VLOOKUP($A126,'OI(Value)'!$A$7:$O$329,11,0)</f>
        <v>1373</v>
      </c>
      <c r="O126" s="103">
        <f>VLOOKUP($A126,'OI(Value)'!$A$7:$O$329,12,0)</f>
        <v>-1018</v>
      </c>
      <c r="P126" s="179">
        <f>VLOOKUP(A126,'OI(Value)'!A126:O350,8,0)</f>
        <v>1035</v>
      </c>
      <c r="Q126" s="179">
        <f>VLOOKUP(A126,'OI(Value)'!A126:O350,9,0)</f>
        <v>-2016</v>
      </c>
      <c r="R126" s="179">
        <f>VLOOKUP(A126,'OI(Value)'!A126:O350,11,0)</f>
        <v>1373</v>
      </c>
      <c r="S126" s="179">
        <f>VLOOKUP(A126,'OI(Value)'!A126:O350,11,0)</f>
        <v>1373</v>
      </c>
    </row>
    <row r="127" spans="1:19" x14ac:dyDescent="0.25">
      <c r="A127" s="105" t="str">
        <f>'Data Vlaue (Cr)'!C122</f>
        <v>LTF</v>
      </c>
      <c r="B127" s="143">
        <f>VLOOKUP($A127,'Data shares'!$C:$FA,118)</f>
        <v>0.92</v>
      </c>
      <c r="C127" s="143">
        <f>VLOOKUP($A127,'Data shares'!$C:$FA,119)</f>
        <v>0.69</v>
      </c>
      <c r="D127" s="143">
        <f>VLOOKUP($A127,'Data shares'!$C:$FA,121)*100</f>
        <v>33.33</v>
      </c>
      <c r="E127" s="143">
        <f>VLOOKUP($A127,'Data shares'!$C:$FA,124)</f>
        <v>0.33</v>
      </c>
      <c r="F127" s="143">
        <f>VLOOKUP($A127,'Data shares'!$C:$FA,125)</f>
        <v>0.62</v>
      </c>
      <c r="G127" s="143">
        <f>VLOOKUP($A127,'Data shares'!$C:$FA,127)*100</f>
        <v>-46.77</v>
      </c>
      <c r="H127" s="103">
        <f>VLOOKUP($A127,'OI(Volume)'!$A$7:$O$445,8)</f>
        <v>8498250</v>
      </c>
      <c r="I127" s="103">
        <f>VLOOKUP($A127,'OI(Volume)'!$A$7:$O$445,9)</f>
        <v>-13466250</v>
      </c>
      <c r="J127" s="103">
        <f>VLOOKUP($A127,'OI(Volume)'!$A$7:$O$445,11)</f>
        <v>7791750</v>
      </c>
      <c r="K127" s="103">
        <f>VLOOKUP($A127,'OI(Volume)'!$A$7:$O$445,12)</f>
        <v>-7413750</v>
      </c>
      <c r="L127" s="103">
        <f>VLOOKUP($A127,'OI(Value)'!$A$7:$O$329,8,0)</f>
        <v>241</v>
      </c>
      <c r="M127" s="103">
        <f>VLOOKUP($A127,'OI(Value)'!$A$7:$O$329,9,0)</f>
        <v>-382</v>
      </c>
      <c r="N127" s="103">
        <f>VLOOKUP($A127,'OI(Value)'!$A$7:$O$329,11,0)</f>
        <v>221</v>
      </c>
      <c r="O127" s="103">
        <f>VLOOKUP($A127,'OI(Value)'!$A$7:$O$329,12,0)</f>
        <v>-210</v>
      </c>
      <c r="P127" s="179">
        <f>VLOOKUP(A127,'OI(Value)'!A127:O351,8,0)</f>
        <v>241</v>
      </c>
      <c r="Q127" s="179">
        <f>VLOOKUP(A127,'OI(Value)'!A127:O351,9,0)</f>
        <v>-382</v>
      </c>
      <c r="R127" s="179">
        <f>VLOOKUP(A127,'OI(Value)'!A127:O351,11,0)</f>
        <v>221</v>
      </c>
      <c r="S127" s="179">
        <f>VLOOKUP(A127,'OI(Value)'!A127:O351,11,0)</f>
        <v>221</v>
      </c>
    </row>
    <row r="128" spans="1:19" x14ac:dyDescent="0.25">
      <c r="A128" s="105" t="str">
        <f>'Data Vlaue (Cr)'!C123</f>
        <v>LTM</v>
      </c>
      <c r="B128" s="143">
        <f>VLOOKUP($A128,'Data shares'!$C:$FA,118)</f>
        <v>0.72</v>
      </c>
      <c r="C128" s="143">
        <f>VLOOKUP($A128,'Data shares'!$C:$FA,119)</f>
        <v>0.54</v>
      </c>
      <c r="D128" s="143">
        <f>VLOOKUP($A128,'Data shares'!$C:$FA,121)*100</f>
        <v>33.33</v>
      </c>
      <c r="E128" s="143">
        <f>VLOOKUP($A128,'Data shares'!$C:$FA,124)</f>
        <v>0.31</v>
      </c>
      <c r="F128" s="143">
        <f>VLOOKUP($A128,'Data shares'!$C:$FA,125)</f>
        <v>0.43</v>
      </c>
      <c r="G128" s="143">
        <f>VLOOKUP($A128,'Data shares'!$C:$FA,127)*100</f>
        <v>-27.91</v>
      </c>
      <c r="H128" s="103">
        <f>VLOOKUP($A128,'OI(Volume)'!$A$7:$O$445,8)</f>
        <v>641100</v>
      </c>
      <c r="I128" s="103">
        <f>VLOOKUP($A128,'OI(Volume)'!$A$7:$O$445,9)</f>
        <v>-1149600</v>
      </c>
      <c r="J128" s="103">
        <f>VLOOKUP($A128,'OI(Volume)'!$A$7:$O$445,11)</f>
        <v>463650</v>
      </c>
      <c r="K128" s="103">
        <f>VLOOKUP($A128,'OI(Volume)'!$A$7:$O$445,12)</f>
        <v>-496200</v>
      </c>
      <c r="L128" s="103">
        <f>VLOOKUP($A128,'OI(Value)'!$A$7:$O$329,8,0)</f>
        <v>255</v>
      </c>
      <c r="M128" s="103">
        <f>VLOOKUP($A128,'OI(Value)'!$A$7:$O$329,9,0)</f>
        <v>-457</v>
      </c>
      <c r="N128" s="103">
        <f>VLOOKUP($A128,'OI(Value)'!$A$7:$O$329,11,0)</f>
        <v>184</v>
      </c>
      <c r="O128" s="103">
        <f>VLOOKUP($A128,'OI(Value)'!$A$7:$O$329,12,0)</f>
        <v>-197</v>
      </c>
      <c r="P128" s="179">
        <f>VLOOKUP(A128,'OI(Value)'!A128:O352,8,0)</f>
        <v>255</v>
      </c>
      <c r="Q128" s="179">
        <f>VLOOKUP(A128,'OI(Value)'!A128:O352,9,0)</f>
        <v>-457</v>
      </c>
      <c r="R128" s="179">
        <f>VLOOKUP(A128,'OI(Value)'!A128:O352,11,0)</f>
        <v>184</v>
      </c>
      <c r="S128" s="179">
        <f>VLOOKUP(A128,'OI(Value)'!A128:O352,11,0)</f>
        <v>184</v>
      </c>
    </row>
    <row r="129" spans="1:19" x14ac:dyDescent="0.25">
      <c r="A129" s="105" t="str">
        <f>'Data Vlaue (Cr)'!C124</f>
        <v>LUPIN</v>
      </c>
      <c r="B129" s="143">
        <f>VLOOKUP($A129,'Data shares'!$C:$FA,118)</f>
        <v>0.81</v>
      </c>
      <c r="C129" s="143">
        <f>VLOOKUP($A129,'Data shares'!$C:$FA,119)</f>
        <v>0.5</v>
      </c>
      <c r="D129" s="143">
        <f>VLOOKUP($A129,'Data shares'!$C:$FA,121)*100</f>
        <v>62</v>
      </c>
      <c r="E129" s="143">
        <f>VLOOKUP($A129,'Data shares'!$C:$FA,124)</f>
        <v>0.4</v>
      </c>
      <c r="F129" s="143">
        <f>VLOOKUP($A129,'Data shares'!$C:$FA,125)</f>
        <v>0.36</v>
      </c>
      <c r="G129" s="143">
        <f>VLOOKUP($A129,'Data shares'!$C:$FA,127)*100</f>
        <v>11.110000000000001</v>
      </c>
      <c r="H129" s="103">
        <f>VLOOKUP($A129,'OI(Volume)'!$A$7:$O$445,8)</f>
        <v>1155150</v>
      </c>
      <c r="I129" s="103">
        <f>VLOOKUP($A129,'OI(Volume)'!$A$7:$O$445,9)</f>
        <v>-6088550</v>
      </c>
      <c r="J129" s="103">
        <f>VLOOKUP($A129,'OI(Volume)'!$A$7:$O$445,11)</f>
        <v>937550</v>
      </c>
      <c r="K129" s="103">
        <f>VLOOKUP($A129,'OI(Volume)'!$A$7:$O$445,12)</f>
        <v>-2675375</v>
      </c>
      <c r="L129" s="103">
        <f>VLOOKUP($A129,'OI(Value)'!$A$7:$O$329,8,0)</f>
        <v>263</v>
      </c>
      <c r="M129" s="103">
        <f>VLOOKUP($A129,'OI(Value)'!$A$7:$O$329,9,0)</f>
        <v>-1388</v>
      </c>
      <c r="N129" s="103">
        <f>VLOOKUP($A129,'OI(Value)'!$A$7:$O$329,11,0)</f>
        <v>214</v>
      </c>
      <c r="O129" s="103">
        <f>VLOOKUP($A129,'OI(Value)'!$A$7:$O$329,12,0)</f>
        <v>-610</v>
      </c>
      <c r="P129" s="179">
        <f>VLOOKUP(A129,'OI(Value)'!A129:O353,8,0)</f>
        <v>263</v>
      </c>
      <c r="Q129" s="179">
        <f>VLOOKUP(A129,'OI(Value)'!A129:O353,9,0)</f>
        <v>-1388</v>
      </c>
      <c r="R129" s="179">
        <f>VLOOKUP(A129,'OI(Value)'!A129:O353,11,0)</f>
        <v>214</v>
      </c>
      <c r="S129" s="179">
        <f>VLOOKUP(A129,'OI(Value)'!A129:O353,11,0)</f>
        <v>214</v>
      </c>
    </row>
    <row r="130" spans="1:19" x14ac:dyDescent="0.25">
      <c r="A130" s="105" t="str">
        <f>'Data Vlaue (Cr)'!C125</f>
        <v>M&amp;M</v>
      </c>
      <c r="B130" s="143">
        <f>VLOOKUP($A130,'Data shares'!$C:$FA,118)</f>
        <v>0.84</v>
      </c>
      <c r="C130" s="143">
        <f>VLOOKUP($A130,'Data shares'!$C:$FA,119)</f>
        <v>0.88</v>
      </c>
      <c r="D130" s="143">
        <f>VLOOKUP($A130,'Data shares'!$C:$FA,121)*100</f>
        <v>-4.55</v>
      </c>
      <c r="E130" s="143">
        <f>VLOOKUP($A130,'Data shares'!$C:$FA,124)</f>
        <v>0.54</v>
      </c>
      <c r="F130" s="143">
        <f>VLOOKUP($A130,'Data shares'!$C:$FA,125)</f>
        <v>0.49</v>
      </c>
      <c r="G130" s="143">
        <f>VLOOKUP($A130,'Data shares'!$C:$FA,127)*100</f>
        <v>10.199999999999999</v>
      </c>
      <c r="H130" s="103">
        <f>VLOOKUP($A130,'OI(Volume)'!$A$7:$O$445,8)</f>
        <v>2809200</v>
      </c>
      <c r="I130" s="103">
        <f>VLOOKUP($A130,'OI(Volume)'!$A$7:$O$445,9)</f>
        <v>-3023400</v>
      </c>
      <c r="J130" s="103">
        <f>VLOOKUP($A130,'OI(Volume)'!$A$7:$O$445,11)</f>
        <v>2369600</v>
      </c>
      <c r="K130" s="103">
        <f>VLOOKUP($A130,'OI(Volume)'!$A$7:$O$445,12)</f>
        <v>-2777400</v>
      </c>
      <c r="L130" s="103">
        <f>VLOOKUP($A130,'OI(Value)'!$A$7:$O$329,8,0)</f>
        <v>879</v>
      </c>
      <c r="M130" s="103">
        <f>VLOOKUP($A130,'OI(Value)'!$A$7:$O$329,9,0)</f>
        <v>-946</v>
      </c>
      <c r="N130" s="103">
        <f>VLOOKUP($A130,'OI(Value)'!$A$7:$O$329,11,0)</f>
        <v>741</v>
      </c>
      <c r="O130" s="103">
        <f>VLOOKUP($A130,'OI(Value)'!$A$7:$O$329,12,0)</f>
        <v>-869</v>
      </c>
      <c r="P130" s="179">
        <f>VLOOKUP(A130,'OI(Value)'!A130:O354,8,0)</f>
        <v>879</v>
      </c>
      <c r="Q130" s="179">
        <f>VLOOKUP(A130,'OI(Value)'!A130:O354,9,0)</f>
        <v>-946</v>
      </c>
      <c r="R130" s="179">
        <f>VLOOKUP(A130,'OI(Value)'!A130:O354,11,0)</f>
        <v>741</v>
      </c>
      <c r="S130" s="179">
        <f>VLOOKUP(A130,'OI(Value)'!A130:O354,11,0)</f>
        <v>741</v>
      </c>
    </row>
    <row r="131" spans="1:19" x14ac:dyDescent="0.25">
      <c r="A131" s="105" t="str">
        <f>'Data Vlaue (Cr)'!C126</f>
        <v>MANAPPURAM</v>
      </c>
      <c r="B131" s="143">
        <f>VLOOKUP($A131,'Data shares'!$C:$FA,118)</f>
        <v>0.47</v>
      </c>
      <c r="C131" s="143">
        <f>VLOOKUP($A131,'Data shares'!$C:$FA,119)</f>
        <v>0.89</v>
      </c>
      <c r="D131" s="143">
        <f>VLOOKUP($A131,'Data shares'!$C:$FA,121)*100</f>
        <v>-47.19</v>
      </c>
      <c r="E131" s="143">
        <f>VLOOKUP($A131,'Data shares'!$C:$FA,124)</f>
        <v>0.45</v>
      </c>
      <c r="F131" s="143">
        <f>VLOOKUP($A131,'Data shares'!$C:$FA,125)</f>
        <v>0.45</v>
      </c>
      <c r="G131" s="143">
        <f>VLOOKUP($A131,'Data shares'!$C:$FA,127)*100</f>
        <v>0</v>
      </c>
      <c r="H131" s="103">
        <f>VLOOKUP($A131,'OI(Volume)'!$A$7:$O$445,8)</f>
        <v>7455000</v>
      </c>
      <c r="I131" s="103">
        <f>VLOOKUP($A131,'OI(Volume)'!$A$7:$O$445,9)</f>
        <v>-4011000</v>
      </c>
      <c r="J131" s="103">
        <f>VLOOKUP($A131,'OI(Volume)'!$A$7:$O$445,11)</f>
        <v>3507000</v>
      </c>
      <c r="K131" s="103">
        <f>VLOOKUP($A131,'OI(Volume)'!$A$7:$O$445,12)</f>
        <v>-6672000</v>
      </c>
      <c r="L131" s="103">
        <f>VLOOKUP($A131,'OI(Value)'!$A$7:$O$329,8,0)</f>
        <v>248</v>
      </c>
      <c r="M131" s="103">
        <f>VLOOKUP($A131,'OI(Value)'!$A$7:$O$329,9,0)</f>
        <v>-133</v>
      </c>
      <c r="N131" s="103">
        <f>VLOOKUP($A131,'OI(Value)'!$A$7:$O$329,11,0)</f>
        <v>117</v>
      </c>
      <c r="O131" s="103">
        <f>VLOOKUP($A131,'OI(Value)'!$A$7:$O$329,12,0)</f>
        <v>-222</v>
      </c>
      <c r="P131" s="179">
        <f>VLOOKUP(A131,'OI(Value)'!A131:O355,8,0)</f>
        <v>248</v>
      </c>
      <c r="Q131" s="179">
        <f>VLOOKUP(A131,'OI(Value)'!A131:O355,9,0)</f>
        <v>-133</v>
      </c>
      <c r="R131" s="179">
        <f>VLOOKUP(A131,'OI(Value)'!A131:O355,11,0)</f>
        <v>117</v>
      </c>
      <c r="S131" s="179">
        <f>VLOOKUP(A131,'OI(Value)'!A131:O355,11,0)</f>
        <v>117</v>
      </c>
    </row>
    <row r="132" spans="1:19" x14ac:dyDescent="0.25">
      <c r="A132" s="105" t="str">
        <f>'Data Vlaue (Cr)'!C127</f>
        <v>MANKIND</v>
      </c>
      <c r="B132" s="143">
        <f>VLOOKUP($A132,'Data shares'!$C:$FA,118)</f>
        <v>0.65</v>
      </c>
      <c r="C132" s="143">
        <f>VLOOKUP($A132,'Data shares'!$C:$FA,119)</f>
        <v>0.57999999999999996</v>
      </c>
      <c r="D132" s="143">
        <f>VLOOKUP($A132,'Data shares'!$C:$FA,121)*100</f>
        <v>12.07</v>
      </c>
      <c r="E132" s="143">
        <f>VLOOKUP($A132,'Data shares'!$C:$FA,124)</f>
        <v>0.98</v>
      </c>
      <c r="F132" s="143">
        <f>VLOOKUP($A132,'Data shares'!$C:$FA,125)</f>
        <v>0.74</v>
      </c>
      <c r="G132" s="143">
        <f>VLOOKUP($A132,'Data shares'!$C:$FA,127)*100</f>
        <v>32.43</v>
      </c>
      <c r="H132" s="103">
        <f>VLOOKUP($A132,'OI(Volume)'!$A$7:$O$445,8)</f>
        <v>320850</v>
      </c>
      <c r="I132" s="103">
        <f>VLOOKUP($A132,'OI(Volume)'!$A$7:$O$445,9)</f>
        <v>-977625</v>
      </c>
      <c r="J132" s="103">
        <f>VLOOKUP($A132,'OI(Volume)'!$A$7:$O$445,11)</f>
        <v>207600</v>
      </c>
      <c r="K132" s="103">
        <f>VLOOKUP($A132,'OI(Volume)'!$A$7:$O$445,12)</f>
        <v>-541125</v>
      </c>
      <c r="L132" s="103">
        <f>VLOOKUP($A132,'OI(Value)'!$A$7:$O$329,8,0)</f>
        <v>78</v>
      </c>
      <c r="M132" s="103">
        <f>VLOOKUP($A132,'OI(Value)'!$A$7:$O$329,9,0)</f>
        <v>-239</v>
      </c>
      <c r="N132" s="103">
        <f>VLOOKUP($A132,'OI(Value)'!$A$7:$O$329,11,0)</f>
        <v>51</v>
      </c>
      <c r="O132" s="103">
        <f>VLOOKUP($A132,'OI(Value)'!$A$7:$O$329,12,0)</f>
        <v>-132</v>
      </c>
      <c r="P132" s="179">
        <f>VLOOKUP(A132,'OI(Value)'!A132:O356,8,0)</f>
        <v>78</v>
      </c>
      <c r="Q132" s="179">
        <f>VLOOKUP(A132,'OI(Value)'!A132:O356,9,0)</f>
        <v>-239</v>
      </c>
      <c r="R132" s="179">
        <f>VLOOKUP(A132,'OI(Value)'!A132:O356,11,0)</f>
        <v>51</v>
      </c>
      <c r="S132" s="179">
        <f>VLOOKUP(A132,'OI(Value)'!A132:O356,11,0)</f>
        <v>51</v>
      </c>
    </row>
    <row r="133" spans="1:19" x14ac:dyDescent="0.25">
      <c r="A133" s="105" t="str">
        <f>'Data Vlaue (Cr)'!C128</f>
        <v>MARICO</v>
      </c>
      <c r="B133" s="143">
        <f>VLOOKUP($A133,'Data shares'!$C:$FA,118)</f>
        <v>0.89</v>
      </c>
      <c r="C133" s="143">
        <f>VLOOKUP($A133,'Data shares'!$C:$FA,119)</f>
        <v>0.69</v>
      </c>
      <c r="D133" s="143">
        <f>VLOOKUP($A133,'Data shares'!$C:$FA,121)*100</f>
        <v>28.99</v>
      </c>
      <c r="E133" s="143">
        <f>VLOOKUP($A133,'Data shares'!$C:$FA,124)</f>
        <v>0.74</v>
      </c>
      <c r="F133" s="143">
        <f>VLOOKUP($A133,'Data shares'!$C:$FA,125)</f>
        <v>0.87</v>
      </c>
      <c r="G133" s="143">
        <f>VLOOKUP($A133,'Data shares'!$C:$FA,127)*100</f>
        <v>-14.940000000000001</v>
      </c>
      <c r="H133" s="103">
        <f>VLOOKUP($A133,'OI(Volume)'!$A$7:$O$445,8)</f>
        <v>746400</v>
      </c>
      <c r="I133" s="103">
        <f>VLOOKUP($A133,'OI(Volume)'!$A$7:$O$445,9)</f>
        <v>-4878000</v>
      </c>
      <c r="J133" s="103">
        <f>VLOOKUP($A133,'OI(Volume)'!$A$7:$O$445,11)</f>
        <v>663600</v>
      </c>
      <c r="K133" s="103">
        <f>VLOOKUP($A133,'OI(Volume)'!$A$7:$O$445,12)</f>
        <v>-3220800</v>
      </c>
      <c r="L133" s="103">
        <f>VLOOKUP($A133,'OI(Value)'!$A$7:$O$329,8,0)</f>
        <v>62</v>
      </c>
      <c r="M133" s="103">
        <f>VLOOKUP($A133,'OI(Value)'!$A$7:$O$329,9,0)</f>
        <v>-407</v>
      </c>
      <c r="N133" s="103">
        <f>VLOOKUP($A133,'OI(Value)'!$A$7:$O$329,11,0)</f>
        <v>55</v>
      </c>
      <c r="O133" s="103">
        <f>VLOOKUP($A133,'OI(Value)'!$A$7:$O$329,12,0)</f>
        <v>-269</v>
      </c>
      <c r="P133" s="179">
        <f>VLOOKUP(A133,'OI(Value)'!A133:O357,8,0)</f>
        <v>62</v>
      </c>
      <c r="Q133" s="179">
        <f>VLOOKUP(A133,'OI(Value)'!A133:O357,9,0)</f>
        <v>-407</v>
      </c>
      <c r="R133" s="179">
        <f>VLOOKUP(A133,'OI(Value)'!A133:O357,11,0)</f>
        <v>55</v>
      </c>
      <c r="S133" s="179">
        <f>VLOOKUP(A133,'OI(Value)'!A133:O357,11,0)</f>
        <v>55</v>
      </c>
    </row>
    <row r="134" spans="1:19" x14ac:dyDescent="0.25">
      <c r="A134" s="105" t="str">
        <f>'Data Vlaue (Cr)'!C129</f>
        <v>MARUTI</v>
      </c>
      <c r="B134" s="143">
        <f>VLOOKUP($A134,'Data shares'!$C:$FA,118)</f>
        <v>0.72</v>
      </c>
      <c r="C134" s="143">
        <f>VLOOKUP($A134,'Data shares'!$C:$FA,119)</f>
        <v>0.43</v>
      </c>
      <c r="D134" s="143">
        <f>VLOOKUP($A134,'Data shares'!$C:$FA,121)*100</f>
        <v>67.44</v>
      </c>
      <c r="E134" s="143">
        <f>VLOOKUP($A134,'Data shares'!$C:$FA,124)</f>
        <v>0.45</v>
      </c>
      <c r="F134" s="143">
        <f>VLOOKUP($A134,'Data shares'!$C:$FA,125)</f>
        <v>0.48</v>
      </c>
      <c r="G134" s="143">
        <f>VLOOKUP($A134,'Data shares'!$C:$FA,127)*100</f>
        <v>-6.25</v>
      </c>
      <c r="H134" s="103">
        <f>VLOOKUP($A134,'OI(Volume)'!$A$7:$O$445,8)</f>
        <v>539500</v>
      </c>
      <c r="I134" s="103">
        <f>VLOOKUP($A134,'OI(Volume)'!$A$7:$O$445,9)</f>
        <v>-1960300</v>
      </c>
      <c r="J134" s="103">
        <f>VLOOKUP($A134,'OI(Volume)'!$A$7:$O$445,11)</f>
        <v>387400</v>
      </c>
      <c r="K134" s="103">
        <f>VLOOKUP($A134,'OI(Volume)'!$A$7:$O$445,12)</f>
        <v>-676700</v>
      </c>
      <c r="L134" s="103">
        <f>VLOOKUP($A134,'OI(Value)'!$A$7:$O$329,8,0)</f>
        <v>716</v>
      </c>
      <c r="M134" s="103">
        <f>VLOOKUP($A134,'OI(Value)'!$A$7:$O$329,9,0)</f>
        <v>-2603</v>
      </c>
      <c r="N134" s="103">
        <f>VLOOKUP($A134,'OI(Value)'!$A$7:$O$329,11,0)</f>
        <v>514</v>
      </c>
      <c r="O134" s="103">
        <f>VLOOKUP($A134,'OI(Value)'!$A$7:$O$329,12,0)</f>
        <v>-899</v>
      </c>
      <c r="P134" s="179">
        <f>VLOOKUP(A134,'OI(Value)'!A134:O358,8,0)</f>
        <v>716</v>
      </c>
      <c r="Q134" s="179">
        <f>VLOOKUP(A134,'OI(Value)'!A134:O358,9,0)</f>
        <v>-2603</v>
      </c>
      <c r="R134" s="179">
        <f>VLOOKUP(A134,'OI(Value)'!A134:O358,11,0)</f>
        <v>514</v>
      </c>
      <c r="S134" s="179">
        <f>VLOOKUP(A134,'OI(Value)'!A134:O358,11,0)</f>
        <v>514</v>
      </c>
    </row>
    <row r="135" spans="1:19" x14ac:dyDescent="0.25">
      <c r="A135" s="105" t="str">
        <f>'Data Vlaue (Cr)'!C130</f>
        <v>MAXHEALTH</v>
      </c>
      <c r="B135" s="143">
        <f>VLOOKUP($A135,'Data shares'!$C:$FA,118)</f>
        <v>0.42</v>
      </c>
      <c r="C135" s="143">
        <f>VLOOKUP($A135,'Data shares'!$C:$FA,119)</f>
        <v>0.46</v>
      </c>
      <c r="D135" s="143">
        <f>VLOOKUP($A135,'Data shares'!$C:$FA,121)*100</f>
        <v>-8.6999999999999993</v>
      </c>
      <c r="E135" s="143">
        <f>VLOOKUP($A135,'Data shares'!$C:$FA,124)</f>
        <v>0.55000000000000004</v>
      </c>
      <c r="F135" s="143">
        <f>VLOOKUP($A135,'Data shares'!$C:$FA,125)</f>
        <v>0.62</v>
      </c>
      <c r="G135" s="143">
        <f>VLOOKUP($A135,'Data shares'!$C:$FA,127)*100</f>
        <v>-11.29</v>
      </c>
      <c r="H135" s="103">
        <f>VLOOKUP($A135,'OI(Volume)'!$A$7:$O$445,8)</f>
        <v>4542300</v>
      </c>
      <c r="I135" s="103">
        <f>VLOOKUP($A135,'OI(Volume)'!$A$7:$O$445,9)</f>
        <v>-3390450</v>
      </c>
      <c r="J135" s="103">
        <f>VLOOKUP($A135,'OI(Volume)'!$A$7:$O$445,11)</f>
        <v>1927800</v>
      </c>
      <c r="K135" s="103">
        <f>VLOOKUP($A135,'OI(Volume)'!$A$7:$O$445,12)</f>
        <v>-1747725</v>
      </c>
      <c r="L135" s="103">
        <f>VLOOKUP($A135,'OI(Value)'!$A$7:$O$329,8,0)</f>
        <v>454</v>
      </c>
      <c r="M135" s="103">
        <f>VLOOKUP($A135,'OI(Value)'!$A$7:$O$329,9,0)</f>
        <v>-339</v>
      </c>
      <c r="N135" s="103">
        <f>VLOOKUP($A135,'OI(Value)'!$A$7:$O$329,11,0)</f>
        <v>193</v>
      </c>
      <c r="O135" s="103">
        <f>VLOOKUP($A135,'OI(Value)'!$A$7:$O$329,12,0)</f>
        <v>-175</v>
      </c>
      <c r="P135" s="179">
        <f>VLOOKUP(A135,'OI(Value)'!A135:O359,8,0)</f>
        <v>454</v>
      </c>
      <c r="Q135" s="179">
        <f>VLOOKUP(A135,'OI(Value)'!A135:O359,9,0)</f>
        <v>-339</v>
      </c>
      <c r="R135" s="179">
        <f>VLOOKUP(A135,'OI(Value)'!A135:O359,11,0)</f>
        <v>193</v>
      </c>
      <c r="S135" s="179">
        <f>VLOOKUP(A135,'OI(Value)'!A135:O359,11,0)</f>
        <v>193</v>
      </c>
    </row>
    <row r="136" spans="1:19" x14ac:dyDescent="0.25">
      <c r="A136" s="105" t="str">
        <f>'Data Vlaue (Cr)'!C131</f>
        <v>MAZDOCK</v>
      </c>
      <c r="B136" s="143">
        <f>VLOOKUP($A136,'Data shares'!$C:$FA,118)</f>
        <v>0.76</v>
      </c>
      <c r="C136" s="143">
        <f>VLOOKUP($A136,'Data shares'!$C:$FA,119)</f>
        <v>0.46</v>
      </c>
      <c r="D136" s="143">
        <f>VLOOKUP($A136,'Data shares'!$C:$FA,121)*100</f>
        <v>65.22</v>
      </c>
      <c r="E136" s="143">
        <f>VLOOKUP($A136,'Data shares'!$C:$FA,124)</f>
        <v>0.5</v>
      </c>
      <c r="F136" s="143">
        <f>VLOOKUP($A136,'Data shares'!$C:$FA,125)</f>
        <v>0.33</v>
      </c>
      <c r="G136" s="143">
        <f>VLOOKUP($A136,'Data shares'!$C:$FA,127)*100</f>
        <v>51.519999999999996</v>
      </c>
      <c r="H136" s="103">
        <f>VLOOKUP($A136,'OI(Volume)'!$A$7:$O$445,8)</f>
        <v>877800</v>
      </c>
      <c r="I136" s="103">
        <f>VLOOKUP($A136,'OI(Volume)'!$A$7:$O$445,9)</f>
        <v>-3742800</v>
      </c>
      <c r="J136" s="103">
        <f>VLOOKUP($A136,'OI(Volume)'!$A$7:$O$445,11)</f>
        <v>667400</v>
      </c>
      <c r="K136" s="103">
        <f>VLOOKUP($A136,'OI(Volume)'!$A$7:$O$445,12)</f>
        <v>-1440600</v>
      </c>
      <c r="L136" s="103">
        <f>VLOOKUP($A136,'OI(Value)'!$A$7:$O$329,8,0)</f>
        <v>217</v>
      </c>
      <c r="M136" s="103">
        <f>VLOOKUP($A136,'OI(Value)'!$A$7:$O$329,9,0)</f>
        <v>-926</v>
      </c>
      <c r="N136" s="103">
        <f>VLOOKUP($A136,'OI(Value)'!$A$7:$O$329,11,0)</f>
        <v>165</v>
      </c>
      <c r="O136" s="103">
        <f>VLOOKUP($A136,'OI(Value)'!$A$7:$O$329,12,0)</f>
        <v>-356</v>
      </c>
      <c r="P136" s="179">
        <f>VLOOKUP(A136,'OI(Value)'!A136:O360,8,0)</f>
        <v>217</v>
      </c>
      <c r="Q136" s="179">
        <f>VLOOKUP(A136,'OI(Value)'!A136:O360,9,0)</f>
        <v>-926</v>
      </c>
      <c r="R136" s="179">
        <f>VLOOKUP(A136,'OI(Value)'!A136:O360,11,0)</f>
        <v>165</v>
      </c>
      <c r="S136" s="179">
        <f>VLOOKUP(A136,'OI(Value)'!A136:O360,11,0)</f>
        <v>165</v>
      </c>
    </row>
    <row r="137" spans="1:19" x14ac:dyDescent="0.25">
      <c r="A137" s="105" t="str">
        <f>'Data Vlaue (Cr)'!C132</f>
        <v>MCX</v>
      </c>
      <c r="B137" s="143">
        <f>VLOOKUP($A137,'Data shares'!$C:$FA,118)</f>
        <v>0.67</v>
      </c>
      <c r="C137" s="143">
        <f>VLOOKUP($A137,'Data shares'!$C:$FA,119)</f>
        <v>0.74</v>
      </c>
      <c r="D137" s="143">
        <f>VLOOKUP($A137,'Data shares'!$C:$FA,121)*100</f>
        <v>-9.4600000000000009</v>
      </c>
      <c r="E137" s="143">
        <f>VLOOKUP($A137,'Data shares'!$C:$FA,124)</f>
        <v>0.51</v>
      </c>
      <c r="F137" s="143">
        <f>VLOOKUP($A137,'Data shares'!$C:$FA,125)</f>
        <v>0.45</v>
      </c>
      <c r="G137" s="143">
        <f>VLOOKUP($A137,'Data shares'!$C:$FA,127)*100</f>
        <v>13.33</v>
      </c>
      <c r="H137" s="103">
        <f>VLOOKUP($A137,'OI(Volume)'!$A$7:$O$445,8)</f>
        <v>4039425</v>
      </c>
      <c r="I137" s="103">
        <f>VLOOKUP($A137,'OI(Volume)'!$A$7:$O$445,9)</f>
        <v>-3945625</v>
      </c>
      <c r="J137" s="103">
        <f>VLOOKUP($A137,'OI(Volume)'!$A$7:$O$445,11)</f>
        <v>2691050</v>
      </c>
      <c r="K137" s="103">
        <f>VLOOKUP($A137,'OI(Volume)'!$A$7:$O$445,12)</f>
        <v>-3190000</v>
      </c>
      <c r="L137" s="103">
        <f>VLOOKUP($A137,'OI(Value)'!$A$7:$O$329,8,0)</f>
        <v>1342</v>
      </c>
      <c r="M137" s="103">
        <f>VLOOKUP($A137,'OI(Value)'!$A$7:$O$329,9,0)</f>
        <v>-1311</v>
      </c>
      <c r="N137" s="103">
        <f>VLOOKUP($A137,'OI(Value)'!$A$7:$O$329,11,0)</f>
        <v>894</v>
      </c>
      <c r="O137" s="103">
        <f>VLOOKUP($A137,'OI(Value)'!$A$7:$O$329,12,0)</f>
        <v>-1060</v>
      </c>
      <c r="P137" s="179">
        <f>VLOOKUP(A137,'OI(Value)'!A137:O361,8,0)</f>
        <v>1342</v>
      </c>
      <c r="Q137" s="179">
        <f>VLOOKUP(A137,'OI(Value)'!A137:O361,9,0)</f>
        <v>-1311</v>
      </c>
      <c r="R137" s="179">
        <f>VLOOKUP(A137,'OI(Value)'!A137:O361,11,0)</f>
        <v>894</v>
      </c>
      <c r="S137" s="179">
        <f>VLOOKUP(A137,'OI(Value)'!A137:O361,11,0)</f>
        <v>894</v>
      </c>
    </row>
    <row r="138" spans="1:19" x14ac:dyDescent="0.25">
      <c r="A138" s="105" t="str">
        <f>'Data Vlaue (Cr)'!C133</f>
        <v>MFSL</v>
      </c>
      <c r="B138" s="143">
        <f>VLOOKUP($A138,'Data shares'!$C:$FA,118)</f>
        <v>0.74</v>
      </c>
      <c r="C138" s="143">
        <f>VLOOKUP($A138,'Data shares'!$C:$FA,119)</f>
        <v>0.65</v>
      </c>
      <c r="D138" s="143">
        <f>VLOOKUP($A138,'Data shares'!$C:$FA,121)*100</f>
        <v>13.850000000000001</v>
      </c>
      <c r="E138" s="143">
        <f>VLOOKUP($A138,'Data shares'!$C:$FA,124)</f>
        <v>0.33</v>
      </c>
      <c r="F138" s="143">
        <f>VLOOKUP($A138,'Data shares'!$C:$FA,125)</f>
        <v>0.31</v>
      </c>
      <c r="G138" s="143">
        <f>VLOOKUP($A138,'Data shares'!$C:$FA,127)*100</f>
        <v>6.45</v>
      </c>
      <c r="H138" s="103">
        <f>VLOOKUP($A138,'OI(Volume)'!$A$7:$O$445,8)</f>
        <v>421200</v>
      </c>
      <c r="I138" s="103">
        <f>VLOOKUP($A138,'OI(Volume)'!$A$7:$O$445,9)</f>
        <v>-918000</v>
      </c>
      <c r="J138" s="103">
        <f>VLOOKUP($A138,'OI(Volume)'!$A$7:$O$445,11)</f>
        <v>313200</v>
      </c>
      <c r="K138" s="103">
        <f>VLOOKUP($A138,'OI(Volume)'!$A$7:$O$445,12)</f>
        <v>-560000</v>
      </c>
      <c r="L138" s="103">
        <f>VLOOKUP($A138,'OI(Value)'!$A$7:$O$329,8,0)</f>
        <v>73</v>
      </c>
      <c r="M138" s="103">
        <f>VLOOKUP($A138,'OI(Value)'!$A$7:$O$329,9,0)</f>
        <v>-160</v>
      </c>
      <c r="N138" s="103">
        <f>VLOOKUP($A138,'OI(Value)'!$A$7:$O$329,11,0)</f>
        <v>54</v>
      </c>
      <c r="O138" s="103">
        <f>VLOOKUP($A138,'OI(Value)'!$A$7:$O$329,12,0)</f>
        <v>-97</v>
      </c>
      <c r="P138" s="179">
        <f>VLOOKUP(A138,'OI(Value)'!A138:O362,8,0)</f>
        <v>73</v>
      </c>
      <c r="Q138" s="179">
        <f>VLOOKUP(A138,'OI(Value)'!A138:O362,9,0)</f>
        <v>-160</v>
      </c>
      <c r="R138" s="179">
        <f>VLOOKUP(A138,'OI(Value)'!A138:O362,11,0)</f>
        <v>54</v>
      </c>
      <c r="S138" s="179">
        <f>VLOOKUP(A138,'OI(Value)'!A138:O362,11,0)</f>
        <v>54</v>
      </c>
    </row>
    <row r="139" spans="1:19" x14ac:dyDescent="0.25">
      <c r="A139" s="105" t="str">
        <f>'Data Vlaue (Cr)'!C134</f>
        <v>MIDCPNIFTY</v>
      </c>
      <c r="B139" s="143">
        <f>VLOOKUP($A139,'Data shares'!$C:$FA,118)</f>
        <v>1.1200000000000001</v>
      </c>
      <c r="C139" s="143">
        <f>VLOOKUP($A139,'Data shares'!$C:$FA,119)</f>
        <v>1.24</v>
      </c>
      <c r="D139" s="143">
        <f>VLOOKUP($A139,'Data shares'!$C:$FA,121)*100</f>
        <v>-9.68</v>
      </c>
      <c r="E139" s="143">
        <f>VLOOKUP($A139,'Data shares'!$C:$FA,124)</f>
        <v>0.86</v>
      </c>
      <c r="F139" s="143">
        <f>VLOOKUP($A139,'Data shares'!$C:$FA,125)</f>
        <v>1.07</v>
      </c>
      <c r="G139" s="143">
        <f>VLOOKUP($A139,'Data shares'!$C:$FA,127)*100</f>
        <v>-19.63</v>
      </c>
      <c r="H139" s="103">
        <f>VLOOKUP($A139,'OI(Volume)'!$A$7:$O$445,8)</f>
        <v>1596240</v>
      </c>
      <c r="I139" s="103">
        <f>VLOOKUP($A139,'OI(Volume)'!$A$7:$O$445,9)</f>
        <v>-6229440</v>
      </c>
      <c r="J139" s="103">
        <f>VLOOKUP($A139,'OI(Volume)'!$A$7:$O$445,11)</f>
        <v>1789320</v>
      </c>
      <c r="K139" s="103">
        <f>VLOOKUP($A139,'OI(Volume)'!$A$7:$O$445,12)</f>
        <v>-7902600</v>
      </c>
      <c r="L139" s="103">
        <f>VLOOKUP($A139,'OI(Value)'!$A$7:$O$329,8,0)</f>
        <v>2359</v>
      </c>
      <c r="M139" s="103">
        <f>VLOOKUP($A139,'OI(Value)'!$A$7:$O$329,9,0)</f>
        <v>-9205</v>
      </c>
      <c r="N139" s="103">
        <f>VLOOKUP($A139,'OI(Value)'!$A$7:$O$329,11,0)</f>
        <v>2644</v>
      </c>
      <c r="O139" s="103">
        <f>VLOOKUP($A139,'OI(Value)'!$A$7:$O$329,12,0)</f>
        <v>-11678</v>
      </c>
      <c r="P139" s="179">
        <f>VLOOKUP(A139,'OI(Value)'!A139:O363,8,0)</f>
        <v>2359</v>
      </c>
      <c r="Q139" s="179">
        <f>VLOOKUP(A139,'OI(Value)'!A139:O363,9,0)</f>
        <v>-9205</v>
      </c>
      <c r="R139" s="179">
        <f>VLOOKUP(A139,'OI(Value)'!A139:O363,11,0)</f>
        <v>2644</v>
      </c>
      <c r="S139" s="179">
        <f>VLOOKUP(A139,'OI(Value)'!A139:O363,11,0)</f>
        <v>2644</v>
      </c>
    </row>
    <row r="140" spans="1:19" x14ac:dyDescent="0.25">
      <c r="A140" s="105" t="str">
        <f>'Data Vlaue (Cr)'!C135</f>
        <v>MOTHERSON</v>
      </c>
      <c r="B140" s="143">
        <f>VLOOKUP($A140,'Data shares'!$C:$FA,118)</f>
        <v>0.68</v>
      </c>
      <c r="C140" s="143">
        <f>VLOOKUP($A140,'Data shares'!$C:$FA,119)</f>
        <v>0.83</v>
      </c>
      <c r="D140" s="143">
        <f>VLOOKUP($A140,'Data shares'!$C:$FA,121)*100</f>
        <v>-18.07</v>
      </c>
      <c r="E140" s="143">
        <f>VLOOKUP($A140,'Data shares'!$C:$FA,124)</f>
        <v>0.54</v>
      </c>
      <c r="F140" s="143">
        <f>VLOOKUP($A140,'Data shares'!$C:$FA,125)</f>
        <v>0.56000000000000005</v>
      </c>
      <c r="G140" s="143">
        <f>VLOOKUP($A140,'Data shares'!$C:$FA,127)*100</f>
        <v>-3.5700000000000003</v>
      </c>
      <c r="H140" s="103">
        <f>VLOOKUP($A140,'OI(Volume)'!$A$7:$O$445,8)</f>
        <v>22964100</v>
      </c>
      <c r="I140" s="103">
        <f>VLOOKUP($A140,'OI(Volume)'!$A$7:$O$445,9)</f>
        <v>-28769700</v>
      </c>
      <c r="J140" s="103">
        <f>VLOOKUP($A140,'OI(Volume)'!$A$7:$O$445,11)</f>
        <v>15719400</v>
      </c>
      <c r="K140" s="103">
        <f>VLOOKUP($A140,'OI(Volume)'!$A$7:$O$445,12)</f>
        <v>-27287550</v>
      </c>
      <c r="L140" s="103">
        <f>VLOOKUP($A140,'OI(Value)'!$A$7:$O$329,8,0)</f>
        <v>314</v>
      </c>
      <c r="M140" s="103">
        <f>VLOOKUP($A140,'OI(Value)'!$A$7:$O$329,9,0)</f>
        <v>-393</v>
      </c>
      <c r="N140" s="103">
        <f>VLOOKUP($A140,'OI(Value)'!$A$7:$O$329,11,0)</f>
        <v>215</v>
      </c>
      <c r="O140" s="103">
        <f>VLOOKUP($A140,'OI(Value)'!$A$7:$O$329,12,0)</f>
        <v>-373</v>
      </c>
      <c r="P140" s="179">
        <f>VLOOKUP(A140,'OI(Value)'!A140:O364,8,0)</f>
        <v>314</v>
      </c>
      <c r="Q140" s="179">
        <f>VLOOKUP(A140,'OI(Value)'!A140:O364,9,0)</f>
        <v>-393</v>
      </c>
      <c r="R140" s="179">
        <f>VLOOKUP(A140,'OI(Value)'!A140:O364,11,0)</f>
        <v>215</v>
      </c>
      <c r="S140" s="179">
        <f>VLOOKUP(A140,'OI(Value)'!A140:O364,11,0)</f>
        <v>215</v>
      </c>
    </row>
    <row r="141" spans="1:19" x14ac:dyDescent="0.25">
      <c r="A141" s="105" t="str">
        <f>'Data Vlaue (Cr)'!C136</f>
        <v>MOTILALOFS</v>
      </c>
      <c r="B141" s="143">
        <f>VLOOKUP($A141,'Data shares'!$C:$FA,118)</f>
        <v>0.49</v>
      </c>
      <c r="C141" s="143">
        <f>VLOOKUP($A141,'Data shares'!$C:$FA,119)</f>
        <v>0.66</v>
      </c>
      <c r="D141" s="143">
        <f>VLOOKUP($A141,'Data shares'!$C:$FA,121)*100</f>
        <v>-25.759999999999998</v>
      </c>
      <c r="E141" s="143">
        <f>VLOOKUP($A141,'Data shares'!$C:$FA,124)</f>
        <v>0.21</v>
      </c>
      <c r="F141" s="143">
        <f>VLOOKUP($A141,'Data shares'!$C:$FA,125)</f>
        <v>0.17</v>
      </c>
      <c r="G141" s="143">
        <f>VLOOKUP($A141,'Data shares'!$C:$FA,127)*100</f>
        <v>23.53</v>
      </c>
      <c r="H141" s="103">
        <f>VLOOKUP($A141,'OI(Volume)'!$A$7:$O$445,8)</f>
        <v>852500</v>
      </c>
      <c r="I141" s="103">
        <f>VLOOKUP($A141,'OI(Volume)'!$A$7:$O$445,9)</f>
        <v>-1460875</v>
      </c>
      <c r="J141" s="103">
        <f>VLOOKUP($A141,'OI(Volume)'!$A$7:$O$445,11)</f>
        <v>419275</v>
      </c>
      <c r="K141" s="103">
        <f>VLOOKUP($A141,'OI(Volume)'!$A$7:$O$445,12)</f>
        <v>-1097400</v>
      </c>
      <c r="L141" s="103">
        <f>VLOOKUP($A141,'OI(Value)'!$A$7:$O$329,8,0)</f>
        <v>75</v>
      </c>
      <c r="M141" s="103">
        <f>VLOOKUP($A141,'OI(Value)'!$A$7:$O$329,9,0)</f>
        <v>-128</v>
      </c>
      <c r="N141" s="103">
        <f>VLOOKUP($A141,'OI(Value)'!$A$7:$O$329,11,0)</f>
        <v>37</v>
      </c>
      <c r="O141" s="103">
        <f>VLOOKUP($A141,'OI(Value)'!$A$7:$O$329,12,0)</f>
        <v>-96</v>
      </c>
      <c r="P141" s="179">
        <f>VLOOKUP(A141,'OI(Value)'!A141:O365,8,0)</f>
        <v>75</v>
      </c>
      <c r="Q141" s="179">
        <f>VLOOKUP(A141,'OI(Value)'!A141:O365,9,0)</f>
        <v>-128</v>
      </c>
      <c r="R141" s="179">
        <f>VLOOKUP(A141,'OI(Value)'!A141:O365,11,0)</f>
        <v>37</v>
      </c>
      <c r="S141" s="179">
        <f>VLOOKUP(A141,'OI(Value)'!A141:O365,11,0)</f>
        <v>37</v>
      </c>
    </row>
    <row r="142" spans="1:19" x14ac:dyDescent="0.25">
      <c r="A142" s="105" t="str">
        <f>'Data Vlaue (Cr)'!C137</f>
        <v>MPHASIS</v>
      </c>
      <c r="B142" s="143">
        <f>VLOOKUP($A142,'Data shares'!$C:$FA,118)</f>
        <v>0.85</v>
      </c>
      <c r="C142" s="143">
        <f>VLOOKUP($A142,'Data shares'!$C:$FA,119)</f>
        <v>0.84</v>
      </c>
      <c r="D142" s="143">
        <f>VLOOKUP($A142,'Data shares'!$C:$FA,121)*100</f>
        <v>1.1900000000000002</v>
      </c>
      <c r="E142" s="143">
        <f>VLOOKUP($A142,'Data shares'!$C:$FA,124)</f>
        <v>0.63</v>
      </c>
      <c r="F142" s="143">
        <f>VLOOKUP($A142,'Data shares'!$C:$FA,125)</f>
        <v>0.77</v>
      </c>
      <c r="G142" s="143">
        <f>VLOOKUP($A142,'Data shares'!$C:$FA,127)*100</f>
        <v>-18.18</v>
      </c>
      <c r="H142" s="103">
        <f>VLOOKUP($A142,'OI(Volume)'!$A$7:$O$445,8)</f>
        <v>450725</v>
      </c>
      <c r="I142" s="103">
        <f>VLOOKUP($A142,'OI(Volume)'!$A$7:$O$445,9)</f>
        <v>-1176175</v>
      </c>
      <c r="J142" s="103">
        <f>VLOOKUP($A142,'OI(Volume)'!$A$7:$O$445,11)</f>
        <v>380875</v>
      </c>
      <c r="K142" s="103">
        <f>VLOOKUP($A142,'OI(Volume)'!$A$7:$O$445,12)</f>
        <v>-977900</v>
      </c>
      <c r="L142" s="103">
        <f>VLOOKUP($A142,'OI(Value)'!$A$7:$O$329,8,0)</f>
        <v>103</v>
      </c>
      <c r="M142" s="103">
        <f>VLOOKUP($A142,'OI(Value)'!$A$7:$O$329,9,0)</f>
        <v>-269</v>
      </c>
      <c r="N142" s="103">
        <f>VLOOKUP($A142,'OI(Value)'!$A$7:$O$329,11,0)</f>
        <v>87</v>
      </c>
      <c r="O142" s="103">
        <f>VLOOKUP($A142,'OI(Value)'!$A$7:$O$329,12,0)</f>
        <v>-224</v>
      </c>
      <c r="P142" s="179">
        <f>VLOOKUP(A142,'OI(Value)'!A142:O366,8,0)</f>
        <v>103</v>
      </c>
      <c r="Q142" s="179">
        <f>VLOOKUP(A142,'OI(Value)'!A142:O366,9,0)</f>
        <v>-269</v>
      </c>
      <c r="R142" s="179">
        <f>VLOOKUP(A142,'OI(Value)'!A142:O366,11,0)</f>
        <v>87</v>
      </c>
      <c r="S142" s="179">
        <f>VLOOKUP(A142,'OI(Value)'!A142:O366,11,0)</f>
        <v>87</v>
      </c>
    </row>
    <row r="143" spans="1:19" x14ac:dyDescent="0.25">
      <c r="A143" s="105" t="str">
        <f>'Data Vlaue (Cr)'!C138</f>
        <v>MUTHOOTFIN</v>
      </c>
      <c r="B143" s="143">
        <f>VLOOKUP($A143,'Data shares'!$C:$FA,118)</f>
        <v>0.65</v>
      </c>
      <c r="C143" s="143">
        <f>VLOOKUP($A143,'Data shares'!$C:$FA,119)</f>
        <v>0.66</v>
      </c>
      <c r="D143" s="143">
        <f>VLOOKUP($A143,'Data shares'!$C:$FA,121)*100</f>
        <v>-1.52</v>
      </c>
      <c r="E143" s="143">
        <f>VLOOKUP($A143,'Data shares'!$C:$FA,124)</f>
        <v>0.67</v>
      </c>
      <c r="F143" s="143">
        <f>VLOOKUP($A143,'Data shares'!$C:$FA,125)</f>
        <v>0.5</v>
      </c>
      <c r="G143" s="143">
        <f>VLOOKUP($A143,'Data shares'!$C:$FA,127)*100</f>
        <v>34</v>
      </c>
      <c r="H143" s="103">
        <f>VLOOKUP($A143,'OI(Volume)'!$A$7:$O$445,8)</f>
        <v>996875</v>
      </c>
      <c r="I143" s="103">
        <f>VLOOKUP($A143,'OI(Volume)'!$A$7:$O$445,9)</f>
        <v>-1899425</v>
      </c>
      <c r="J143" s="103">
        <f>VLOOKUP($A143,'OI(Volume)'!$A$7:$O$445,11)</f>
        <v>652300</v>
      </c>
      <c r="K143" s="103">
        <f>VLOOKUP($A143,'OI(Volume)'!$A$7:$O$445,12)</f>
        <v>-1265825</v>
      </c>
      <c r="L143" s="103">
        <f>VLOOKUP($A143,'OI(Value)'!$A$7:$O$329,8,0)</f>
        <v>333</v>
      </c>
      <c r="M143" s="103">
        <f>VLOOKUP($A143,'OI(Value)'!$A$7:$O$329,9,0)</f>
        <v>-634</v>
      </c>
      <c r="N143" s="103">
        <f>VLOOKUP($A143,'OI(Value)'!$A$7:$O$329,11,0)</f>
        <v>218</v>
      </c>
      <c r="O143" s="103">
        <f>VLOOKUP($A143,'OI(Value)'!$A$7:$O$329,12,0)</f>
        <v>-422</v>
      </c>
      <c r="P143" s="179">
        <f>VLOOKUP(A143,'OI(Value)'!A143:O367,8,0)</f>
        <v>333</v>
      </c>
      <c r="Q143" s="179">
        <f>VLOOKUP(A143,'OI(Value)'!A143:O367,9,0)</f>
        <v>-634</v>
      </c>
      <c r="R143" s="179">
        <f>VLOOKUP(A143,'OI(Value)'!A143:O367,11,0)</f>
        <v>218</v>
      </c>
      <c r="S143" s="179">
        <f>VLOOKUP(A143,'OI(Value)'!A143:O367,11,0)</f>
        <v>218</v>
      </c>
    </row>
    <row r="144" spans="1:19" x14ac:dyDescent="0.25">
      <c r="A144" s="105" t="str">
        <f>'Data Vlaue (Cr)'!C139</f>
        <v>NAM-INDIA</v>
      </c>
      <c r="B144" s="143">
        <f>VLOOKUP($A144,'Data shares'!$C:$FA,118)</f>
        <v>0.81</v>
      </c>
      <c r="C144" s="143">
        <f>VLOOKUP($A144,'Data shares'!$C:$FA,119)</f>
        <v>0.77</v>
      </c>
      <c r="D144" s="143">
        <f>VLOOKUP($A144,'Data shares'!$C:$FA,121)*100</f>
        <v>5.19</v>
      </c>
      <c r="E144" s="143">
        <f>VLOOKUP($A144,'Data shares'!$C:$FA,124)</f>
        <v>0.76</v>
      </c>
      <c r="F144" s="143">
        <f>VLOOKUP($A144,'Data shares'!$C:$FA,125)</f>
        <v>0.28999999999999998</v>
      </c>
      <c r="G144" s="143">
        <f>VLOOKUP($A144,'Data shares'!$C:$FA,127)*100</f>
        <v>162.07</v>
      </c>
      <c r="H144" s="103">
        <f>VLOOKUP($A144,'OI(Volume)'!$A$7:$O$445,8)</f>
        <v>210625</v>
      </c>
      <c r="I144" s="103">
        <f>VLOOKUP($A144,'OI(Volume)'!$A$7:$O$445,9)</f>
        <v>-1312500</v>
      </c>
      <c r="J144" s="103">
        <f>VLOOKUP($A144,'OI(Volume)'!$A$7:$O$445,11)</f>
        <v>171250</v>
      </c>
      <c r="K144" s="103">
        <f>VLOOKUP($A144,'OI(Volume)'!$A$7:$O$445,12)</f>
        <v>-995625</v>
      </c>
      <c r="L144" s="103">
        <f>VLOOKUP($A144,'OI(Value)'!$A$7:$O$329,8,0)</f>
        <v>23</v>
      </c>
      <c r="M144" s="103">
        <f>VLOOKUP($A144,'OI(Value)'!$A$7:$O$329,9,0)</f>
        <v>-143</v>
      </c>
      <c r="N144" s="103">
        <f>VLOOKUP($A144,'OI(Value)'!$A$7:$O$329,11,0)</f>
        <v>19</v>
      </c>
      <c r="O144" s="103">
        <f>VLOOKUP($A144,'OI(Value)'!$A$7:$O$329,12,0)</f>
        <v>-109</v>
      </c>
      <c r="P144" s="179">
        <f>VLOOKUP(A144,'OI(Value)'!A144:O368,8,0)</f>
        <v>23</v>
      </c>
      <c r="Q144" s="179">
        <f>VLOOKUP(A144,'OI(Value)'!A144:O368,9,0)</f>
        <v>-143</v>
      </c>
      <c r="R144" s="179">
        <f>VLOOKUP(A144,'OI(Value)'!A144:O368,11,0)</f>
        <v>19</v>
      </c>
      <c r="S144" s="179">
        <f>VLOOKUP(A144,'OI(Value)'!A144:O368,11,0)</f>
        <v>19</v>
      </c>
    </row>
    <row r="145" spans="1:19" x14ac:dyDescent="0.25">
      <c r="A145" s="105" t="str">
        <f>'Data Vlaue (Cr)'!C140</f>
        <v>NATIONALUM</v>
      </c>
      <c r="B145" s="143">
        <f>VLOOKUP($A145,'Data shares'!$C:$FA,118)</f>
        <v>0.7</v>
      </c>
      <c r="C145" s="143">
        <f>VLOOKUP($A145,'Data shares'!$C:$FA,119)</f>
        <v>0.56999999999999995</v>
      </c>
      <c r="D145" s="143">
        <f>VLOOKUP($A145,'Data shares'!$C:$FA,121)*100</f>
        <v>22.81</v>
      </c>
      <c r="E145" s="143">
        <f>VLOOKUP($A145,'Data shares'!$C:$FA,124)</f>
        <v>0.46</v>
      </c>
      <c r="F145" s="143">
        <f>VLOOKUP($A145,'Data shares'!$C:$FA,125)</f>
        <v>0.49</v>
      </c>
      <c r="G145" s="143">
        <f>VLOOKUP($A145,'Data shares'!$C:$FA,127)*100</f>
        <v>-6.12</v>
      </c>
      <c r="H145" s="103">
        <f>VLOOKUP($A145,'OI(Volume)'!$A$7:$O$445,8)</f>
        <v>10190625</v>
      </c>
      <c r="I145" s="103">
        <f>VLOOKUP($A145,'OI(Volume)'!$A$7:$O$445,9)</f>
        <v>-17548125</v>
      </c>
      <c r="J145" s="103">
        <f>VLOOKUP($A145,'OI(Volume)'!$A$7:$O$445,11)</f>
        <v>7136250</v>
      </c>
      <c r="K145" s="103">
        <f>VLOOKUP($A145,'OI(Volume)'!$A$7:$O$445,12)</f>
        <v>-8716875</v>
      </c>
      <c r="L145" s="103">
        <f>VLOOKUP($A145,'OI(Value)'!$A$7:$O$329,8,0)</f>
        <v>426</v>
      </c>
      <c r="M145" s="103">
        <f>VLOOKUP($A145,'OI(Value)'!$A$7:$O$329,9,0)</f>
        <v>-734</v>
      </c>
      <c r="N145" s="103">
        <f>VLOOKUP($A145,'OI(Value)'!$A$7:$O$329,11,0)</f>
        <v>299</v>
      </c>
      <c r="O145" s="103">
        <f>VLOOKUP($A145,'OI(Value)'!$A$7:$O$329,12,0)</f>
        <v>-365</v>
      </c>
      <c r="P145" s="179">
        <f>VLOOKUP(A145,'OI(Value)'!A145:O369,8,0)</f>
        <v>426</v>
      </c>
      <c r="Q145" s="179">
        <f>VLOOKUP(A145,'OI(Value)'!A145:O369,9,0)</f>
        <v>-734</v>
      </c>
      <c r="R145" s="179">
        <f>VLOOKUP(A145,'OI(Value)'!A145:O369,11,0)</f>
        <v>299</v>
      </c>
      <c r="S145" s="179">
        <f>VLOOKUP(A145,'OI(Value)'!A145:O369,11,0)</f>
        <v>299</v>
      </c>
    </row>
    <row r="146" spans="1:19" x14ac:dyDescent="0.25">
      <c r="A146" s="105" t="str">
        <f>'Data Vlaue (Cr)'!C141</f>
        <v>NAUKRI</v>
      </c>
      <c r="B146" s="143">
        <f>VLOOKUP($A146,'Data shares'!$C:$FA,118)</f>
        <v>0.76</v>
      </c>
      <c r="C146" s="143">
        <f>VLOOKUP($A146,'Data shares'!$C:$FA,119)</f>
        <v>0.61</v>
      </c>
      <c r="D146" s="143">
        <f>VLOOKUP($A146,'Data shares'!$C:$FA,121)*100</f>
        <v>24.59</v>
      </c>
      <c r="E146" s="143">
        <f>VLOOKUP($A146,'Data shares'!$C:$FA,124)</f>
        <v>0.34</v>
      </c>
      <c r="F146" s="143">
        <f>VLOOKUP($A146,'Data shares'!$C:$FA,125)</f>
        <v>0.59</v>
      </c>
      <c r="G146" s="143">
        <f>VLOOKUP($A146,'Data shares'!$C:$FA,127)*100</f>
        <v>-42.370000000000005</v>
      </c>
      <c r="H146" s="103">
        <f>VLOOKUP($A146,'OI(Volume)'!$A$7:$O$445,8)</f>
        <v>2557100</v>
      </c>
      <c r="I146" s="103">
        <f>VLOOKUP($A146,'OI(Volume)'!$A$7:$O$445,9)</f>
        <v>-3153375</v>
      </c>
      <c r="J146" s="103">
        <f>VLOOKUP($A146,'OI(Volume)'!$A$7:$O$445,11)</f>
        <v>1950325</v>
      </c>
      <c r="K146" s="103">
        <f>VLOOKUP($A146,'OI(Volume)'!$A$7:$O$445,12)</f>
        <v>-1544250</v>
      </c>
      <c r="L146" s="103">
        <f>VLOOKUP($A146,'OI(Value)'!$A$7:$O$329,8,0)</f>
        <v>253</v>
      </c>
      <c r="M146" s="103">
        <f>VLOOKUP($A146,'OI(Value)'!$A$7:$O$329,9,0)</f>
        <v>-312</v>
      </c>
      <c r="N146" s="103">
        <f>VLOOKUP($A146,'OI(Value)'!$A$7:$O$329,11,0)</f>
        <v>193</v>
      </c>
      <c r="O146" s="103">
        <f>VLOOKUP($A146,'OI(Value)'!$A$7:$O$329,12,0)</f>
        <v>-153</v>
      </c>
      <c r="P146" s="179">
        <f>VLOOKUP(A146,'OI(Value)'!A146:O370,8,0)</f>
        <v>253</v>
      </c>
      <c r="Q146" s="179">
        <f>VLOOKUP(A146,'OI(Value)'!A146:O370,9,0)</f>
        <v>-312</v>
      </c>
      <c r="R146" s="179">
        <f>VLOOKUP(A146,'OI(Value)'!A146:O370,11,0)</f>
        <v>193</v>
      </c>
      <c r="S146" s="179">
        <f>VLOOKUP(A146,'OI(Value)'!A146:O370,11,0)</f>
        <v>193</v>
      </c>
    </row>
    <row r="147" spans="1:19" x14ac:dyDescent="0.25">
      <c r="A147" s="105" t="str">
        <f>'Data Vlaue (Cr)'!C142</f>
        <v>NBCC</v>
      </c>
      <c r="B147" s="143">
        <f>VLOOKUP($A147,'Data shares'!$C:$FA,118)</f>
        <v>0.61</v>
      </c>
      <c r="C147" s="143">
        <f>VLOOKUP($A147,'Data shares'!$C:$FA,119)</f>
        <v>0.69</v>
      </c>
      <c r="D147" s="143">
        <f>VLOOKUP($A147,'Data shares'!$C:$FA,121)*100</f>
        <v>-11.59</v>
      </c>
      <c r="E147" s="143">
        <f>VLOOKUP($A147,'Data shares'!$C:$FA,124)</f>
        <v>0.48</v>
      </c>
      <c r="F147" s="143">
        <f>VLOOKUP($A147,'Data shares'!$C:$FA,125)</f>
        <v>0.48</v>
      </c>
      <c r="G147" s="143">
        <f>VLOOKUP($A147,'Data shares'!$C:$FA,127)*100</f>
        <v>0</v>
      </c>
      <c r="H147" s="103">
        <f>VLOOKUP($A147,'OI(Volume)'!$A$7:$O$445,8)</f>
        <v>17920500</v>
      </c>
      <c r="I147" s="103">
        <f>VLOOKUP($A147,'OI(Volume)'!$A$7:$O$445,9)</f>
        <v>-6727500</v>
      </c>
      <c r="J147" s="103">
        <f>VLOOKUP($A147,'OI(Volume)'!$A$7:$O$445,11)</f>
        <v>11004500</v>
      </c>
      <c r="K147" s="103">
        <f>VLOOKUP($A147,'OI(Volume)'!$A$7:$O$445,12)</f>
        <v>-6051500</v>
      </c>
      <c r="L147" s="103">
        <f>VLOOKUP($A147,'OI(Value)'!$A$7:$O$329,8,0)</f>
        <v>173</v>
      </c>
      <c r="M147" s="103">
        <f>VLOOKUP($A147,'OI(Value)'!$A$7:$O$329,9,0)</f>
        <v>-65</v>
      </c>
      <c r="N147" s="103">
        <f>VLOOKUP($A147,'OI(Value)'!$A$7:$O$329,11,0)</f>
        <v>106</v>
      </c>
      <c r="O147" s="103">
        <f>VLOOKUP($A147,'OI(Value)'!$A$7:$O$329,12,0)</f>
        <v>-58</v>
      </c>
      <c r="P147" s="179">
        <f>VLOOKUP(A147,'OI(Value)'!A147:O371,8,0)</f>
        <v>173</v>
      </c>
      <c r="Q147" s="179">
        <f>VLOOKUP(A147,'OI(Value)'!A147:O371,9,0)</f>
        <v>-65</v>
      </c>
      <c r="R147" s="179">
        <f>VLOOKUP(A147,'OI(Value)'!A147:O371,11,0)</f>
        <v>106</v>
      </c>
      <c r="S147" s="179">
        <f>VLOOKUP(A147,'OI(Value)'!A147:O371,11,0)</f>
        <v>106</v>
      </c>
    </row>
    <row r="148" spans="1:19" x14ac:dyDescent="0.25">
      <c r="A148" s="105" t="str">
        <f>'Data Vlaue (Cr)'!C143</f>
        <v>NESTLEIND</v>
      </c>
      <c r="B148" s="143">
        <f>VLOOKUP($A148,'Data shares'!$C:$FA,118)</f>
        <v>0.9</v>
      </c>
      <c r="C148" s="143">
        <f>VLOOKUP($A148,'Data shares'!$C:$FA,119)</f>
        <v>0.72</v>
      </c>
      <c r="D148" s="143">
        <f>VLOOKUP($A148,'Data shares'!$C:$FA,121)*100</f>
        <v>25</v>
      </c>
      <c r="E148" s="143">
        <f>VLOOKUP($A148,'Data shares'!$C:$FA,124)</f>
        <v>0.64</v>
      </c>
      <c r="F148" s="143">
        <f>VLOOKUP($A148,'Data shares'!$C:$FA,125)</f>
        <v>0.54</v>
      </c>
      <c r="G148" s="143">
        <f>VLOOKUP($A148,'Data shares'!$C:$FA,127)*100</f>
        <v>18.52</v>
      </c>
      <c r="H148" s="103">
        <f>VLOOKUP($A148,'OI(Volume)'!$A$7:$O$445,8)</f>
        <v>839500</v>
      </c>
      <c r="I148" s="103">
        <f>VLOOKUP($A148,'OI(Volume)'!$A$7:$O$445,9)</f>
        <v>-3760000</v>
      </c>
      <c r="J148" s="103">
        <f>VLOOKUP($A148,'OI(Volume)'!$A$7:$O$445,11)</f>
        <v>754000</v>
      </c>
      <c r="K148" s="103">
        <f>VLOOKUP($A148,'OI(Volume)'!$A$7:$O$445,12)</f>
        <v>-2578000</v>
      </c>
      <c r="L148" s="103">
        <f>VLOOKUP($A148,'OI(Value)'!$A$7:$O$329,8,0)</f>
        <v>121</v>
      </c>
      <c r="M148" s="103">
        <f>VLOOKUP($A148,'OI(Value)'!$A$7:$O$329,9,0)</f>
        <v>-540</v>
      </c>
      <c r="N148" s="103">
        <f>VLOOKUP($A148,'OI(Value)'!$A$7:$O$329,11,0)</f>
        <v>108</v>
      </c>
      <c r="O148" s="103">
        <f>VLOOKUP($A148,'OI(Value)'!$A$7:$O$329,12,0)</f>
        <v>-370</v>
      </c>
      <c r="P148" s="179">
        <f>VLOOKUP(A148,'OI(Value)'!A148:O372,8,0)</f>
        <v>121</v>
      </c>
      <c r="Q148" s="179">
        <f>VLOOKUP(A148,'OI(Value)'!A148:O372,9,0)</f>
        <v>-540</v>
      </c>
      <c r="R148" s="179">
        <f>VLOOKUP(A148,'OI(Value)'!A148:O372,11,0)</f>
        <v>108</v>
      </c>
      <c r="S148" s="179">
        <f>VLOOKUP(A148,'OI(Value)'!A148:O372,11,0)</f>
        <v>108</v>
      </c>
    </row>
    <row r="149" spans="1:19" x14ac:dyDescent="0.25">
      <c r="A149" s="105" t="str">
        <f>'Data Vlaue (Cr)'!C144</f>
        <v>NHPC</v>
      </c>
      <c r="B149" s="143">
        <f>VLOOKUP($A149,'Data shares'!$C:$FA,118)</f>
        <v>0.68</v>
      </c>
      <c r="C149" s="143">
        <f>VLOOKUP($A149,'Data shares'!$C:$FA,119)</f>
        <v>0.51</v>
      </c>
      <c r="D149" s="143">
        <f>VLOOKUP($A149,'Data shares'!$C:$FA,121)*100</f>
        <v>33.33</v>
      </c>
      <c r="E149" s="143">
        <f>VLOOKUP($A149,'Data shares'!$C:$FA,124)</f>
        <v>0.55000000000000004</v>
      </c>
      <c r="F149" s="143">
        <f>VLOOKUP($A149,'Data shares'!$C:$FA,125)</f>
        <v>0.32</v>
      </c>
      <c r="G149" s="143">
        <f>VLOOKUP($A149,'Data shares'!$C:$FA,127)*100</f>
        <v>71.88</v>
      </c>
      <c r="H149" s="103">
        <f>VLOOKUP($A149,'OI(Volume)'!$A$7:$O$445,8)</f>
        <v>19155750</v>
      </c>
      <c r="I149" s="103">
        <f>VLOOKUP($A149,'OI(Volume)'!$A$7:$O$445,9)</f>
        <v>-38028800</v>
      </c>
      <c r="J149" s="103">
        <f>VLOOKUP($A149,'OI(Volume)'!$A$7:$O$445,11)</f>
        <v>13088550</v>
      </c>
      <c r="K149" s="103">
        <f>VLOOKUP($A149,'OI(Volume)'!$A$7:$O$445,12)</f>
        <v>-15987200</v>
      </c>
      <c r="L149" s="103">
        <f>VLOOKUP($A149,'OI(Value)'!$A$7:$O$329,8,0)</f>
        <v>150</v>
      </c>
      <c r="M149" s="103">
        <f>VLOOKUP($A149,'OI(Value)'!$A$7:$O$329,9,0)</f>
        <v>-298</v>
      </c>
      <c r="N149" s="103">
        <f>VLOOKUP($A149,'OI(Value)'!$A$7:$O$329,11,0)</f>
        <v>103</v>
      </c>
      <c r="O149" s="103">
        <f>VLOOKUP($A149,'OI(Value)'!$A$7:$O$329,12,0)</f>
        <v>-125</v>
      </c>
      <c r="P149" s="179">
        <f>VLOOKUP(A149,'OI(Value)'!A149:O373,8,0)</f>
        <v>150</v>
      </c>
      <c r="Q149" s="179">
        <f>VLOOKUP(A149,'OI(Value)'!A149:O373,9,0)</f>
        <v>-298</v>
      </c>
      <c r="R149" s="179">
        <f>VLOOKUP(A149,'OI(Value)'!A149:O373,11,0)</f>
        <v>103</v>
      </c>
      <c r="S149" s="179">
        <f>VLOOKUP(A149,'OI(Value)'!A149:O373,11,0)</f>
        <v>103</v>
      </c>
    </row>
    <row r="150" spans="1:19" x14ac:dyDescent="0.25">
      <c r="A150" s="105" t="str">
        <f>'Data Vlaue (Cr)'!C145</f>
        <v>NIFTY</v>
      </c>
      <c r="B150" s="143">
        <f>VLOOKUP($A150,'Data shares'!$C:$FA,118)</f>
        <v>1.07</v>
      </c>
      <c r="C150" s="143">
        <f>VLOOKUP($A150,'Data shares'!$C:$FA,119)</f>
        <v>1.26</v>
      </c>
      <c r="D150" s="143">
        <f>VLOOKUP($A150,'Data shares'!$C:$FA,121)*100</f>
        <v>-15.079999999999998</v>
      </c>
      <c r="E150" s="143">
        <f>VLOOKUP($A150,'Data shares'!$C:$FA,124)</f>
        <v>1.1200000000000001</v>
      </c>
      <c r="F150" s="143">
        <f>VLOOKUP($A150,'Data shares'!$C:$FA,125)</f>
        <v>1</v>
      </c>
      <c r="G150" s="143">
        <f>VLOOKUP($A150,'Data shares'!$C:$FA,127)*100</f>
        <v>12</v>
      </c>
      <c r="H150" s="103">
        <f>VLOOKUP($A150,'OI(Volume)'!$A$7:$O$445,8)</f>
        <v>141896320</v>
      </c>
      <c r="I150" s="103">
        <f>VLOOKUP($A150,'OI(Volume)'!$A$7:$O$445,9)</f>
        <v>-103226945</v>
      </c>
      <c r="J150" s="103">
        <f>VLOOKUP($A150,'OI(Volume)'!$A$7:$O$445,11)</f>
        <v>151948765</v>
      </c>
      <c r="K150" s="103">
        <f>VLOOKUP($A150,'OI(Volume)'!$A$7:$O$445,12)</f>
        <v>-156568590</v>
      </c>
      <c r="L150" s="103">
        <f>VLOOKUP($A150,'OI(Value)'!$A$7:$O$329,8,0)</f>
        <v>340252</v>
      </c>
      <c r="M150" s="103">
        <f>VLOOKUP($A150,'OI(Value)'!$A$7:$O$329,9,0)</f>
        <v>-247527</v>
      </c>
      <c r="N150" s="103">
        <f>VLOOKUP($A150,'OI(Value)'!$A$7:$O$329,11,0)</f>
        <v>364356</v>
      </c>
      <c r="O150" s="103">
        <f>VLOOKUP($A150,'OI(Value)'!$A$7:$O$329,12,0)</f>
        <v>-375434</v>
      </c>
      <c r="P150" s="179">
        <f>VLOOKUP(A150,'OI(Value)'!A150:O374,8,0)</f>
        <v>340252</v>
      </c>
      <c r="Q150" s="179">
        <f>VLOOKUP(A150,'OI(Value)'!A150:O374,9,0)</f>
        <v>-247527</v>
      </c>
      <c r="R150" s="179">
        <f>VLOOKUP(A150,'OI(Value)'!A150:O374,11,0)</f>
        <v>364356</v>
      </c>
      <c r="S150" s="179">
        <f>VLOOKUP(A150,'OI(Value)'!A150:O374,11,0)</f>
        <v>364356</v>
      </c>
    </row>
    <row r="151" spans="1:19" x14ac:dyDescent="0.25">
      <c r="A151" s="105" t="str">
        <f>'Data Vlaue (Cr)'!C146</f>
        <v>NIFTYNXT50</v>
      </c>
      <c r="B151" s="143">
        <f>VLOOKUP($A151,'Data shares'!$C:$FA,118)</f>
        <v>1</v>
      </c>
      <c r="C151" s="143">
        <f>VLOOKUP($A151,'Data shares'!$C:$FA,119)</f>
        <v>0.87</v>
      </c>
      <c r="D151" s="143">
        <f>VLOOKUP($A151,'Data shares'!$C:$FA,121)*100</f>
        <v>14.940000000000001</v>
      </c>
      <c r="E151" s="143">
        <f>VLOOKUP($A151,'Data shares'!$C:$FA,124)</f>
        <v>0.74</v>
      </c>
      <c r="F151" s="143">
        <f>VLOOKUP($A151,'Data shares'!$C:$FA,125)</f>
        <v>0.39</v>
      </c>
      <c r="G151" s="143">
        <f>VLOOKUP($A151,'Data shares'!$C:$FA,127)*100</f>
        <v>89.74</v>
      </c>
      <c r="H151" s="103">
        <f>VLOOKUP($A151,'OI(Volume)'!$A$7:$O$445,8)</f>
        <v>25</v>
      </c>
      <c r="I151" s="103">
        <f>VLOOKUP($A151,'OI(Volume)'!$A$7:$O$445,9)</f>
        <v>-19225</v>
      </c>
      <c r="J151" s="103">
        <f>VLOOKUP($A151,'OI(Volume)'!$A$7:$O$445,11)</f>
        <v>25</v>
      </c>
      <c r="K151" s="103">
        <f>VLOOKUP($A151,'OI(Volume)'!$A$7:$O$445,12)</f>
        <v>-16650</v>
      </c>
      <c r="L151" s="103">
        <f>VLOOKUP($A151,'OI(Value)'!$A$7:$O$329,8,0)</f>
        <v>0</v>
      </c>
      <c r="M151" s="103">
        <f>VLOOKUP($A151,'OI(Value)'!$A$7:$O$329,9,0)</f>
        <v>-137</v>
      </c>
      <c r="N151" s="103">
        <f>VLOOKUP($A151,'OI(Value)'!$A$7:$O$329,11,0)</f>
        <v>0</v>
      </c>
      <c r="O151" s="103">
        <f>VLOOKUP($A151,'OI(Value)'!$A$7:$O$329,12,0)</f>
        <v>-119</v>
      </c>
      <c r="P151" s="179">
        <f>VLOOKUP(A151,'OI(Value)'!A151:O375,8,0)</f>
        <v>0</v>
      </c>
      <c r="Q151" s="179">
        <f>VLOOKUP(A151,'OI(Value)'!A151:O375,9,0)</f>
        <v>-137</v>
      </c>
      <c r="R151" s="179">
        <f>VLOOKUP(A151,'OI(Value)'!A151:O375,11,0)</f>
        <v>0</v>
      </c>
      <c r="S151" s="179">
        <f>VLOOKUP(A151,'OI(Value)'!A151:O375,11,0)</f>
        <v>0</v>
      </c>
    </row>
    <row r="152" spans="1:19" x14ac:dyDescent="0.25">
      <c r="A152" s="105" t="str">
        <f>'Data Vlaue (Cr)'!C147</f>
        <v>NMDC</v>
      </c>
      <c r="B152" s="143">
        <f>VLOOKUP($A152,'Data shares'!$C:$FA,118)</f>
        <v>0.52</v>
      </c>
      <c r="C152" s="143">
        <f>VLOOKUP($A152,'Data shares'!$C:$FA,119)</f>
        <v>0.53</v>
      </c>
      <c r="D152" s="143">
        <f>VLOOKUP($A152,'Data shares'!$C:$FA,121)*100</f>
        <v>-1.8900000000000001</v>
      </c>
      <c r="E152" s="143">
        <f>VLOOKUP($A152,'Data shares'!$C:$FA,124)</f>
        <v>0.48</v>
      </c>
      <c r="F152" s="143">
        <f>VLOOKUP($A152,'Data shares'!$C:$FA,125)</f>
        <v>0.34</v>
      </c>
      <c r="G152" s="143">
        <f>VLOOKUP($A152,'Data shares'!$C:$FA,127)*100</f>
        <v>41.18</v>
      </c>
      <c r="H152" s="103">
        <f>VLOOKUP($A152,'OI(Volume)'!$A$7:$O$445,8)</f>
        <v>53102250</v>
      </c>
      <c r="I152" s="103">
        <f>VLOOKUP($A152,'OI(Volume)'!$A$7:$O$445,9)</f>
        <v>-30044250</v>
      </c>
      <c r="J152" s="103">
        <f>VLOOKUP($A152,'OI(Volume)'!$A$7:$O$445,11)</f>
        <v>27729000</v>
      </c>
      <c r="K152" s="103">
        <f>VLOOKUP($A152,'OI(Volume)'!$A$7:$O$445,12)</f>
        <v>-15963750</v>
      </c>
      <c r="L152" s="103">
        <f>VLOOKUP($A152,'OI(Value)'!$A$7:$O$329,8,0)</f>
        <v>485</v>
      </c>
      <c r="M152" s="103">
        <f>VLOOKUP($A152,'OI(Value)'!$A$7:$O$329,9,0)</f>
        <v>-274</v>
      </c>
      <c r="N152" s="103">
        <f>VLOOKUP($A152,'OI(Value)'!$A$7:$O$329,11,0)</f>
        <v>253</v>
      </c>
      <c r="O152" s="103">
        <f>VLOOKUP($A152,'OI(Value)'!$A$7:$O$329,12,0)</f>
        <v>-146</v>
      </c>
      <c r="P152" s="179">
        <f>VLOOKUP(A152,'OI(Value)'!A152:O376,8,0)</f>
        <v>485</v>
      </c>
      <c r="Q152" s="179">
        <f>VLOOKUP(A152,'OI(Value)'!A152:O376,9,0)</f>
        <v>-274</v>
      </c>
      <c r="R152" s="179">
        <f>VLOOKUP(A152,'OI(Value)'!A152:O376,11,0)</f>
        <v>253</v>
      </c>
      <c r="S152" s="179">
        <f>VLOOKUP(A152,'OI(Value)'!A152:O376,11,0)</f>
        <v>253</v>
      </c>
    </row>
    <row r="153" spans="1:19" x14ac:dyDescent="0.25">
      <c r="A153" s="105" t="str">
        <f>'Data Vlaue (Cr)'!C148</f>
        <v>NTPC</v>
      </c>
      <c r="B153" s="143">
        <f>VLOOKUP($A153,'Data shares'!$C:$FA,118)</f>
        <v>0.75</v>
      </c>
      <c r="C153" s="143">
        <f>VLOOKUP($A153,'Data shares'!$C:$FA,119)</f>
        <v>0.27</v>
      </c>
      <c r="D153" s="143">
        <f>VLOOKUP($A153,'Data shares'!$C:$FA,121)*100</f>
        <v>177.78</v>
      </c>
      <c r="E153" s="143">
        <f>VLOOKUP($A153,'Data shares'!$C:$FA,124)</f>
        <v>0.63</v>
      </c>
      <c r="F153" s="143">
        <f>VLOOKUP($A153,'Data shares'!$C:$FA,125)</f>
        <v>0.56000000000000005</v>
      </c>
      <c r="G153" s="143">
        <f>VLOOKUP($A153,'Data shares'!$C:$FA,127)*100</f>
        <v>12.5</v>
      </c>
      <c r="H153" s="103">
        <f>VLOOKUP($A153,'OI(Volume)'!$A$7:$O$445,8)</f>
        <v>10423500</v>
      </c>
      <c r="I153" s="103">
        <f>VLOOKUP($A153,'OI(Volume)'!$A$7:$O$445,9)</f>
        <v>-75244500</v>
      </c>
      <c r="J153" s="103">
        <f>VLOOKUP($A153,'OI(Volume)'!$A$7:$O$445,11)</f>
        <v>7791000</v>
      </c>
      <c r="K153" s="103">
        <f>VLOOKUP($A153,'OI(Volume)'!$A$7:$O$445,12)</f>
        <v>-15220500</v>
      </c>
      <c r="L153" s="103">
        <f>VLOOKUP($A153,'OI(Value)'!$A$7:$O$329,8,0)</f>
        <v>409</v>
      </c>
      <c r="M153" s="103">
        <f>VLOOKUP($A153,'OI(Value)'!$A$7:$O$329,9,0)</f>
        <v>-2954</v>
      </c>
      <c r="N153" s="103">
        <f>VLOOKUP($A153,'OI(Value)'!$A$7:$O$329,11,0)</f>
        <v>306</v>
      </c>
      <c r="O153" s="103">
        <f>VLOOKUP($A153,'OI(Value)'!$A$7:$O$329,12,0)</f>
        <v>-598</v>
      </c>
      <c r="P153" s="179">
        <f>VLOOKUP(A153,'OI(Value)'!A153:O377,8,0)</f>
        <v>409</v>
      </c>
      <c r="Q153" s="179">
        <f>VLOOKUP(A153,'OI(Value)'!A153:O377,9,0)</f>
        <v>-2954</v>
      </c>
      <c r="R153" s="179">
        <f>VLOOKUP(A153,'OI(Value)'!A153:O377,11,0)</f>
        <v>306</v>
      </c>
      <c r="S153" s="179">
        <f>VLOOKUP(A153,'OI(Value)'!A153:O377,11,0)</f>
        <v>306</v>
      </c>
    </row>
    <row r="154" spans="1:19" x14ac:dyDescent="0.25">
      <c r="A154" s="105" t="str">
        <f>'Data Vlaue (Cr)'!C149</f>
        <v>NUVAMA</v>
      </c>
      <c r="B154" s="143">
        <f>VLOOKUP($A154,'Data shares'!$C:$FA,118)</f>
        <v>0.55000000000000004</v>
      </c>
      <c r="C154" s="143">
        <f>VLOOKUP($A154,'Data shares'!$C:$FA,119)</f>
        <v>0.62</v>
      </c>
      <c r="D154" s="143">
        <f>VLOOKUP($A154,'Data shares'!$C:$FA,121)*100</f>
        <v>-11.29</v>
      </c>
      <c r="E154" s="143">
        <f>VLOOKUP($A154,'Data shares'!$C:$FA,124)</f>
        <v>0.48</v>
      </c>
      <c r="F154" s="143">
        <f>VLOOKUP($A154,'Data shares'!$C:$FA,125)</f>
        <v>0.49</v>
      </c>
      <c r="G154" s="143">
        <f>VLOOKUP($A154,'Data shares'!$C:$FA,127)*100</f>
        <v>-2.04</v>
      </c>
      <c r="H154" s="103">
        <f>VLOOKUP($A154,'OI(Volume)'!$A$7:$O$445,8)</f>
        <v>282000</v>
      </c>
      <c r="I154" s="103">
        <f>VLOOKUP($A154,'OI(Volume)'!$A$7:$O$445,9)</f>
        <v>-1483000</v>
      </c>
      <c r="J154" s="103">
        <f>VLOOKUP($A154,'OI(Volume)'!$A$7:$O$445,11)</f>
        <v>156000</v>
      </c>
      <c r="K154" s="103">
        <f>VLOOKUP($A154,'OI(Volume)'!$A$7:$O$445,12)</f>
        <v>-932000</v>
      </c>
      <c r="L154" s="103">
        <f>VLOOKUP($A154,'OI(Value)'!$A$7:$O$329,8,0)</f>
        <v>43</v>
      </c>
      <c r="M154" s="103">
        <f>VLOOKUP($A154,'OI(Value)'!$A$7:$O$329,9,0)</f>
        <v>-226</v>
      </c>
      <c r="N154" s="103">
        <f>VLOOKUP($A154,'OI(Value)'!$A$7:$O$329,11,0)</f>
        <v>24</v>
      </c>
      <c r="O154" s="103">
        <f>VLOOKUP($A154,'OI(Value)'!$A$7:$O$329,12,0)</f>
        <v>-142</v>
      </c>
      <c r="P154" s="179">
        <f>VLOOKUP(A154,'OI(Value)'!A154:O378,8,0)</f>
        <v>43</v>
      </c>
      <c r="Q154" s="179">
        <f>VLOOKUP(A154,'OI(Value)'!A154:O378,9,0)</f>
        <v>-226</v>
      </c>
      <c r="R154" s="179">
        <f>VLOOKUP(A154,'OI(Value)'!A154:O378,11,0)</f>
        <v>24</v>
      </c>
      <c r="S154" s="179">
        <f>VLOOKUP(A154,'OI(Value)'!A154:O378,11,0)</f>
        <v>24</v>
      </c>
    </row>
    <row r="155" spans="1:19" x14ac:dyDescent="0.25">
      <c r="A155" s="105" t="str">
        <f>'Data Vlaue (Cr)'!C150</f>
        <v>NYKAA</v>
      </c>
      <c r="B155" s="143">
        <f>VLOOKUP($A155,'Data shares'!$C:$FA,118)</f>
        <v>0.33</v>
      </c>
      <c r="C155" s="143">
        <f>VLOOKUP($A155,'Data shares'!$C:$FA,119)</f>
        <v>0.34</v>
      </c>
      <c r="D155" s="143">
        <f>VLOOKUP($A155,'Data shares'!$C:$FA,121)*100</f>
        <v>-2.94</v>
      </c>
      <c r="E155" s="143">
        <f>VLOOKUP($A155,'Data shares'!$C:$FA,124)</f>
        <v>0.33</v>
      </c>
      <c r="F155" s="143">
        <f>VLOOKUP($A155,'Data shares'!$C:$FA,125)</f>
        <v>0.32</v>
      </c>
      <c r="G155" s="143">
        <f>VLOOKUP($A155,'Data shares'!$C:$FA,127)*100</f>
        <v>3.1300000000000003</v>
      </c>
      <c r="H155" s="103">
        <f>VLOOKUP($A155,'OI(Volume)'!$A$7:$O$445,8)</f>
        <v>22037500</v>
      </c>
      <c r="I155" s="103">
        <f>VLOOKUP($A155,'OI(Volume)'!$A$7:$O$445,9)</f>
        <v>-12687500</v>
      </c>
      <c r="J155" s="103">
        <f>VLOOKUP($A155,'OI(Volume)'!$A$7:$O$445,11)</f>
        <v>7359375</v>
      </c>
      <c r="K155" s="103">
        <f>VLOOKUP($A155,'OI(Volume)'!$A$7:$O$445,12)</f>
        <v>-4293750</v>
      </c>
      <c r="L155" s="103">
        <f>VLOOKUP($A155,'OI(Value)'!$A$7:$O$329,8,0)</f>
        <v>591</v>
      </c>
      <c r="M155" s="103">
        <f>VLOOKUP($A155,'OI(Value)'!$A$7:$O$329,9,0)</f>
        <v>-340</v>
      </c>
      <c r="N155" s="103">
        <f>VLOOKUP($A155,'OI(Value)'!$A$7:$O$329,11,0)</f>
        <v>197</v>
      </c>
      <c r="O155" s="103">
        <f>VLOOKUP($A155,'OI(Value)'!$A$7:$O$329,12,0)</f>
        <v>-115</v>
      </c>
      <c r="P155" s="179">
        <f>VLOOKUP(A155,'OI(Value)'!A155:O379,8,0)</f>
        <v>591</v>
      </c>
      <c r="Q155" s="179">
        <f>VLOOKUP(A155,'OI(Value)'!A155:O379,9,0)</f>
        <v>-340</v>
      </c>
      <c r="R155" s="179">
        <f>VLOOKUP(A155,'OI(Value)'!A155:O379,11,0)</f>
        <v>197</v>
      </c>
      <c r="S155" s="179">
        <f>VLOOKUP(A155,'OI(Value)'!A155:O379,11,0)</f>
        <v>197</v>
      </c>
    </row>
    <row r="156" spans="1:19" x14ac:dyDescent="0.25">
      <c r="A156" s="105" t="str">
        <f>'Data Vlaue (Cr)'!C151</f>
        <v>OBEROIRLTY</v>
      </c>
      <c r="B156" s="143">
        <f>VLOOKUP($A156,'Data shares'!$C:$FA,118)</f>
        <v>0.78</v>
      </c>
      <c r="C156" s="143">
        <f>VLOOKUP($A156,'Data shares'!$C:$FA,119)</f>
        <v>0.62</v>
      </c>
      <c r="D156" s="143">
        <f>VLOOKUP($A156,'Data shares'!$C:$FA,121)*100</f>
        <v>25.81</v>
      </c>
      <c r="E156" s="143">
        <f>VLOOKUP($A156,'Data shares'!$C:$FA,124)</f>
        <v>0.63</v>
      </c>
      <c r="F156" s="143">
        <f>VLOOKUP($A156,'Data shares'!$C:$FA,125)</f>
        <v>0.44</v>
      </c>
      <c r="G156" s="143">
        <f>VLOOKUP($A156,'Data shares'!$C:$FA,127)*100</f>
        <v>43.18</v>
      </c>
      <c r="H156" s="103">
        <f>VLOOKUP($A156,'OI(Volume)'!$A$7:$O$445,8)</f>
        <v>310800</v>
      </c>
      <c r="I156" s="103">
        <f>VLOOKUP($A156,'OI(Volume)'!$A$7:$O$445,9)</f>
        <v>-965650</v>
      </c>
      <c r="J156" s="103">
        <f>VLOOKUP($A156,'OI(Volume)'!$A$7:$O$445,11)</f>
        <v>241150</v>
      </c>
      <c r="K156" s="103">
        <f>VLOOKUP($A156,'OI(Volume)'!$A$7:$O$445,12)</f>
        <v>-552650</v>
      </c>
      <c r="L156" s="103">
        <f>VLOOKUP($A156,'OI(Value)'!$A$7:$O$329,8,0)</f>
        <v>52</v>
      </c>
      <c r="M156" s="103">
        <f>VLOOKUP($A156,'OI(Value)'!$A$7:$O$329,9,0)</f>
        <v>-163</v>
      </c>
      <c r="N156" s="103">
        <f>VLOOKUP($A156,'OI(Value)'!$A$7:$O$329,11,0)</f>
        <v>41</v>
      </c>
      <c r="O156" s="103">
        <f>VLOOKUP($A156,'OI(Value)'!$A$7:$O$329,12,0)</f>
        <v>-93</v>
      </c>
      <c r="P156" s="179">
        <f>VLOOKUP(A156,'OI(Value)'!A156:O380,8,0)</f>
        <v>52</v>
      </c>
      <c r="Q156" s="179">
        <f>VLOOKUP(A156,'OI(Value)'!A156:O380,9,0)</f>
        <v>-163</v>
      </c>
      <c r="R156" s="179">
        <f>VLOOKUP(A156,'OI(Value)'!A156:O380,11,0)</f>
        <v>41</v>
      </c>
      <c r="S156" s="179">
        <f>VLOOKUP(A156,'OI(Value)'!A156:O380,11,0)</f>
        <v>41</v>
      </c>
    </row>
    <row r="157" spans="1:19" x14ac:dyDescent="0.25">
      <c r="A157" s="105" t="str">
        <f>'Data Vlaue (Cr)'!C152</f>
        <v>OFSS</v>
      </c>
      <c r="B157" s="143">
        <f>VLOOKUP($A157,'Data shares'!$C:$FA,118)</f>
        <v>0.73</v>
      </c>
      <c r="C157" s="143">
        <f>VLOOKUP($A157,'Data shares'!$C:$FA,119)</f>
        <v>0.86</v>
      </c>
      <c r="D157" s="143">
        <f>VLOOKUP($A157,'Data shares'!$C:$FA,121)*100</f>
        <v>-15.120000000000001</v>
      </c>
      <c r="E157" s="143">
        <f>VLOOKUP($A157,'Data shares'!$C:$FA,124)</f>
        <v>0.6</v>
      </c>
      <c r="F157" s="143">
        <f>VLOOKUP($A157,'Data shares'!$C:$FA,125)</f>
        <v>0.7</v>
      </c>
      <c r="G157" s="143">
        <f>VLOOKUP($A157,'Data shares'!$C:$FA,127)*100</f>
        <v>-14.29</v>
      </c>
      <c r="H157" s="103">
        <f>VLOOKUP($A157,'OI(Volume)'!$A$7:$O$445,8)</f>
        <v>259725</v>
      </c>
      <c r="I157" s="103">
        <f>VLOOKUP($A157,'OI(Volume)'!$A$7:$O$445,9)</f>
        <v>-491025</v>
      </c>
      <c r="J157" s="103">
        <f>VLOOKUP($A157,'OI(Volume)'!$A$7:$O$445,11)</f>
        <v>188725</v>
      </c>
      <c r="K157" s="103">
        <f>VLOOKUP($A157,'OI(Volume)'!$A$7:$O$445,12)</f>
        <v>-459075</v>
      </c>
      <c r="L157" s="103">
        <f>VLOOKUP($A157,'OI(Value)'!$A$7:$O$329,8,0)</f>
        <v>254</v>
      </c>
      <c r="M157" s="103">
        <f>VLOOKUP($A157,'OI(Value)'!$A$7:$O$329,9,0)</f>
        <v>-480</v>
      </c>
      <c r="N157" s="103">
        <f>VLOOKUP($A157,'OI(Value)'!$A$7:$O$329,11,0)</f>
        <v>185</v>
      </c>
      <c r="O157" s="103">
        <f>VLOOKUP($A157,'OI(Value)'!$A$7:$O$329,12,0)</f>
        <v>-449</v>
      </c>
      <c r="P157" s="179">
        <f>VLOOKUP(A157,'OI(Value)'!A157:O381,8,0)</f>
        <v>254</v>
      </c>
      <c r="Q157" s="179">
        <f>VLOOKUP(A157,'OI(Value)'!A157:O381,9,0)</f>
        <v>-480</v>
      </c>
      <c r="R157" s="179">
        <f>VLOOKUP(A157,'OI(Value)'!A157:O381,11,0)</f>
        <v>185</v>
      </c>
      <c r="S157" s="179">
        <f>VLOOKUP(A157,'OI(Value)'!A157:O381,11,0)</f>
        <v>185</v>
      </c>
    </row>
    <row r="158" spans="1:19" x14ac:dyDescent="0.25">
      <c r="A158" s="105" t="str">
        <f>'Data Vlaue (Cr)'!C153</f>
        <v>OIL</v>
      </c>
      <c r="B158" s="143">
        <f>VLOOKUP($A158,'Data shares'!$C:$FA,118)</f>
        <v>0.68</v>
      </c>
      <c r="C158" s="143">
        <f>VLOOKUP($A158,'Data shares'!$C:$FA,119)</f>
        <v>0.68</v>
      </c>
      <c r="D158" s="143">
        <f>VLOOKUP($A158,'Data shares'!$C:$FA,121)*100</f>
        <v>0</v>
      </c>
      <c r="E158" s="143">
        <f>VLOOKUP($A158,'Data shares'!$C:$FA,124)</f>
        <v>0.51</v>
      </c>
      <c r="F158" s="143">
        <f>VLOOKUP($A158,'Data shares'!$C:$FA,125)</f>
        <v>0.98</v>
      </c>
      <c r="G158" s="143">
        <f>VLOOKUP($A158,'Data shares'!$C:$FA,127)*100</f>
        <v>-47.96</v>
      </c>
      <c r="H158" s="103">
        <f>VLOOKUP($A158,'OI(Volume)'!$A$7:$O$445,8)</f>
        <v>2123800</v>
      </c>
      <c r="I158" s="103">
        <f>VLOOKUP($A158,'OI(Volume)'!$A$7:$O$445,9)</f>
        <v>-7140000</v>
      </c>
      <c r="J158" s="103">
        <f>VLOOKUP($A158,'OI(Volume)'!$A$7:$O$445,11)</f>
        <v>1442000</v>
      </c>
      <c r="K158" s="103">
        <f>VLOOKUP($A158,'OI(Volume)'!$A$7:$O$445,12)</f>
        <v>-4844000</v>
      </c>
      <c r="L158" s="103">
        <f>VLOOKUP($A158,'OI(Value)'!$A$7:$O$329,8,0)</f>
        <v>105</v>
      </c>
      <c r="M158" s="103">
        <f>VLOOKUP($A158,'OI(Value)'!$A$7:$O$329,9,0)</f>
        <v>-354</v>
      </c>
      <c r="N158" s="103">
        <f>VLOOKUP($A158,'OI(Value)'!$A$7:$O$329,11,0)</f>
        <v>72</v>
      </c>
      <c r="O158" s="103">
        <f>VLOOKUP($A158,'OI(Value)'!$A$7:$O$329,12,0)</f>
        <v>-240</v>
      </c>
      <c r="P158" s="179">
        <f>VLOOKUP(A158,'OI(Value)'!A158:O382,8,0)</f>
        <v>105</v>
      </c>
      <c r="Q158" s="179">
        <f>VLOOKUP(A158,'OI(Value)'!A158:O382,9,0)</f>
        <v>-354</v>
      </c>
      <c r="R158" s="179">
        <f>VLOOKUP(A158,'OI(Value)'!A158:O382,11,0)</f>
        <v>72</v>
      </c>
      <c r="S158" s="179">
        <f>VLOOKUP(A158,'OI(Value)'!A158:O382,11,0)</f>
        <v>72</v>
      </c>
    </row>
    <row r="159" spans="1:19" x14ac:dyDescent="0.25">
      <c r="A159" s="105" t="str">
        <f>'Data Vlaue (Cr)'!C154</f>
        <v>ONGC</v>
      </c>
      <c r="B159" s="143">
        <f>VLOOKUP($A159,'Data shares'!$C:$FA,118)</f>
        <v>0.62</v>
      </c>
      <c r="C159" s="143">
        <f>VLOOKUP($A159,'Data shares'!$C:$FA,119)</f>
        <v>0.32</v>
      </c>
      <c r="D159" s="143">
        <f>VLOOKUP($A159,'Data shares'!$C:$FA,121)*100</f>
        <v>93.75</v>
      </c>
      <c r="E159" s="143">
        <f>VLOOKUP($A159,'Data shares'!$C:$FA,124)</f>
        <v>0.52</v>
      </c>
      <c r="F159" s="143">
        <f>VLOOKUP($A159,'Data shares'!$C:$FA,125)</f>
        <v>0.72</v>
      </c>
      <c r="G159" s="143">
        <f>VLOOKUP($A159,'Data shares'!$C:$FA,127)*100</f>
        <v>-27.779999999999998</v>
      </c>
      <c r="H159" s="103">
        <f>VLOOKUP($A159,'OI(Volume)'!$A$7:$O$445,8)</f>
        <v>21033000</v>
      </c>
      <c r="I159" s="103">
        <f>VLOOKUP($A159,'OI(Volume)'!$A$7:$O$445,9)</f>
        <v>-57705750</v>
      </c>
      <c r="J159" s="103">
        <f>VLOOKUP($A159,'OI(Volume)'!$A$7:$O$445,11)</f>
        <v>13047750</v>
      </c>
      <c r="K159" s="103">
        <f>VLOOKUP($A159,'OI(Volume)'!$A$7:$O$445,12)</f>
        <v>-12528000</v>
      </c>
      <c r="L159" s="103">
        <f>VLOOKUP($A159,'OI(Value)'!$A$7:$O$329,8,0)</f>
        <v>610</v>
      </c>
      <c r="M159" s="103">
        <f>VLOOKUP($A159,'OI(Value)'!$A$7:$O$329,9,0)</f>
        <v>-1673</v>
      </c>
      <c r="N159" s="103">
        <f>VLOOKUP($A159,'OI(Value)'!$A$7:$O$329,11,0)</f>
        <v>378</v>
      </c>
      <c r="O159" s="103">
        <f>VLOOKUP($A159,'OI(Value)'!$A$7:$O$329,12,0)</f>
        <v>-363</v>
      </c>
      <c r="P159" s="179">
        <f>VLOOKUP(A159,'OI(Value)'!A159:O383,8,0)</f>
        <v>610</v>
      </c>
      <c r="Q159" s="179">
        <f>VLOOKUP(A159,'OI(Value)'!A159:O383,9,0)</f>
        <v>-1673</v>
      </c>
      <c r="R159" s="179">
        <f>VLOOKUP(A159,'OI(Value)'!A159:O383,11,0)</f>
        <v>378</v>
      </c>
      <c r="S159" s="179">
        <f>VLOOKUP(A159,'OI(Value)'!A159:O383,11,0)</f>
        <v>378</v>
      </c>
    </row>
    <row r="160" spans="1:19" x14ac:dyDescent="0.25">
      <c r="A160" s="105" t="str">
        <f>'Data Vlaue (Cr)'!C155</f>
        <v>PAGEIND</v>
      </c>
      <c r="B160" s="143">
        <f>VLOOKUP($A160,'Data shares'!$C:$FA,118)</f>
        <v>0.38</v>
      </c>
      <c r="C160" s="143">
        <f>VLOOKUP($A160,'Data shares'!$C:$FA,119)</f>
        <v>0.42</v>
      </c>
      <c r="D160" s="143">
        <f>VLOOKUP($A160,'Data shares'!$C:$FA,121)*100</f>
        <v>-9.5200000000000014</v>
      </c>
      <c r="E160" s="143">
        <f>VLOOKUP($A160,'Data shares'!$C:$FA,124)</f>
        <v>0.47</v>
      </c>
      <c r="F160" s="143">
        <f>VLOOKUP($A160,'Data shares'!$C:$FA,125)</f>
        <v>0.79</v>
      </c>
      <c r="G160" s="143">
        <f>VLOOKUP($A160,'Data shares'!$C:$FA,127)*100</f>
        <v>-40.510000000000005</v>
      </c>
      <c r="H160" s="103">
        <f>VLOOKUP($A160,'OI(Volume)'!$A$7:$O$445,8)</f>
        <v>44835</v>
      </c>
      <c r="I160" s="103">
        <f>VLOOKUP($A160,'OI(Volume)'!$A$7:$O$445,9)</f>
        <v>-109185</v>
      </c>
      <c r="J160" s="103">
        <f>VLOOKUP($A160,'OI(Volume)'!$A$7:$O$445,11)</f>
        <v>17250</v>
      </c>
      <c r="K160" s="103">
        <f>VLOOKUP($A160,'OI(Volume)'!$A$7:$O$445,12)</f>
        <v>-47325</v>
      </c>
      <c r="L160" s="103">
        <f>VLOOKUP($A160,'OI(Value)'!$A$7:$O$329,8,0)</f>
        <v>172</v>
      </c>
      <c r="M160" s="103">
        <f>VLOOKUP($A160,'OI(Value)'!$A$7:$O$329,9,0)</f>
        <v>-419</v>
      </c>
      <c r="N160" s="103">
        <f>VLOOKUP($A160,'OI(Value)'!$A$7:$O$329,11,0)</f>
        <v>66</v>
      </c>
      <c r="O160" s="103">
        <f>VLOOKUP($A160,'OI(Value)'!$A$7:$O$329,12,0)</f>
        <v>-182</v>
      </c>
      <c r="P160" s="179">
        <f>VLOOKUP(A160,'OI(Value)'!A160:O384,8,0)</f>
        <v>172</v>
      </c>
      <c r="Q160" s="179">
        <f>VLOOKUP(A160,'OI(Value)'!A160:O384,9,0)</f>
        <v>-419</v>
      </c>
      <c r="R160" s="179">
        <f>VLOOKUP(A160,'OI(Value)'!A160:O384,11,0)</f>
        <v>66</v>
      </c>
      <c r="S160" s="179">
        <f>VLOOKUP(A160,'OI(Value)'!A160:O384,11,0)</f>
        <v>66</v>
      </c>
    </row>
    <row r="161" spans="1:19" x14ac:dyDescent="0.25">
      <c r="A161" s="105" t="str">
        <f>'Data Vlaue (Cr)'!C156</f>
        <v>PATANJALI</v>
      </c>
      <c r="B161" s="143">
        <f>VLOOKUP($A161,'Data shares'!$C:$FA,118)</f>
        <v>0.94</v>
      </c>
      <c r="C161" s="143">
        <f>VLOOKUP($A161,'Data shares'!$C:$FA,119)</f>
        <v>0.8</v>
      </c>
      <c r="D161" s="143">
        <f>VLOOKUP($A161,'Data shares'!$C:$FA,121)*100</f>
        <v>17.5</v>
      </c>
      <c r="E161" s="143">
        <f>VLOOKUP($A161,'Data shares'!$C:$FA,124)</f>
        <v>0.6</v>
      </c>
      <c r="F161" s="143">
        <f>VLOOKUP($A161,'Data shares'!$C:$FA,125)</f>
        <v>0.69</v>
      </c>
      <c r="G161" s="143">
        <f>VLOOKUP($A161,'Data shares'!$C:$FA,127)*100</f>
        <v>-13.04</v>
      </c>
      <c r="H161" s="103">
        <f>VLOOKUP($A161,'OI(Volume)'!$A$7:$O$445,8)</f>
        <v>2190600</v>
      </c>
      <c r="I161" s="103">
        <f>VLOOKUP($A161,'OI(Volume)'!$A$7:$O$445,9)</f>
        <v>-3158100</v>
      </c>
      <c r="J161" s="103">
        <f>VLOOKUP($A161,'OI(Volume)'!$A$7:$O$445,11)</f>
        <v>2054700</v>
      </c>
      <c r="K161" s="103">
        <f>VLOOKUP($A161,'OI(Volume)'!$A$7:$O$445,12)</f>
        <v>-2215800</v>
      </c>
      <c r="L161" s="103">
        <f>VLOOKUP($A161,'OI(Value)'!$A$7:$O$329,8,0)</f>
        <v>102</v>
      </c>
      <c r="M161" s="103">
        <f>VLOOKUP($A161,'OI(Value)'!$A$7:$O$329,9,0)</f>
        <v>-148</v>
      </c>
      <c r="N161" s="103">
        <f>VLOOKUP($A161,'OI(Value)'!$A$7:$O$329,11,0)</f>
        <v>96</v>
      </c>
      <c r="O161" s="103">
        <f>VLOOKUP($A161,'OI(Value)'!$A$7:$O$329,12,0)</f>
        <v>-104</v>
      </c>
      <c r="P161" s="179">
        <f>VLOOKUP(A161,'OI(Value)'!A161:O385,8,0)</f>
        <v>102</v>
      </c>
      <c r="Q161" s="179">
        <f>VLOOKUP(A161,'OI(Value)'!A161:O385,9,0)</f>
        <v>-148</v>
      </c>
      <c r="R161" s="179">
        <f>VLOOKUP(A161,'OI(Value)'!A161:O385,11,0)</f>
        <v>96</v>
      </c>
      <c r="S161" s="179">
        <f>VLOOKUP(A161,'OI(Value)'!A161:O385,11,0)</f>
        <v>96</v>
      </c>
    </row>
    <row r="162" spans="1:19" x14ac:dyDescent="0.25">
      <c r="A162" s="105" t="str">
        <f>'Data Vlaue (Cr)'!C157</f>
        <v>PAYTM</v>
      </c>
      <c r="B162" s="143">
        <f>VLOOKUP($A162,'Data shares'!$C:$FA,118)</f>
        <v>0.65</v>
      </c>
      <c r="C162" s="143">
        <f>VLOOKUP($A162,'Data shares'!$C:$FA,119)</f>
        <v>0.73</v>
      </c>
      <c r="D162" s="143">
        <f>VLOOKUP($A162,'Data shares'!$C:$FA,121)*100</f>
        <v>-10.96</v>
      </c>
      <c r="E162" s="143">
        <f>VLOOKUP($A162,'Data shares'!$C:$FA,124)</f>
        <v>0.5</v>
      </c>
      <c r="F162" s="143">
        <f>VLOOKUP($A162,'Data shares'!$C:$FA,125)</f>
        <v>0.82</v>
      </c>
      <c r="G162" s="143">
        <f>VLOOKUP($A162,'Data shares'!$C:$FA,127)*100</f>
        <v>-39.019999999999996</v>
      </c>
      <c r="H162" s="103">
        <f>VLOOKUP($A162,'OI(Volume)'!$A$7:$O$445,8)</f>
        <v>3024700</v>
      </c>
      <c r="I162" s="103">
        <f>VLOOKUP($A162,'OI(Volume)'!$A$7:$O$445,9)</f>
        <v>-6058825</v>
      </c>
      <c r="J162" s="103">
        <f>VLOOKUP($A162,'OI(Volume)'!$A$7:$O$445,11)</f>
        <v>1963300</v>
      </c>
      <c r="K162" s="103">
        <f>VLOOKUP($A162,'OI(Volume)'!$A$7:$O$445,12)</f>
        <v>-4631300</v>
      </c>
      <c r="L162" s="103">
        <f>VLOOKUP($A162,'OI(Value)'!$A$7:$O$329,8,0)</f>
        <v>345</v>
      </c>
      <c r="M162" s="103">
        <f>VLOOKUP($A162,'OI(Value)'!$A$7:$O$329,9,0)</f>
        <v>-691</v>
      </c>
      <c r="N162" s="103">
        <f>VLOOKUP($A162,'OI(Value)'!$A$7:$O$329,11,0)</f>
        <v>224</v>
      </c>
      <c r="O162" s="103">
        <f>VLOOKUP($A162,'OI(Value)'!$A$7:$O$329,12,0)</f>
        <v>-529</v>
      </c>
      <c r="P162" s="179">
        <f>VLOOKUP(A162,'OI(Value)'!A162:O386,8,0)</f>
        <v>345</v>
      </c>
      <c r="Q162" s="179">
        <f>VLOOKUP(A162,'OI(Value)'!A162:O386,9,0)</f>
        <v>-691</v>
      </c>
      <c r="R162" s="179">
        <f>VLOOKUP(A162,'OI(Value)'!A162:O386,11,0)</f>
        <v>224</v>
      </c>
      <c r="S162" s="179">
        <f>VLOOKUP(A162,'OI(Value)'!A162:O386,11,0)</f>
        <v>224</v>
      </c>
    </row>
    <row r="163" spans="1:19" x14ac:dyDescent="0.25">
      <c r="A163" s="105" t="str">
        <f>'Data Vlaue (Cr)'!C158</f>
        <v>PERSISTENT</v>
      </c>
      <c r="B163" s="143">
        <f>VLOOKUP($A163,'Data shares'!$C:$FA,118)</f>
        <v>0.76</v>
      </c>
      <c r="C163" s="143">
        <f>VLOOKUP($A163,'Data shares'!$C:$FA,119)</f>
        <v>0.83</v>
      </c>
      <c r="D163" s="143">
        <f>VLOOKUP($A163,'Data shares'!$C:$FA,121)*100</f>
        <v>-8.43</v>
      </c>
      <c r="E163" s="143">
        <f>VLOOKUP($A163,'Data shares'!$C:$FA,124)</f>
        <v>0.56999999999999995</v>
      </c>
      <c r="F163" s="143">
        <f>VLOOKUP($A163,'Data shares'!$C:$FA,125)</f>
        <v>0.56999999999999995</v>
      </c>
      <c r="G163" s="143">
        <f>VLOOKUP($A163,'Data shares'!$C:$FA,127)*100</f>
        <v>0</v>
      </c>
      <c r="H163" s="103">
        <f>VLOOKUP($A163,'OI(Volume)'!$A$7:$O$445,8)</f>
        <v>410800</v>
      </c>
      <c r="I163" s="103">
        <f>VLOOKUP($A163,'OI(Volume)'!$A$7:$O$445,9)</f>
        <v>-1030400</v>
      </c>
      <c r="J163" s="103">
        <f>VLOOKUP($A163,'OI(Volume)'!$A$7:$O$445,11)</f>
        <v>312325</v>
      </c>
      <c r="K163" s="103">
        <f>VLOOKUP($A163,'OI(Volume)'!$A$7:$O$445,12)</f>
        <v>-887700</v>
      </c>
      <c r="L163" s="103">
        <f>VLOOKUP($A163,'OI(Value)'!$A$7:$O$329,8,0)</f>
        <v>210</v>
      </c>
      <c r="M163" s="103">
        <f>VLOOKUP($A163,'OI(Value)'!$A$7:$O$329,9,0)</f>
        <v>-527</v>
      </c>
      <c r="N163" s="103">
        <f>VLOOKUP($A163,'OI(Value)'!$A$7:$O$329,11,0)</f>
        <v>160</v>
      </c>
      <c r="O163" s="103">
        <f>VLOOKUP($A163,'OI(Value)'!$A$7:$O$329,12,0)</f>
        <v>-454</v>
      </c>
      <c r="P163" s="179">
        <f>VLOOKUP(A163,'OI(Value)'!A163:O387,8,0)</f>
        <v>210</v>
      </c>
      <c r="Q163" s="179">
        <f>VLOOKUP(A163,'OI(Value)'!A163:O387,9,0)</f>
        <v>-527</v>
      </c>
      <c r="R163" s="179">
        <f>VLOOKUP(A163,'OI(Value)'!A163:O387,11,0)</f>
        <v>160</v>
      </c>
      <c r="S163" s="179">
        <f>VLOOKUP(A163,'OI(Value)'!A163:O387,11,0)</f>
        <v>160</v>
      </c>
    </row>
    <row r="164" spans="1:19" x14ac:dyDescent="0.25">
      <c r="A164" s="105" t="str">
        <f>'Data Vlaue (Cr)'!C159</f>
        <v>PETRONET</v>
      </c>
      <c r="B164" s="143">
        <f>VLOOKUP($A164,'Data shares'!$C:$FA,118)</f>
        <v>1.1000000000000001</v>
      </c>
      <c r="C164" s="143">
        <f>VLOOKUP($A164,'Data shares'!$C:$FA,119)</f>
        <v>1.02</v>
      </c>
      <c r="D164" s="143">
        <f>VLOOKUP($A164,'Data shares'!$C:$FA,121)*100</f>
        <v>7.84</v>
      </c>
      <c r="E164" s="143">
        <f>VLOOKUP($A164,'Data shares'!$C:$FA,124)</f>
        <v>0.76</v>
      </c>
      <c r="F164" s="143">
        <f>VLOOKUP($A164,'Data shares'!$C:$FA,125)</f>
        <v>0.56000000000000005</v>
      </c>
      <c r="G164" s="143">
        <f>VLOOKUP($A164,'Data shares'!$C:$FA,127)*100</f>
        <v>35.709999999999994</v>
      </c>
      <c r="H164" s="103">
        <f>VLOOKUP($A164,'OI(Volume)'!$A$7:$O$445,8)</f>
        <v>6551200</v>
      </c>
      <c r="I164" s="103">
        <f>VLOOKUP($A164,'OI(Volume)'!$A$7:$O$445,9)</f>
        <v>-4168600</v>
      </c>
      <c r="J164" s="103">
        <f>VLOOKUP($A164,'OI(Volume)'!$A$7:$O$445,11)</f>
        <v>7212400</v>
      </c>
      <c r="K164" s="103">
        <f>VLOOKUP($A164,'OI(Volume)'!$A$7:$O$445,12)</f>
        <v>-3773400</v>
      </c>
      <c r="L164" s="103">
        <f>VLOOKUP($A164,'OI(Value)'!$A$7:$O$329,8,0)</f>
        <v>185</v>
      </c>
      <c r="M164" s="103">
        <f>VLOOKUP($A164,'OI(Value)'!$A$7:$O$329,9,0)</f>
        <v>-117</v>
      </c>
      <c r="N164" s="103">
        <f>VLOOKUP($A164,'OI(Value)'!$A$7:$O$329,11,0)</f>
        <v>203</v>
      </c>
      <c r="O164" s="103">
        <f>VLOOKUP($A164,'OI(Value)'!$A$7:$O$329,12,0)</f>
        <v>-106</v>
      </c>
      <c r="P164" s="179">
        <f>VLOOKUP(A164,'OI(Value)'!A164:O388,8,0)</f>
        <v>185</v>
      </c>
      <c r="Q164" s="179">
        <f>VLOOKUP(A164,'OI(Value)'!A164:O388,9,0)</f>
        <v>-117</v>
      </c>
      <c r="R164" s="179">
        <f>VLOOKUP(A164,'OI(Value)'!A164:O388,11,0)</f>
        <v>203</v>
      </c>
      <c r="S164" s="179">
        <f>VLOOKUP(A164,'OI(Value)'!A164:O388,11,0)</f>
        <v>203</v>
      </c>
    </row>
    <row r="165" spans="1:19" x14ac:dyDescent="0.25">
      <c r="A165" s="105" t="str">
        <f>'Data Vlaue (Cr)'!C160</f>
        <v>PFC</v>
      </c>
      <c r="B165" s="143">
        <f>VLOOKUP($A165,'Data shares'!$C:$FA,118)</f>
        <v>0.87</v>
      </c>
      <c r="C165" s="143">
        <f>VLOOKUP($A165,'Data shares'!$C:$FA,119)</f>
        <v>0.62</v>
      </c>
      <c r="D165" s="143">
        <f>VLOOKUP($A165,'Data shares'!$C:$FA,121)*100</f>
        <v>40.32</v>
      </c>
      <c r="E165" s="143">
        <f>VLOOKUP($A165,'Data shares'!$C:$FA,124)</f>
        <v>0.5</v>
      </c>
      <c r="F165" s="143">
        <f>VLOOKUP($A165,'Data shares'!$C:$FA,125)</f>
        <v>0.48</v>
      </c>
      <c r="G165" s="143">
        <f>VLOOKUP($A165,'Data shares'!$C:$FA,127)*100</f>
        <v>4.17</v>
      </c>
      <c r="H165" s="103">
        <f>VLOOKUP($A165,'OI(Volume)'!$A$7:$O$445,8)</f>
        <v>8483800</v>
      </c>
      <c r="I165" s="103">
        <f>VLOOKUP($A165,'OI(Volume)'!$A$7:$O$445,9)</f>
        <v>-13178100</v>
      </c>
      <c r="J165" s="103">
        <f>VLOOKUP($A165,'OI(Volume)'!$A$7:$O$445,11)</f>
        <v>7385300</v>
      </c>
      <c r="K165" s="103">
        <f>VLOOKUP($A165,'OI(Volume)'!$A$7:$O$445,12)</f>
        <v>-6032000</v>
      </c>
      <c r="L165" s="103">
        <f>VLOOKUP($A165,'OI(Value)'!$A$7:$O$329,8,0)</f>
        <v>369</v>
      </c>
      <c r="M165" s="103">
        <f>VLOOKUP($A165,'OI(Value)'!$A$7:$O$329,9,0)</f>
        <v>-573</v>
      </c>
      <c r="N165" s="103">
        <f>VLOOKUP($A165,'OI(Value)'!$A$7:$O$329,11,0)</f>
        <v>321</v>
      </c>
      <c r="O165" s="103">
        <f>VLOOKUP($A165,'OI(Value)'!$A$7:$O$329,12,0)</f>
        <v>-262</v>
      </c>
      <c r="P165" s="179">
        <f>VLOOKUP(A165,'OI(Value)'!A165:O389,8,0)</f>
        <v>369</v>
      </c>
      <c r="Q165" s="179">
        <f>VLOOKUP(A165,'OI(Value)'!A165:O389,9,0)</f>
        <v>-573</v>
      </c>
      <c r="R165" s="179">
        <f>VLOOKUP(A165,'OI(Value)'!A165:O389,11,0)</f>
        <v>321</v>
      </c>
      <c r="S165" s="179">
        <f>VLOOKUP(A165,'OI(Value)'!A165:O389,11,0)</f>
        <v>321</v>
      </c>
    </row>
    <row r="166" spans="1:19" x14ac:dyDescent="0.25">
      <c r="A166" s="105" t="str">
        <f>'Data Vlaue (Cr)'!C161</f>
        <v>PGEL</v>
      </c>
      <c r="B166" s="143">
        <f>VLOOKUP($A166,'Data shares'!$C:$FA,118)</f>
        <v>0.85</v>
      </c>
      <c r="C166" s="143">
        <f>VLOOKUP($A166,'Data shares'!$C:$FA,119)</f>
        <v>0.62</v>
      </c>
      <c r="D166" s="143">
        <f>VLOOKUP($A166,'Data shares'!$C:$FA,121)*100</f>
        <v>37.1</v>
      </c>
      <c r="E166" s="143">
        <f>VLOOKUP($A166,'Data shares'!$C:$FA,124)</f>
        <v>0.6</v>
      </c>
      <c r="F166" s="143">
        <f>VLOOKUP($A166,'Data shares'!$C:$FA,125)</f>
        <v>0.41</v>
      </c>
      <c r="G166" s="143">
        <f>VLOOKUP($A166,'Data shares'!$C:$FA,127)*100</f>
        <v>46.339999999999996</v>
      </c>
      <c r="H166" s="103">
        <f>VLOOKUP($A166,'OI(Volume)'!$A$7:$O$445,8)</f>
        <v>4893450</v>
      </c>
      <c r="I166" s="103">
        <f>VLOOKUP($A166,'OI(Volume)'!$A$7:$O$445,9)</f>
        <v>-5466300</v>
      </c>
      <c r="J166" s="103">
        <f>VLOOKUP($A166,'OI(Volume)'!$A$7:$O$445,11)</f>
        <v>4163850</v>
      </c>
      <c r="K166" s="103">
        <f>VLOOKUP($A166,'OI(Volume)'!$A$7:$O$445,12)</f>
        <v>-2293300</v>
      </c>
      <c r="L166" s="103">
        <f>VLOOKUP($A166,'OI(Value)'!$A$7:$O$329,8,0)</f>
        <v>229</v>
      </c>
      <c r="M166" s="103">
        <f>VLOOKUP($A166,'OI(Value)'!$A$7:$O$329,9,0)</f>
        <v>-256</v>
      </c>
      <c r="N166" s="103">
        <f>VLOOKUP($A166,'OI(Value)'!$A$7:$O$329,11,0)</f>
        <v>195</v>
      </c>
      <c r="O166" s="103">
        <f>VLOOKUP($A166,'OI(Value)'!$A$7:$O$329,12,0)</f>
        <v>-107</v>
      </c>
      <c r="P166" s="179">
        <f>VLOOKUP(A166,'OI(Value)'!A166:O390,8,0)</f>
        <v>229</v>
      </c>
      <c r="Q166" s="179">
        <f>VLOOKUP(A166,'OI(Value)'!A166:O390,9,0)</f>
        <v>-256</v>
      </c>
      <c r="R166" s="179">
        <f>VLOOKUP(A166,'OI(Value)'!A166:O390,11,0)</f>
        <v>195</v>
      </c>
      <c r="S166" s="179">
        <f>VLOOKUP(A166,'OI(Value)'!A166:O390,11,0)</f>
        <v>195</v>
      </c>
    </row>
    <row r="167" spans="1:19" x14ac:dyDescent="0.25">
      <c r="A167" s="105" t="str">
        <f>'Data Vlaue (Cr)'!C162</f>
        <v>PHOENIXLTD</v>
      </c>
      <c r="B167" s="143">
        <f>VLOOKUP($A167,'Data shares'!$C:$FA,118)</f>
        <v>0.41</v>
      </c>
      <c r="C167" s="143">
        <f>VLOOKUP($A167,'Data shares'!$C:$FA,119)</f>
        <v>0.65</v>
      </c>
      <c r="D167" s="143">
        <f>VLOOKUP($A167,'Data shares'!$C:$FA,121)*100</f>
        <v>-36.919999999999995</v>
      </c>
      <c r="E167" s="143">
        <f>VLOOKUP($A167,'Data shares'!$C:$FA,124)</f>
        <v>0.4</v>
      </c>
      <c r="F167" s="143">
        <f>VLOOKUP($A167,'Data shares'!$C:$FA,125)</f>
        <v>0.67</v>
      </c>
      <c r="G167" s="143">
        <f>VLOOKUP($A167,'Data shares'!$C:$FA,127)*100</f>
        <v>-40.300000000000004</v>
      </c>
      <c r="H167" s="103">
        <f>VLOOKUP($A167,'OI(Volume)'!$A$7:$O$445,8)</f>
        <v>189000</v>
      </c>
      <c r="I167" s="103">
        <f>VLOOKUP($A167,'OI(Volume)'!$A$7:$O$445,9)</f>
        <v>-765450</v>
      </c>
      <c r="J167" s="103">
        <f>VLOOKUP($A167,'OI(Volume)'!$A$7:$O$445,11)</f>
        <v>77350</v>
      </c>
      <c r="K167" s="103">
        <f>VLOOKUP($A167,'OI(Volume)'!$A$7:$O$445,12)</f>
        <v>-538300</v>
      </c>
      <c r="L167" s="103">
        <f>VLOOKUP($A167,'OI(Value)'!$A$7:$O$329,8,0)</f>
        <v>34</v>
      </c>
      <c r="M167" s="103">
        <f>VLOOKUP($A167,'OI(Value)'!$A$7:$O$329,9,0)</f>
        <v>-137</v>
      </c>
      <c r="N167" s="103">
        <f>VLOOKUP($A167,'OI(Value)'!$A$7:$O$329,11,0)</f>
        <v>14</v>
      </c>
      <c r="O167" s="103">
        <f>VLOOKUP($A167,'OI(Value)'!$A$7:$O$329,12,0)</f>
        <v>-97</v>
      </c>
      <c r="P167" s="179">
        <f>VLOOKUP(A167,'OI(Value)'!A167:O391,8,0)</f>
        <v>34</v>
      </c>
      <c r="Q167" s="179">
        <f>VLOOKUP(A167,'OI(Value)'!A167:O391,9,0)</f>
        <v>-137</v>
      </c>
      <c r="R167" s="179">
        <f>VLOOKUP(A167,'OI(Value)'!A167:O391,11,0)</f>
        <v>14</v>
      </c>
      <c r="S167" s="179">
        <f>VLOOKUP(A167,'OI(Value)'!A167:O391,11,0)</f>
        <v>14</v>
      </c>
    </row>
    <row r="168" spans="1:19" x14ac:dyDescent="0.25">
      <c r="A168" s="105" t="str">
        <f>'Data Vlaue (Cr)'!C163</f>
        <v>PIDILITIND</v>
      </c>
      <c r="B168" s="143">
        <f>VLOOKUP($A168,'Data shares'!$C:$FA,118)</f>
        <v>0.6</v>
      </c>
      <c r="C168" s="143">
        <f>VLOOKUP($A168,'Data shares'!$C:$FA,119)</f>
        <v>0.48</v>
      </c>
      <c r="D168" s="143">
        <f>VLOOKUP($A168,'Data shares'!$C:$FA,121)*100</f>
        <v>25</v>
      </c>
      <c r="E168" s="143">
        <f>VLOOKUP($A168,'Data shares'!$C:$FA,124)</f>
        <v>0.41</v>
      </c>
      <c r="F168" s="143">
        <f>VLOOKUP($A168,'Data shares'!$C:$FA,125)</f>
        <v>0.35</v>
      </c>
      <c r="G168" s="143">
        <f>VLOOKUP($A168,'Data shares'!$C:$FA,127)*100</f>
        <v>17.14</v>
      </c>
      <c r="H168" s="103">
        <f>VLOOKUP($A168,'OI(Volume)'!$A$7:$O$445,8)</f>
        <v>571500</v>
      </c>
      <c r="I168" s="103">
        <f>VLOOKUP($A168,'OI(Volume)'!$A$7:$O$445,9)</f>
        <v>-2822000</v>
      </c>
      <c r="J168" s="103">
        <f>VLOOKUP($A168,'OI(Volume)'!$A$7:$O$445,11)</f>
        <v>341500</v>
      </c>
      <c r="K168" s="103">
        <f>VLOOKUP($A168,'OI(Volume)'!$A$7:$O$445,12)</f>
        <v>-1302000</v>
      </c>
      <c r="L168" s="103">
        <f>VLOOKUP($A168,'OI(Value)'!$A$7:$O$329,8,0)</f>
        <v>85</v>
      </c>
      <c r="M168" s="103">
        <f>VLOOKUP($A168,'OI(Value)'!$A$7:$O$329,9,0)</f>
        <v>-419</v>
      </c>
      <c r="N168" s="103">
        <f>VLOOKUP($A168,'OI(Value)'!$A$7:$O$329,11,0)</f>
        <v>51</v>
      </c>
      <c r="O168" s="103">
        <f>VLOOKUP($A168,'OI(Value)'!$A$7:$O$329,12,0)</f>
        <v>-193</v>
      </c>
      <c r="P168" s="179">
        <f>VLOOKUP(A168,'OI(Value)'!A168:O392,8,0)</f>
        <v>85</v>
      </c>
      <c r="Q168" s="179">
        <f>VLOOKUP(A168,'OI(Value)'!A168:O392,9,0)</f>
        <v>-419</v>
      </c>
      <c r="R168" s="179">
        <f>VLOOKUP(A168,'OI(Value)'!A168:O392,11,0)</f>
        <v>51</v>
      </c>
      <c r="S168" s="179">
        <f>VLOOKUP(A168,'OI(Value)'!A168:O392,11,0)</f>
        <v>51</v>
      </c>
    </row>
    <row r="169" spans="1:19" x14ac:dyDescent="0.25">
      <c r="A169" s="105" t="str">
        <f>'Data Vlaue (Cr)'!C164</f>
        <v>PIIND</v>
      </c>
      <c r="B169" s="143">
        <f>VLOOKUP($A169,'Data shares'!$C:$FA,118)</f>
        <v>0.48</v>
      </c>
      <c r="C169" s="143">
        <f>VLOOKUP($A169,'Data shares'!$C:$FA,119)</f>
        <v>0.56999999999999995</v>
      </c>
      <c r="D169" s="143">
        <f>VLOOKUP($A169,'Data shares'!$C:$FA,121)*100</f>
        <v>-15.790000000000001</v>
      </c>
      <c r="E169" s="143">
        <f>VLOOKUP($A169,'Data shares'!$C:$FA,124)</f>
        <v>0.68</v>
      </c>
      <c r="F169" s="143">
        <f>VLOOKUP($A169,'Data shares'!$C:$FA,125)</f>
        <v>0.33</v>
      </c>
      <c r="G169" s="143">
        <f>VLOOKUP($A169,'Data shares'!$C:$FA,127)*100</f>
        <v>106.06</v>
      </c>
      <c r="H169" s="103">
        <f>VLOOKUP($A169,'OI(Volume)'!$A$7:$O$445,8)</f>
        <v>1130850</v>
      </c>
      <c r="I169" s="103">
        <f>VLOOKUP($A169,'OI(Volume)'!$A$7:$O$445,9)</f>
        <v>-1017275</v>
      </c>
      <c r="J169" s="103">
        <f>VLOOKUP($A169,'OI(Volume)'!$A$7:$O$445,11)</f>
        <v>547400</v>
      </c>
      <c r="K169" s="103">
        <f>VLOOKUP($A169,'OI(Volume)'!$A$7:$O$445,12)</f>
        <v>-669725</v>
      </c>
      <c r="L169" s="103">
        <f>VLOOKUP($A169,'OI(Value)'!$A$7:$O$329,8,0)</f>
        <v>317</v>
      </c>
      <c r="M169" s="103">
        <f>VLOOKUP($A169,'OI(Value)'!$A$7:$O$329,9,0)</f>
        <v>-286</v>
      </c>
      <c r="N169" s="103">
        <f>VLOOKUP($A169,'OI(Value)'!$A$7:$O$329,11,0)</f>
        <v>154</v>
      </c>
      <c r="O169" s="103">
        <f>VLOOKUP($A169,'OI(Value)'!$A$7:$O$329,12,0)</f>
        <v>-188</v>
      </c>
      <c r="P169" s="179">
        <f>VLOOKUP(A169,'OI(Value)'!A169:O393,8,0)</f>
        <v>317</v>
      </c>
      <c r="Q169" s="179">
        <f>VLOOKUP(A169,'OI(Value)'!A169:O393,9,0)</f>
        <v>-286</v>
      </c>
      <c r="R169" s="179">
        <f>VLOOKUP(A169,'OI(Value)'!A169:O393,11,0)</f>
        <v>154</v>
      </c>
      <c r="S169" s="179">
        <f>VLOOKUP(A169,'OI(Value)'!A169:O393,11,0)</f>
        <v>154</v>
      </c>
    </row>
    <row r="170" spans="1:19" x14ac:dyDescent="0.25">
      <c r="A170" s="105" t="str">
        <f>'Data Vlaue (Cr)'!C165</f>
        <v>PNB</v>
      </c>
      <c r="B170" s="143">
        <f>VLOOKUP($A170,'Data shares'!$C:$FA,118)</f>
        <v>0.96</v>
      </c>
      <c r="C170" s="143">
        <f>VLOOKUP($A170,'Data shares'!$C:$FA,119)</f>
        <v>0.75</v>
      </c>
      <c r="D170" s="143">
        <f>VLOOKUP($A170,'Data shares'!$C:$FA,121)*100</f>
        <v>28.000000000000004</v>
      </c>
      <c r="E170" s="143">
        <f>VLOOKUP($A170,'Data shares'!$C:$FA,124)</f>
        <v>0.66</v>
      </c>
      <c r="F170" s="143">
        <f>VLOOKUP($A170,'Data shares'!$C:$FA,125)</f>
        <v>0.55000000000000004</v>
      </c>
      <c r="G170" s="143">
        <f>VLOOKUP($A170,'Data shares'!$C:$FA,127)*100</f>
        <v>20</v>
      </c>
      <c r="H170" s="103">
        <f>VLOOKUP($A170,'OI(Volume)'!$A$7:$O$445,8)</f>
        <v>47232000</v>
      </c>
      <c r="I170" s="103">
        <f>VLOOKUP($A170,'OI(Volume)'!$A$7:$O$445,9)</f>
        <v>-68224000</v>
      </c>
      <c r="J170" s="103">
        <f>VLOOKUP($A170,'OI(Volume)'!$A$7:$O$445,11)</f>
        <v>45224000</v>
      </c>
      <c r="K170" s="103">
        <f>VLOOKUP($A170,'OI(Volume)'!$A$7:$O$445,12)</f>
        <v>-41160000</v>
      </c>
      <c r="L170" s="103">
        <f>VLOOKUP($A170,'OI(Value)'!$A$7:$O$329,8,0)</f>
        <v>504</v>
      </c>
      <c r="M170" s="103">
        <f>VLOOKUP($A170,'OI(Value)'!$A$7:$O$329,9,0)</f>
        <v>-729</v>
      </c>
      <c r="N170" s="103">
        <f>VLOOKUP($A170,'OI(Value)'!$A$7:$O$329,11,0)</f>
        <v>483</v>
      </c>
      <c r="O170" s="103">
        <f>VLOOKUP($A170,'OI(Value)'!$A$7:$O$329,12,0)</f>
        <v>-440</v>
      </c>
      <c r="P170" s="179">
        <f>VLOOKUP(A170,'OI(Value)'!A170:O394,8,0)</f>
        <v>504</v>
      </c>
      <c r="Q170" s="179">
        <f>VLOOKUP(A170,'OI(Value)'!A170:O394,9,0)</f>
        <v>-729</v>
      </c>
      <c r="R170" s="179">
        <f>VLOOKUP(A170,'OI(Value)'!A170:O394,11,0)</f>
        <v>483</v>
      </c>
      <c r="S170" s="179">
        <f>VLOOKUP(A170,'OI(Value)'!A170:O394,11,0)</f>
        <v>483</v>
      </c>
    </row>
    <row r="171" spans="1:19" x14ac:dyDescent="0.25">
      <c r="A171" s="105" t="str">
        <f>'Data Vlaue (Cr)'!C166</f>
        <v>PNBHOUSING</v>
      </c>
      <c r="B171" s="143">
        <f>VLOOKUP($A171,'Data shares'!$C:$FA,118)</f>
        <v>0.49</v>
      </c>
      <c r="C171" s="143">
        <f>VLOOKUP($A171,'Data shares'!$C:$FA,119)</f>
        <v>0.61</v>
      </c>
      <c r="D171" s="143">
        <f>VLOOKUP($A171,'Data shares'!$C:$FA,121)*100</f>
        <v>-19.670000000000002</v>
      </c>
      <c r="E171" s="143">
        <f>VLOOKUP($A171,'Data shares'!$C:$FA,124)</f>
        <v>0.93</v>
      </c>
      <c r="F171" s="143">
        <f>VLOOKUP($A171,'Data shares'!$C:$FA,125)</f>
        <v>0.3</v>
      </c>
      <c r="G171" s="143">
        <f>VLOOKUP($A171,'Data shares'!$C:$FA,127)*100</f>
        <v>210</v>
      </c>
      <c r="H171" s="103">
        <f>VLOOKUP($A171,'OI(Volume)'!$A$7:$O$445,8)</f>
        <v>851500</v>
      </c>
      <c r="I171" s="103">
        <f>VLOOKUP($A171,'OI(Volume)'!$A$7:$O$445,9)</f>
        <v>-1613300</v>
      </c>
      <c r="J171" s="103">
        <f>VLOOKUP($A171,'OI(Volume)'!$A$7:$O$445,11)</f>
        <v>413400</v>
      </c>
      <c r="K171" s="103">
        <f>VLOOKUP($A171,'OI(Volume)'!$A$7:$O$445,12)</f>
        <v>-1098500</v>
      </c>
      <c r="L171" s="103">
        <f>VLOOKUP($A171,'OI(Value)'!$A$7:$O$329,8,0)</f>
        <v>94</v>
      </c>
      <c r="M171" s="103">
        <f>VLOOKUP($A171,'OI(Value)'!$A$7:$O$329,9,0)</f>
        <v>-178</v>
      </c>
      <c r="N171" s="103">
        <f>VLOOKUP($A171,'OI(Value)'!$A$7:$O$329,11,0)</f>
        <v>46</v>
      </c>
      <c r="O171" s="103">
        <f>VLOOKUP($A171,'OI(Value)'!$A$7:$O$329,12,0)</f>
        <v>-121</v>
      </c>
      <c r="P171" s="179">
        <f>VLOOKUP(A171,'OI(Value)'!A171:O395,8,0)</f>
        <v>94</v>
      </c>
      <c r="Q171" s="179">
        <f>VLOOKUP(A171,'OI(Value)'!A171:O395,9,0)</f>
        <v>-178</v>
      </c>
      <c r="R171" s="179">
        <f>VLOOKUP(A171,'OI(Value)'!A171:O395,11,0)</f>
        <v>46</v>
      </c>
      <c r="S171" s="179">
        <f>VLOOKUP(A171,'OI(Value)'!A171:O395,11,0)</f>
        <v>46</v>
      </c>
    </row>
    <row r="172" spans="1:19" x14ac:dyDescent="0.25">
      <c r="A172" s="105" t="str">
        <f>'Data Vlaue (Cr)'!C167</f>
        <v>POLICYBZR</v>
      </c>
      <c r="B172" s="143">
        <f>VLOOKUP($A172,'Data shares'!$C:$FA,118)</f>
        <v>0.68</v>
      </c>
      <c r="C172" s="143">
        <f>VLOOKUP($A172,'Data shares'!$C:$FA,119)</f>
        <v>0.67</v>
      </c>
      <c r="D172" s="143">
        <f>VLOOKUP($A172,'Data shares'!$C:$FA,121)*100</f>
        <v>1.49</v>
      </c>
      <c r="E172" s="143">
        <f>VLOOKUP($A172,'Data shares'!$C:$FA,124)</f>
        <v>0.66</v>
      </c>
      <c r="F172" s="143">
        <f>VLOOKUP($A172,'Data shares'!$C:$FA,125)</f>
        <v>0.86</v>
      </c>
      <c r="G172" s="143">
        <f>VLOOKUP($A172,'Data shares'!$C:$FA,127)*100</f>
        <v>-23.26</v>
      </c>
      <c r="H172" s="103">
        <f>VLOOKUP($A172,'OI(Volume)'!$A$7:$O$445,8)</f>
        <v>704900</v>
      </c>
      <c r="I172" s="103">
        <f>VLOOKUP($A172,'OI(Volume)'!$A$7:$O$445,9)</f>
        <v>-2614150</v>
      </c>
      <c r="J172" s="103">
        <f>VLOOKUP($A172,'OI(Volume)'!$A$7:$O$445,11)</f>
        <v>479150</v>
      </c>
      <c r="K172" s="103">
        <f>VLOOKUP($A172,'OI(Volume)'!$A$7:$O$445,12)</f>
        <v>-1747900</v>
      </c>
      <c r="L172" s="103">
        <f>VLOOKUP($A172,'OI(Value)'!$A$7:$O$329,8,0)</f>
        <v>127</v>
      </c>
      <c r="M172" s="103">
        <f>VLOOKUP($A172,'OI(Value)'!$A$7:$O$329,9,0)</f>
        <v>-470</v>
      </c>
      <c r="N172" s="103">
        <f>VLOOKUP($A172,'OI(Value)'!$A$7:$O$329,11,0)</f>
        <v>86</v>
      </c>
      <c r="O172" s="103">
        <f>VLOOKUP($A172,'OI(Value)'!$A$7:$O$329,12,0)</f>
        <v>-314</v>
      </c>
      <c r="P172" s="179">
        <f>VLOOKUP(A172,'OI(Value)'!A172:O396,8,0)</f>
        <v>127</v>
      </c>
      <c r="Q172" s="179">
        <f>VLOOKUP(A172,'OI(Value)'!A172:O396,9,0)</f>
        <v>-470</v>
      </c>
      <c r="R172" s="179">
        <f>VLOOKUP(A172,'OI(Value)'!A172:O396,11,0)</f>
        <v>86</v>
      </c>
      <c r="S172" s="179">
        <f>VLOOKUP(A172,'OI(Value)'!A172:O396,11,0)</f>
        <v>86</v>
      </c>
    </row>
    <row r="173" spans="1:19" x14ac:dyDescent="0.25">
      <c r="A173" s="105" t="str">
        <f>'Data Vlaue (Cr)'!C168</f>
        <v>POLYCAB</v>
      </c>
      <c r="B173" s="143">
        <f>VLOOKUP($A173,'Data shares'!$C:$FA,118)</f>
        <v>1.1200000000000001</v>
      </c>
      <c r="C173" s="143">
        <f>VLOOKUP($A173,'Data shares'!$C:$FA,119)</f>
        <v>0.82</v>
      </c>
      <c r="D173" s="143">
        <f>VLOOKUP($A173,'Data shares'!$C:$FA,121)*100</f>
        <v>36.590000000000003</v>
      </c>
      <c r="E173" s="143">
        <f>VLOOKUP($A173,'Data shares'!$C:$FA,124)</f>
        <v>0.56999999999999995</v>
      </c>
      <c r="F173" s="143">
        <f>VLOOKUP($A173,'Data shares'!$C:$FA,125)</f>
        <v>0.61</v>
      </c>
      <c r="G173" s="143">
        <f>VLOOKUP($A173,'Data shares'!$C:$FA,127)*100</f>
        <v>-6.5600000000000005</v>
      </c>
      <c r="H173" s="103">
        <f>VLOOKUP($A173,'OI(Volume)'!$A$7:$O$445,8)</f>
        <v>460375</v>
      </c>
      <c r="I173" s="103">
        <f>VLOOKUP($A173,'OI(Volume)'!$A$7:$O$445,9)</f>
        <v>-1264625</v>
      </c>
      <c r="J173" s="103">
        <f>VLOOKUP($A173,'OI(Volume)'!$A$7:$O$445,11)</f>
        <v>517000</v>
      </c>
      <c r="K173" s="103">
        <f>VLOOKUP($A173,'OI(Volume)'!$A$7:$O$445,12)</f>
        <v>-895500</v>
      </c>
      <c r="L173" s="103">
        <f>VLOOKUP($A173,'OI(Value)'!$A$7:$O$329,8,0)</f>
        <v>443</v>
      </c>
      <c r="M173" s="103">
        <f>VLOOKUP($A173,'OI(Value)'!$A$7:$O$329,9,0)</f>
        <v>-1216</v>
      </c>
      <c r="N173" s="103">
        <f>VLOOKUP($A173,'OI(Value)'!$A$7:$O$329,11,0)</f>
        <v>497</v>
      </c>
      <c r="O173" s="103">
        <f>VLOOKUP($A173,'OI(Value)'!$A$7:$O$329,12,0)</f>
        <v>-861</v>
      </c>
    </row>
    <row r="174" spans="1:19" x14ac:dyDescent="0.25">
      <c r="A174" s="105" t="str">
        <f>'Data Vlaue (Cr)'!C169</f>
        <v>POWERGRID</v>
      </c>
      <c r="B174" s="143">
        <f>VLOOKUP($A174,'Data shares'!$C:$FA,118)</f>
        <v>1.1599999999999999</v>
      </c>
      <c r="C174" s="143">
        <f>VLOOKUP($A174,'Data shares'!$C:$FA,119)</f>
        <v>0.5</v>
      </c>
      <c r="D174" s="143">
        <f>VLOOKUP($A174,'Data shares'!$C:$FA,121)*100</f>
        <v>132</v>
      </c>
      <c r="E174" s="143">
        <f>VLOOKUP($A174,'Data shares'!$C:$FA,124)</f>
        <v>0.63</v>
      </c>
      <c r="F174" s="143">
        <f>VLOOKUP($A174,'Data shares'!$C:$FA,125)</f>
        <v>0.68</v>
      </c>
      <c r="G174" s="143">
        <f>VLOOKUP($A174,'Data shares'!$C:$FA,127)*100</f>
        <v>-7.35</v>
      </c>
      <c r="H174" s="103">
        <f>VLOOKUP($A174,'OI(Volume)'!$A$7:$O$445,8)</f>
        <v>8766600</v>
      </c>
      <c r="I174" s="103">
        <f>VLOOKUP($A174,'OI(Volume)'!$A$7:$O$445,9)</f>
        <v>-27415100</v>
      </c>
      <c r="J174" s="103">
        <f>VLOOKUP($A174,'OI(Volume)'!$A$7:$O$445,11)</f>
        <v>10149800</v>
      </c>
      <c r="K174" s="103">
        <f>VLOOKUP($A174,'OI(Volume)'!$A$7:$O$445,12)</f>
        <v>-7938200</v>
      </c>
      <c r="L174" s="103">
        <f>VLOOKUP($A174,'OI(Value)'!$A$7:$O$329,8,0)</f>
        <v>258</v>
      </c>
      <c r="M174" s="103">
        <f>VLOOKUP($A174,'OI(Value)'!$A$7:$O$329,9,0)</f>
        <v>-808</v>
      </c>
      <c r="N174" s="103">
        <f>VLOOKUP($A174,'OI(Value)'!$A$7:$O$329,11,0)</f>
        <v>299</v>
      </c>
      <c r="O174" s="103">
        <f>VLOOKUP($A174,'OI(Value)'!$A$7:$O$329,12,0)</f>
        <v>-234</v>
      </c>
    </row>
    <row r="175" spans="1:19" x14ac:dyDescent="0.25">
      <c r="A175" s="105" t="str">
        <f>'Data Vlaue (Cr)'!C170</f>
        <v>POWERINDIA</v>
      </c>
      <c r="B175" s="143">
        <f>VLOOKUP($A175,'Data shares'!$C:$FA,118)</f>
        <v>0.76</v>
      </c>
      <c r="C175" s="143">
        <f>VLOOKUP($A175,'Data shares'!$C:$FA,119)</f>
        <v>0.93</v>
      </c>
      <c r="D175" s="143">
        <f>VLOOKUP($A175,'Data shares'!$C:$FA,121)*100</f>
        <v>-18.279999999999998</v>
      </c>
      <c r="E175" s="143">
        <f>VLOOKUP($A175,'Data shares'!$C:$FA,124)</f>
        <v>0.42</v>
      </c>
      <c r="F175" s="143">
        <f>VLOOKUP($A175,'Data shares'!$C:$FA,125)</f>
        <v>0.64</v>
      </c>
      <c r="G175" s="143">
        <f>VLOOKUP($A175,'Data shares'!$C:$FA,127)*100</f>
        <v>-34.380000000000003</v>
      </c>
      <c r="H175" s="103">
        <f>VLOOKUP($A175,'OI(Volume)'!$A$7:$O$445,8)</f>
        <v>216750</v>
      </c>
      <c r="I175" s="103">
        <f>VLOOKUP($A175,'OI(Volume)'!$A$7:$O$445,9)</f>
        <v>-161400</v>
      </c>
      <c r="J175" s="103">
        <f>VLOOKUP($A175,'OI(Volume)'!$A$7:$O$445,11)</f>
        <v>164900</v>
      </c>
      <c r="K175" s="103">
        <f>VLOOKUP($A175,'OI(Volume)'!$A$7:$O$445,12)</f>
        <v>-186100</v>
      </c>
      <c r="L175" s="103">
        <f>VLOOKUP($A175,'OI(Value)'!$A$7:$O$329,8,0)</f>
        <v>786</v>
      </c>
      <c r="M175" s="103">
        <f>VLOOKUP($A175,'OI(Value)'!$A$7:$O$329,9,0)</f>
        <v>-585</v>
      </c>
      <c r="N175" s="103">
        <f>VLOOKUP($A175,'OI(Value)'!$A$7:$O$329,11,0)</f>
        <v>598</v>
      </c>
      <c r="O175" s="103">
        <f>VLOOKUP($A175,'OI(Value)'!$A$7:$O$329,12,0)</f>
        <v>-675</v>
      </c>
    </row>
    <row r="176" spans="1:19" x14ac:dyDescent="0.25">
      <c r="A176" s="105" t="str">
        <f>'Data Vlaue (Cr)'!C171</f>
        <v>PREMIERENE</v>
      </c>
      <c r="B176" s="143">
        <f>VLOOKUP($A176,'Data shares'!$C:$FA,118)</f>
        <v>0.46</v>
      </c>
      <c r="C176" s="143">
        <f>VLOOKUP($A176,'Data shares'!$C:$FA,119)</f>
        <v>0.46</v>
      </c>
      <c r="D176" s="143">
        <f>VLOOKUP($A176,'Data shares'!$C:$FA,121)*100</f>
        <v>0</v>
      </c>
      <c r="E176" s="143">
        <f>VLOOKUP($A176,'Data shares'!$C:$FA,124)</f>
        <v>0.32</v>
      </c>
      <c r="F176" s="143">
        <f>VLOOKUP($A176,'Data shares'!$C:$FA,125)</f>
        <v>0.36</v>
      </c>
      <c r="G176" s="143">
        <f>VLOOKUP($A176,'Data shares'!$C:$FA,127)*100</f>
        <v>-11.110000000000001</v>
      </c>
      <c r="H176" s="103">
        <f>VLOOKUP($A176,'OI(Volume)'!$A$7:$O$445,8)</f>
        <v>1908075</v>
      </c>
      <c r="I176" s="103">
        <f>VLOOKUP($A176,'OI(Volume)'!$A$7:$O$445,9)</f>
        <v>-2161350</v>
      </c>
      <c r="J176" s="103">
        <f>VLOOKUP($A176,'OI(Volume)'!$A$7:$O$445,11)</f>
        <v>878600</v>
      </c>
      <c r="K176" s="103">
        <f>VLOOKUP($A176,'OI(Volume)'!$A$7:$O$445,12)</f>
        <v>-986700</v>
      </c>
      <c r="L176" s="103">
        <f>VLOOKUP($A176,'OI(Value)'!$A$7:$O$329,8,0)</f>
        <v>196</v>
      </c>
      <c r="M176" s="103">
        <f>VLOOKUP($A176,'OI(Value)'!$A$7:$O$329,9,0)</f>
        <v>-221</v>
      </c>
      <c r="N176" s="103">
        <f>VLOOKUP($A176,'OI(Value)'!$A$7:$O$329,11,0)</f>
        <v>90</v>
      </c>
      <c r="O176" s="103">
        <f>VLOOKUP($A176,'OI(Value)'!$A$7:$O$329,12,0)</f>
        <v>-101</v>
      </c>
    </row>
    <row r="177" spans="1:15" x14ac:dyDescent="0.25">
      <c r="A177" s="105" t="str">
        <f>'Data Vlaue (Cr)'!C172</f>
        <v>PRESTIGE</v>
      </c>
      <c r="B177" s="143">
        <f>VLOOKUP($A177,'Data shares'!$C:$FA,118)</f>
        <v>1.07</v>
      </c>
      <c r="C177" s="143">
        <f>VLOOKUP($A177,'Data shares'!$C:$FA,119)</f>
        <v>0.66</v>
      </c>
      <c r="D177" s="143">
        <f>VLOOKUP($A177,'Data shares'!$C:$FA,121)*100</f>
        <v>62.12</v>
      </c>
      <c r="E177" s="143">
        <f>VLOOKUP($A177,'Data shares'!$C:$FA,124)</f>
        <v>1.1299999999999999</v>
      </c>
      <c r="F177" s="143">
        <f>VLOOKUP($A177,'Data shares'!$C:$FA,125)</f>
        <v>0.46</v>
      </c>
      <c r="G177" s="143">
        <f>VLOOKUP($A177,'Data shares'!$C:$FA,127)*100</f>
        <v>145.64999999999998</v>
      </c>
      <c r="H177" s="103">
        <f>VLOOKUP($A177,'OI(Volume)'!$A$7:$O$445,8)</f>
        <v>258750</v>
      </c>
      <c r="I177" s="103">
        <f>VLOOKUP($A177,'OI(Volume)'!$A$7:$O$445,9)</f>
        <v>-1509300</v>
      </c>
      <c r="J177" s="103">
        <f>VLOOKUP($A177,'OI(Volume)'!$A$7:$O$445,11)</f>
        <v>275850</v>
      </c>
      <c r="K177" s="103">
        <f>VLOOKUP($A177,'OI(Volume)'!$A$7:$O$445,12)</f>
        <v>-895050</v>
      </c>
      <c r="L177" s="103">
        <f>VLOOKUP($A177,'OI(Value)'!$A$7:$O$329,8,0)</f>
        <v>37</v>
      </c>
      <c r="M177" s="103">
        <f>VLOOKUP($A177,'OI(Value)'!$A$7:$O$329,9,0)</f>
        <v>-213</v>
      </c>
      <c r="N177" s="103">
        <f>VLOOKUP($A177,'OI(Value)'!$A$7:$O$329,11,0)</f>
        <v>39</v>
      </c>
      <c r="O177" s="103">
        <f>VLOOKUP($A177,'OI(Value)'!$A$7:$O$329,12,0)</f>
        <v>-127</v>
      </c>
    </row>
    <row r="178" spans="1:15" x14ac:dyDescent="0.25">
      <c r="A178" s="105" t="str">
        <f>'Data Vlaue (Cr)'!C173</f>
        <v>RBLBANK</v>
      </c>
      <c r="B178" s="143">
        <f>VLOOKUP($A178,'Data shares'!$C:$FA,118)</f>
        <v>0.63</v>
      </c>
      <c r="C178" s="143">
        <f>VLOOKUP($A178,'Data shares'!$C:$FA,119)</f>
        <v>0.67</v>
      </c>
      <c r="D178" s="143">
        <f>VLOOKUP($A178,'Data shares'!$C:$FA,121)*100</f>
        <v>-5.9700000000000006</v>
      </c>
      <c r="E178" s="143">
        <f>VLOOKUP($A178,'Data shares'!$C:$FA,124)</f>
        <v>0.64</v>
      </c>
      <c r="F178" s="143">
        <f>VLOOKUP($A178,'Data shares'!$C:$FA,125)</f>
        <v>0.46</v>
      </c>
      <c r="G178" s="143">
        <f>VLOOKUP($A178,'Data shares'!$C:$FA,127)*100</f>
        <v>39.129999999999995</v>
      </c>
      <c r="H178" s="103">
        <f>VLOOKUP($A178,'OI(Volume)'!$A$7:$O$445,8)</f>
        <v>9896475</v>
      </c>
      <c r="I178" s="103">
        <f>VLOOKUP($A178,'OI(Volume)'!$A$7:$O$445,9)</f>
        <v>-13620750</v>
      </c>
      <c r="J178" s="103">
        <f>VLOOKUP($A178,'OI(Volume)'!$A$7:$O$445,11)</f>
        <v>6207125</v>
      </c>
      <c r="K178" s="103">
        <f>VLOOKUP($A178,'OI(Volume)'!$A$7:$O$445,12)</f>
        <v>-9547225</v>
      </c>
      <c r="L178" s="103">
        <f>VLOOKUP($A178,'OI(Value)'!$A$7:$O$329,8,0)</f>
        <v>344</v>
      </c>
      <c r="M178" s="103">
        <f>VLOOKUP($A178,'OI(Value)'!$A$7:$O$329,9,0)</f>
        <v>-473</v>
      </c>
      <c r="N178" s="103">
        <f>VLOOKUP($A178,'OI(Value)'!$A$7:$O$329,11,0)</f>
        <v>215</v>
      </c>
      <c r="O178" s="103">
        <f>VLOOKUP($A178,'OI(Value)'!$A$7:$O$329,12,0)</f>
        <v>-331</v>
      </c>
    </row>
    <row r="179" spans="1:15" x14ac:dyDescent="0.25">
      <c r="A179" s="105" t="str">
        <f>'Data Vlaue (Cr)'!C174</f>
        <v>RECLTD</v>
      </c>
      <c r="B179" s="143">
        <f>VLOOKUP($A179,'Data shares'!$C:$FA,118)</f>
        <v>0.88</v>
      </c>
      <c r="C179" s="143">
        <f>VLOOKUP($A179,'Data shares'!$C:$FA,119)</f>
        <v>0.65</v>
      </c>
      <c r="D179" s="143">
        <f>VLOOKUP($A179,'Data shares'!$C:$FA,121)*100</f>
        <v>35.380000000000003</v>
      </c>
      <c r="E179" s="143">
        <f>VLOOKUP($A179,'Data shares'!$C:$FA,124)</f>
        <v>0.61</v>
      </c>
      <c r="F179" s="143">
        <f>VLOOKUP($A179,'Data shares'!$C:$FA,125)</f>
        <v>0.56000000000000005</v>
      </c>
      <c r="G179" s="143">
        <f>VLOOKUP($A179,'Data shares'!$C:$FA,127)*100</f>
        <v>8.93</v>
      </c>
      <c r="H179" s="103">
        <f>VLOOKUP($A179,'OI(Volume)'!$A$7:$O$445,8)</f>
        <v>13408500</v>
      </c>
      <c r="I179" s="103">
        <f>VLOOKUP($A179,'OI(Volume)'!$A$7:$O$445,9)</f>
        <v>-14724675</v>
      </c>
      <c r="J179" s="103">
        <f>VLOOKUP($A179,'OI(Volume)'!$A$7:$O$445,11)</f>
        <v>11838750</v>
      </c>
      <c r="K179" s="103">
        <f>VLOOKUP($A179,'OI(Volume)'!$A$7:$O$445,12)</f>
        <v>-6410600</v>
      </c>
      <c r="L179" s="103">
        <f>VLOOKUP($A179,'OI(Value)'!$A$7:$O$329,8,0)</f>
        <v>456</v>
      </c>
      <c r="M179" s="103">
        <f>VLOOKUP($A179,'OI(Value)'!$A$7:$O$329,9,0)</f>
        <v>-501</v>
      </c>
      <c r="N179" s="103">
        <f>VLOOKUP($A179,'OI(Value)'!$A$7:$O$329,11,0)</f>
        <v>403</v>
      </c>
      <c r="O179" s="103">
        <f>VLOOKUP($A179,'OI(Value)'!$A$7:$O$329,12,0)</f>
        <v>-218</v>
      </c>
    </row>
    <row r="180" spans="1:15" x14ac:dyDescent="0.25">
      <c r="A180" s="105" t="str">
        <f>'Data Vlaue (Cr)'!C175</f>
        <v>RELIANCE</v>
      </c>
      <c r="B180" s="143">
        <f>VLOOKUP($A180,'Data shares'!$C:$FA,118)</f>
        <v>0.86</v>
      </c>
      <c r="C180" s="143">
        <f>VLOOKUP($A180,'Data shares'!$C:$FA,119)</f>
        <v>0.6</v>
      </c>
      <c r="D180" s="143">
        <f>VLOOKUP($A180,'Data shares'!$C:$FA,121)*100</f>
        <v>43.33</v>
      </c>
      <c r="E180" s="143">
        <f>VLOOKUP($A180,'Data shares'!$C:$FA,124)</f>
        <v>0.55000000000000004</v>
      </c>
      <c r="F180" s="143">
        <f>VLOOKUP($A180,'Data shares'!$C:$FA,125)</f>
        <v>0.62</v>
      </c>
      <c r="G180" s="143">
        <f>VLOOKUP($A180,'Data shares'!$C:$FA,127)*100</f>
        <v>-11.29</v>
      </c>
      <c r="H180" s="103">
        <f>VLOOKUP($A180,'OI(Volume)'!$A$7:$O$445,8)</f>
        <v>30180000</v>
      </c>
      <c r="I180" s="103">
        <f>VLOOKUP($A180,'OI(Volume)'!$A$7:$O$445,9)</f>
        <v>-40080000</v>
      </c>
      <c r="J180" s="103">
        <f>VLOOKUP($A180,'OI(Volume)'!$A$7:$O$445,11)</f>
        <v>26071500</v>
      </c>
      <c r="K180" s="103">
        <f>VLOOKUP($A180,'OI(Volume)'!$A$7:$O$445,12)</f>
        <v>-16056000</v>
      </c>
      <c r="L180" s="103">
        <f>VLOOKUP($A180,'OI(Value)'!$A$7:$O$329,8,0)</f>
        <v>4116</v>
      </c>
      <c r="M180" s="103">
        <f>VLOOKUP($A180,'OI(Value)'!$A$7:$O$329,9,0)</f>
        <v>-5467</v>
      </c>
      <c r="N180" s="103">
        <f>VLOOKUP($A180,'OI(Value)'!$A$7:$O$329,11,0)</f>
        <v>3556</v>
      </c>
      <c r="O180" s="103">
        <f>VLOOKUP($A180,'OI(Value)'!$A$7:$O$329,12,0)</f>
        <v>-2190</v>
      </c>
    </row>
    <row r="181" spans="1:15" x14ac:dyDescent="0.25">
      <c r="A181" s="105" t="str">
        <f>'Data Vlaue (Cr)'!C176</f>
        <v>RVNL</v>
      </c>
      <c r="B181" s="143">
        <f>VLOOKUP($A181,'Data shares'!$C:$FA,118)</f>
        <v>0.77</v>
      </c>
      <c r="C181" s="143">
        <f>VLOOKUP($A181,'Data shares'!$C:$FA,119)</f>
        <v>0.66</v>
      </c>
      <c r="D181" s="143">
        <f>VLOOKUP($A181,'Data shares'!$C:$FA,121)*100</f>
        <v>16.669999999999998</v>
      </c>
      <c r="E181" s="143">
        <f>VLOOKUP($A181,'Data shares'!$C:$FA,124)</f>
        <v>0.67</v>
      </c>
      <c r="F181" s="143">
        <f>VLOOKUP($A181,'Data shares'!$C:$FA,125)</f>
        <v>0.42</v>
      </c>
      <c r="G181" s="143">
        <f>VLOOKUP($A181,'Data shares'!$C:$FA,127)*100</f>
        <v>59.519999999999996</v>
      </c>
      <c r="H181" s="103">
        <f>VLOOKUP($A181,'OI(Volume)'!$A$7:$O$445,8)</f>
        <v>12909575</v>
      </c>
      <c r="I181" s="103">
        <f>VLOOKUP($A181,'OI(Volume)'!$A$7:$O$445,9)</f>
        <v>-9569600</v>
      </c>
      <c r="J181" s="103">
        <f>VLOOKUP($A181,'OI(Volume)'!$A$7:$O$445,11)</f>
        <v>9914325</v>
      </c>
      <c r="K181" s="103">
        <f>VLOOKUP($A181,'OI(Volume)'!$A$7:$O$445,12)</f>
        <v>-4809925</v>
      </c>
      <c r="L181" s="103">
        <f>VLOOKUP($A181,'OI(Value)'!$A$7:$O$329,8,0)</f>
        <v>331</v>
      </c>
      <c r="M181" s="103">
        <f>VLOOKUP($A181,'OI(Value)'!$A$7:$O$329,9,0)</f>
        <v>-246</v>
      </c>
      <c r="N181" s="103">
        <f>VLOOKUP($A181,'OI(Value)'!$A$7:$O$329,11,0)</f>
        <v>254</v>
      </c>
      <c r="O181" s="103">
        <f>VLOOKUP($A181,'OI(Value)'!$A$7:$O$329,12,0)</f>
        <v>-123</v>
      </c>
    </row>
    <row r="182" spans="1:15" x14ac:dyDescent="0.25">
      <c r="A182" s="105" t="str">
        <f>'Data Vlaue (Cr)'!C177</f>
        <v>SAIL</v>
      </c>
      <c r="B182" s="143">
        <f>VLOOKUP($A182,'Data shares'!$C:$FA,118)</f>
        <v>0.17</v>
      </c>
      <c r="C182" s="143">
        <f>VLOOKUP($A182,'Data shares'!$C:$FA,119)</f>
        <v>0.63</v>
      </c>
      <c r="D182" s="143">
        <f>VLOOKUP($A182,'Data shares'!$C:$FA,121)*100</f>
        <v>-73.02</v>
      </c>
      <c r="E182" s="143">
        <f>VLOOKUP($A182,'Data shares'!$C:$FA,124)</f>
        <v>0.84</v>
      </c>
      <c r="F182" s="143">
        <f>VLOOKUP($A182,'Data shares'!$C:$FA,125)</f>
        <v>2.58</v>
      </c>
      <c r="G182" s="143">
        <f>VLOOKUP($A182,'Data shares'!$C:$FA,127)*100</f>
        <v>-67.44</v>
      </c>
      <c r="H182" s="103">
        <f>VLOOKUP($A182,'OI(Volume)'!$A$7:$O$445,8)</f>
        <v>446500</v>
      </c>
      <c r="I182" s="103">
        <f>VLOOKUP($A182,'OI(Volume)'!$A$7:$O$445,9)</f>
        <v>-8695000</v>
      </c>
      <c r="J182" s="103">
        <f>VLOOKUP($A182,'OI(Volume)'!$A$7:$O$445,11)</f>
        <v>75200</v>
      </c>
      <c r="K182" s="103">
        <f>VLOOKUP($A182,'OI(Volume)'!$A$7:$O$445,12)</f>
        <v>-5672900</v>
      </c>
      <c r="L182" s="103">
        <f>VLOOKUP($A182,'OI(Value)'!$A$7:$O$329,8,0)</f>
        <v>9</v>
      </c>
      <c r="M182" s="103">
        <f>VLOOKUP($A182,'OI(Value)'!$A$7:$O$329,9,0)</f>
        <v>-179</v>
      </c>
      <c r="N182" s="103">
        <f>VLOOKUP($A182,'OI(Value)'!$A$7:$O$329,11,0)</f>
        <v>2</v>
      </c>
      <c r="O182" s="103">
        <f>VLOOKUP($A182,'OI(Value)'!$A$7:$O$329,12,0)</f>
        <v>-117</v>
      </c>
    </row>
    <row r="183" spans="1:15" x14ac:dyDescent="0.25">
      <c r="A183" s="105" t="str">
        <f>'Data Vlaue (Cr)'!C178</f>
        <v>SAMMAANCAP</v>
      </c>
      <c r="B183" s="143">
        <f>VLOOKUP($A183,'Data shares'!$C:$FA,118)</f>
        <v>0.86</v>
      </c>
      <c r="C183" s="143">
        <f>VLOOKUP($A183,'Data shares'!$C:$FA,119)</f>
        <v>1.19</v>
      </c>
      <c r="D183" s="143">
        <f>VLOOKUP($A183,'Data shares'!$C:$FA,121)*100</f>
        <v>-27.73</v>
      </c>
      <c r="E183" s="143">
        <f>VLOOKUP($A183,'Data shares'!$C:$FA,124)</f>
        <v>0.67</v>
      </c>
      <c r="F183" s="143">
        <f>VLOOKUP($A183,'Data shares'!$C:$FA,125)</f>
        <v>0.51</v>
      </c>
      <c r="G183" s="143">
        <f>VLOOKUP($A183,'Data shares'!$C:$FA,127)*100</f>
        <v>31.369999999999997</v>
      </c>
      <c r="H183" s="103">
        <f>VLOOKUP($A183,'OI(Volume)'!$A$7:$O$445,8)</f>
        <v>17883700</v>
      </c>
      <c r="I183" s="103">
        <f>VLOOKUP($A183,'OI(Volume)'!$A$7:$O$445,9)</f>
        <v>-11739000</v>
      </c>
      <c r="J183" s="103">
        <f>VLOOKUP($A183,'OI(Volume)'!$A$7:$O$445,11)</f>
        <v>15449900</v>
      </c>
      <c r="K183" s="103">
        <f>VLOOKUP($A183,'OI(Volume)'!$A$7:$O$445,12)</f>
        <v>-19909000</v>
      </c>
      <c r="L183" s="103">
        <f>VLOOKUP($A183,'OI(Value)'!$A$7:$O$329,8,0)</f>
        <v>302</v>
      </c>
      <c r="M183" s="103">
        <f>VLOOKUP($A183,'OI(Value)'!$A$7:$O$329,9,0)</f>
        <v>-198</v>
      </c>
      <c r="N183" s="103">
        <f>VLOOKUP($A183,'OI(Value)'!$A$7:$O$329,11,0)</f>
        <v>261</v>
      </c>
      <c r="O183" s="103">
        <f>VLOOKUP($A183,'OI(Value)'!$A$7:$O$329,12,0)</f>
        <v>-337</v>
      </c>
    </row>
    <row r="184" spans="1:15" x14ac:dyDescent="0.25">
      <c r="A184" s="105" t="str">
        <f>'Data Vlaue (Cr)'!C179</f>
        <v>SBICARD</v>
      </c>
      <c r="B184" s="143">
        <f>VLOOKUP($A184,'Data shares'!$C:$FA,118)</f>
        <v>0.75</v>
      </c>
      <c r="C184" s="143">
        <f>VLOOKUP($A184,'Data shares'!$C:$FA,119)</f>
        <v>0.67</v>
      </c>
      <c r="D184" s="143">
        <f>VLOOKUP($A184,'Data shares'!$C:$FA,121)*100</f>
        <v>11.940000000000001</v>
      </c>
      <c r="E184" s="143">
        <f>VLOOKUP($A184,'Data shares'!$C:$FA,124)</f>
        <v>0.48</v>
      </c>
      <c r="F184" s="143">
        <f>VLOOKUP($A184,'Data shares'!$C:$FA,125)</f>
        <v>0.42</v>
      </c>
      <c r="G184" s="143">
        <f>VLOOKUP($A184,'Data shares'!$C:$FA,127)*100</f>
        <v>14.29</v>
      </c>
      <c r="H184" s="103">
        <f>VLOOKUP($A184,'OI(Volume)'!$A$7:$O$445,8)</f>
        <v>5918400</v>
      </c>
      <c r="I184" s="103">
        <f>VLOOKUP($A184,'OI(Volume)'!$A$7:$O$445,9)</f>
        <v>-4040000</v>
      </c>
      <c r="J184" s="103">
        <f>VLOOKUP($A184,'OI(Volume)'!$A$7:$O$445,11)</f>
        <v>4464000</v>
      </c>
      <c r="K184" s="103">
        <f>VLOOKUP($A184,'OI(Volume)'!$A$7:$O$445,12)</f>
        <v>-2212000</v>
      </c>
      <c r="L184" s="103">
        <f>VLOOKUP($A184,'OI(Value)'!$A$7:$O$329,8,0)</f>
        <v>367</v>
      </c>
      <c r="M184" s="103">
        <f>VLOOKUP($A184,'OI(Value)'!$A$7:$O$329,9,0)</f>
        <v>-251</v>
      </c>
      <c r="N184" s="103">
        <f>VLOOKUP($A184,'OI(Value)'!$A$7:$O$329,11,0)</f>
        <v>277</v>
      </c>
      <c r="O184" s="103">
        <f>VLOOKUP($A184,'OI(Value)'!$A$7:$O$329,12,0)</f>
        <v>-137</v>
      </c>
    </row>
    <row r="185" spans="1:15" x14ac:dyDescent="0.25">
      <c r="A185" s="105" t="str">
        <f>'Data Vlaue (Cr)'!C180</f>
        <v>SBILIFE</v>
      </c>
      <c r="B185" s="143">
        <f>VLOOKUP($A185,'Data shares'!$C:$FA,118)</f>
        <v>0.71</v>
      </c>
      <c r="C185" s="143">
        <f>VLOOKUP($A185,'Data shares'!$C:$FA,119)</f>
        <v>0.55000000000000004</v>
      </c>
      <c r="D185" s="143">
        <f>VLOOKUP($A185,'Data shares'!$C:$FA,121)*100</f>
        <v>29.09</v>
      </c>
      <c r="E185" s="143">
        <f>VLOOKUP($A185,'Data shares'!$C:$FA,124)</f>
        <v>0.48</v>
      </c>
      <c r="F185" s="143">
        <f>VLOOKUP($A185,'Data shares'!$C:$FA,125)</f>
        <v>0.48</v>
      </c>
      <c r="G185" s="143">
        <f>VLOOKUP($A185,'Data shares'!$C:$FA,127)*100</f>
        <v>0</v>
      </c>
      <c r="H185" s="103">
        <f>VLOOKUP($A185,'OI(Volume)'!$A$7:$O$445,8)</f>
        <v>615000</v>
      </c>
      <c r="I185" s="103">
        <f>VLOOKUP($A185,'OI(Volume)'!$A$7:$O$445,9)</f>
        <v>-3511875</v>
      </c>
      <c r="J185" s="103">
        <f>VLOOKUP($A185,'OI(Volume)'!$A$7:$O$445,11)</f>
        <v>435000</v>
      </c>
      <c r="K185" s="103">
        <f>VLOOKUP($A185,'OI(Volume)'!$A$7:$O$445,12)</f>
        <v>-1844250</v>
      </c>
      <c r="L185" s="103">
        <f>VLOOKUP($A185,'OI(Value)'!$A$7:$O$329,8,0)</f>
        <v>116</v>
      </c>
      <c r="M185" s="103">
        <f>VLOOKUP($A185,'OI(Value)'!$A$7:$O$329,9,0)</f>
        <v>-664</v>
      </c>
      <c r="N185" s="103">
        <f>VLOOKUP($A185,'OI(Value)'!$A$7:$O$329,11,0)</f>
        <v>82</v>
      </c>
      <c r="O185" s="103">
        <f>VLOOKUP($A185,'OI(Value)'!$A$7:$O$329,12,0)</f>
        <v>-349</v>
      </c>
    </row>
    <row r="186" spans="1:15" x14ac:dyDescent="0.25">
      <c r="A186" s="105" t="str">
        <f>'Data Vlaue (Cr)'!C181</f>
        <v>SBIN</v>
      </c>
      <c r="B186" s="143">
        <f>VLOOKUP($A186,'Data shares'!$C:$FA,118)</f>
        <v>0.84</v>
      </c>
      <c r="C186" s="143">
        <f>VLOOKUP($A186,'Data shares'!$C:$FA,119)</f>
        <v>0.57999999999999996</v>
      </c>
      <c r="D186" s="143">
        <f>VLOOKUP($A186,'Data shares'!$C:$FA,121)*100</f>
        <v>44.83</v>
      </c>
      <c r="E186" s="143">
        <f>VLOOKUP($A186,'Data shares'!$C:$FA,124)</f>
        <v>0.54</v>
      </c>
      <c r="F186" s="143">
        <f>VLOOKUP($A186,'Data shares'!$C:$FA,125)</f>
        <v>0.4</v>
      </c>
      <c r="G186" s="143">
        <f>VLOOKUP($A186,'Data shares'!$C:$FA,127)*100</f>
        <v>35</v>
      </c>
      <c r="H186" s="103">
        <f>VLOOKUP($A186,'OI(Volume)'!$A$7:$O$445,8)</f>
        <v>33188250</v>
      </c>
      <c r="I186" s="103">
        <f>VLOOKUP($A186,'OI(Volume)'!$A$7:$O$445,9)</f>
        <v>-56946750</v>
      </c>
      <c r="J186" s="103">
        <f>VLOOKUP($A186,'OI(Volume)'!$A$7:$O$445,11)</f>
        <v>27923250</v>
      </c>
      <c r="K186" s="103">
        <f>VLOOKUP($A186,'OI(Volume)'!$A$7:$O$445,12)</f>
        <v>-24105750</v>
      </c>
      <c r="L186" s="103">
        <f>VLOOKUP($A186,'OI(Value)'!$A$7:$O$329,8,0)</f>
        <v>3233</v>
      </c>
      <c r="M186" s="103">
        <f>VLOOKUP($A186,'OI(Value)'!$A$7:$O$329,9,0)</f>
        <v>-5548</v>
      </c>
      <c r="N186" s="103">
        <f>VLOOKUP($A186,'OI(Value)'!$A$7:$O$329,11,0)</f>
        <v>2720</v>
      </c>
      <c r="O186" s="103">
        <f>VLOOKUP($A186,'OI(Value)'!$A$7:$O$329,12,0)</f>
        <v>-2348</v>
      </c>
    </row>
    <row r="187" spans="1:15" x14ac:dyDescent="0.25">
      <c r="A187" s="105" t="str">
        <f>'Data Vlaue (Cr)'!C182</f>
        <v>SHREECEM</v>
      </c>
      <c r="B187" s="143">
        <f>VLOOKUP($A187,'Data shares'!$C:$FA,118)</f>
        <v>0.73</v>
      </c>
      <c r="C187" s="143">
        <f>VLOOKUP($A187,'Data shares'!$C:$FA,119)</f>
        <v>0.63</v>
      </c>
      <c r="D187" s="143">
        <f>VLOOKUP($A187,'Data shares'!$C:$FA,121)*100</f>
        <v>15.870000000000001</v>
      </c>
      <c r="E187" s="143">
        <f>VLOOKUP($A187,'Data shares'!$C:$FA,124)</f>
        <v>0.44</v>
      </c>
      <c r="F187" s="143">
        <f>VLOOKUP($A187,'Data shares'!$C:$FA,125)</f>
        <v>0.3</v>
      </c>
      <c r="G187" s="143">
        <f>VLOOKUP($A187,'Data shares'!$C:$FA,127)*100</f>
        <v>46.67</v>
      </c>
      <c r="H187" s="103">
        <f>VLOOKUP($A187,'OI(Volume)'!$A$7:$O$445,8)</f>
        <v>17025</v>
      </c>
      <c r="I187" s="103">
        <f>VLOOKUP($A187,'OI(Volume)'!$A$7:$O$445,9)</f>
        <v>-51475</v>
      </c>
      <c r="J187" s="103">
        <f>VLOOKUP($A187,'OI(Volume)'!$A$7:$O$445,11)</f>
        <v>12475</v>
      </c>
      <c r="K187" s="103">
        <f>VLOOKUP($A187,'OI(Volume)'!$A$7:$O$445,12)</f>
        <v>-30550</v>
      </c>
      <c r="L187" s="103">
        <f>VLOOKUP($A187,'OI(Value)'!$A$7:$O$329,8,0)</f>
        <v>42</v>
      </c>
      <c r="M187" s="103">
        <f>VLOOKUP($A187,'OI(Value)'!$A$7:$O$329,9,0)</f>
        <v>-128</v>
      </c>
      <c r="N187" s="103">
        <f>VLOOKUP($A187,'OI(Value)'!$A$7:$O$329,11,0)</f>
        <v>31</v>
      </c>
      <c r="O187" s="103">
        <f>VLOOKUP($A187,'OI(Value)'!$A$7:$O$329,12,0)</f>
        <v>-76</v>
      </c>
    </row>
    <row r="188" spans="1:15" x14ac:dyDescent="0.25">
      <c r="A188" s="105" t="str">
        <f>'Data Vlaue (Cr)'!C183</f>
        <v>SHRIRAMFIN</v>
      </c>
      <c r="B188" s="143">
        <f>VLOOKUP($A188,'Data shares'!$C:$FA,118)</f>
        <v>0.77</v>
      </c>
      <c r="C188" s="143">
        <f>VLOOKUP($A188,'Data shares'!$C:$FA,119)</f>
        <v>0.65</v>
      </c>
      <c r="D188" s="143">
        <f>VLOOKUP($A188,'Data shares'!$C:$FA,121)*100</f>
        <v>18.459999999999997</v>
      </c>
      <c r="E188" s="143">
        <f>VLOOKUP($A188,'Data shares'!$C:$FA,124)</f>
        <v>0.62</v>
      </c>
      <c r="F188" s="143">
        <f>VLOOKUP($A188,'Data shares'!$C:$FA,125)</f>
        <v>0.38</v>
      </c>
      <c r="G188" s="143">
        <f>VLOOKUP($A188,'Data shares'!$C:$FA,127)*100</f>
        <v>63.160000000000004</v>
      </c>
      <c r="H188" s="103">
        <f>VLOOKUP($A188,'OI(Volume)'!$A$7:$O$445,8)</f>
        <v>5006925</v>
      </c>
      <c r="I188" s="103">
        <f>VLOOKUP($A188,'OI(Volume)'!$A$7:$O$445,9)</f>
        <v>-9623625</v>
      </c>
      <c r="J188" s="103">
        <f>VLOOKUP($A188,'OI(Volume)'!$A$7:$O$445,11)</f>
        <v>3865125</v>
      </c>
      <c r="K188" s="103">
        <f>VLOOKUP($A188,'OI(Volume)'!$A$7:$O$445,12)</f>
        <v>-5622375</v>
      </c>
      <c r="L188" s="103">
        <f>VLOOKUP($A188,'OI(Value)'!$A$7:$O$329,8,0)</f>
        <v>480</v>
      </c>
      <c r="M188" s="103">
        <f>VLOOKUP($A188,'OI(Value)'!$A$7:$O$329,9,0)</f>
        <v>-923</v>
      </c>
      <c r="N188" s="103">
        <f>VLOOKUP($A188,'OI(Value)'!$A$7:$O$329,11,0)</f>
        <v>371</v>
      </c>
      <c r="O188" s="103">
        <f>VLOOKUP($A188,'OI(Value)'!$A$7:$O$329,12,0)</f>
        <v>-539</v>
      </c>
    </row>
    <row r="189" spans="1:15" x14ac:dyDescent="0.25">
      <c r="A189" s="105" t="str">
        <f>'Data Vlaue (Cr)'!C184</f>
        <v>SIEMENS</v>
      </c>
      <c r="B189" s="143">
        <f>VLOOKUP($A189,'Data shares'!$C:$FA,118)</f>
        <v>0.87</v>
      </c>
      <c r="C189" s="143">
        <f>VLOOKUP($A189,'Data shares'!$C:$FA,119)</f>
        <v>0.73</v>
      </c>
      <c r="D189" s="143">
        <f>VLOOKUP($A189,'Data shares'!$C:$FA,121)*100</f>
        <v>19.18</v>
      </c>
      <c r="E189" s="143">
        <f>VLOOKUP($A189,'Data shares'!$C:$FA,124)</f>
        <v>0.64</v>
      </c>
      <c r="F189" s="143">
        <f>VLOOKUP($A189,'Data shares'!$C:$FA,125)</f>
        <v>1.1200000000000001</v>
      </c>
      <c r="G189" s="143">
        <f>VLOOKUP($A189,'Data shares'!$C:$FA,127)*100</f>
        <v>-42.86</v>
      </c>
      <c r="H189" s="103">
        <f>VLOOKUP($A189,'OI(Volume)'!$A$7:$O$445,8)</f>
        <v>1004850</v>
      </c>
      <c r="I189" s="103">
        <f>VLOOKUP($A189,'OI(Volume)'!$A$7:$O$445,9)</f>
        <v>-449925</v>
      </c>
      <c r="J189" s="103">
        <f>VLOOKUP($A189,'OI(Volume)'!$A$7:$O$445,11)</f>
        <v>879200</v>
      </c>
      <c r="K189" s="103">
        <f>VLOOKUP($A189,'OI(Volume)'!$A$7:$O$445,12)</f>
        <v>-189350</v>
      </c>
      <c r="L189" s="103">
        <f>VLOOKUP($A189,'OI(Value)'!$A$7:$O$329,8,0)</f>
        <v>370</v>
      </c>
      <c r="M189" s="103">
        <f>VLOOKUP($A189,'OI(Value)'!$A$7:$O$329,9,0)</f>
        <v>-166</v>
      </c>
      <c r="N189" s="103">
        <f>VLOOKUP($A189,'OI(Value)'!$A$7:$O$329,11,0)</f>
        <v>324</v>
      </c>
      <c r="O189" s="103">
        <f>VLOOKUP($A189,'OI(Value)'!$A$7:$O$329,12,0)</f>
        <v>-70</v>
      </c>
    </row>
    <row r="190" spans="1:15" x14ac:dyDescent="0.25">
      <c r="A190" s="105" t="str">
        <f>'Data Vlaue (Cr)'!C185</f>
        <v>SOLARINDS</v>
      </c>
      <c r="B190" s="143">
        <f>VLOOKUP($A190,'Data shares'!$C:$FA,118)</f>
        <v>0.62</v>
      </c>
      <c r="C190" s="143">
        <f>VLOOKUP($A190,'Data shares'!$C:$FA,119)</f>
        <v>0.89</v>
      </c>
      <c r="D190" s="143">
        <f>VLOOKUP($A190,'Data shares'!$C:$FA,121)*100</f>
        <v>-30.34</v>
      </c>
      <c r="E190" s="143">
        <f>VLOOKUP($A190,'Data shares'!$C:$FA,124)</f>
        <v>0.65</v>
      </c>
      <c r="F190" s="143">
        <f>VLOOKUP($A190,'Data shares'!$C:$FA,125)</f>
        <v>0.7</v>
      </c>
      <c r="G190" s="143">
        <f>VLOOKUP($A190,'Data shares'!$C:$FA,127)*100</f>
        <v>-7.1400000000000006</v>
      </c>
      <c r="H190" s="103">
        <f>VLOOKUP($A190,'OI(Volume)'!$A$7:$O$445,8)</f>
        <v>140450</v>
      </c>
      <c r="I190" s="103">
        <f>VLOOKUP($A190,'OI(Volume)'!$A$7:$O$445,9)</f>
        <v>-224150</v>
      </c>
      <c r="J190" s="103">
        <f>VLOOKUP($A190,'OI(Volume)'!$A$7:$O$445,11)</f>
        <v>86750</v>
      </c>
      <c r="K190" s="103">
        <f>VLOOKUP($A190,'OI(Volume)'!$A$7:$O$445,12)</f>
        <v>-236800</v>
      </c>
      <c r="L190" s="103">
        <f>VLOOKUP($A190,'OI(Value)'!$A$7:$O$329,8,0)</f>
        <v>262</v>
      </c>
      <c r="M190" s="103">
        <f>VLOOKUP($A190,'OI(Value)'!$A$7:$O$329,9,0)</f>
        <v>-418</v>
      </c>
      <c r="N190" s="103">
        <f>VLOOKUP($A190,'OI(Value)'!$A$7:$O$329,11,0)</f>
        <v>162</v>
      </c>
      <c r="O190" s="103">
        <f>VLOOKUP($A190,'OI(Value)'!$A$7:$O$329,12,0)</f>
        <v>-441</v>
      </c>
    </row>
    <row r="191" spans="1:15" x14ac:dyDescent="0.25">
      <c r="A191" s="105" t="str">
        <f>'Data Vlaue (Cr)'!C186</f>
        <v>SONACOMS</v>
      </c>
      <c r="B191" s="143">
        <f>VLOOKUP($A191,'Data shares'!$C:$FA,118)</f>
        <v>0.77</v>
      </c>
      <c r="C191" s="143">
        <f>VLOOKUP($A191,'Data shares'!$C:$FA,119)</f>
        <v>0.6</v>
      </c>
      <c r="D191" s="143">
        <f>VLOOKUP($A191,'Data shares'!$C:$FA,121)*100</f>
        <v>28.33</v>
      </c>
      <c r="E191" s="143">
        <f>VLOOKUP($A191,'Data shares'!$C:$FA,124)</f>
        <v>0.5</v>
      </c>
      <c r="F191" s="143">
        <f>VLOOKUP($A191,'Data shares'!$C:$FA,125)</f>
        <v>0.62</v>
      </c>
      <c r="G191" s="143">
        <f>VLOOKUP($A191,'Data shares'!$C:$FA,127)*100</f>
        <v>-19.350000000000001</v>
      </c>
      <c r="H191" s="103">
        <f>VLOOKUP($A191,'OI(Volume)'!$A$7:$O$445,8)</f>
        <v>1825250</v>
      </c>
      <c r="I191" s="103">
        <f>VLOOKUP($A191,'OI(Volume)'!$A$7:$O$445,9)</f>
        <v>-3213175</v>
      </c>
      <c r="J191" s="103">
        <f>VLOOKUP($A191,'OI(Volume)'!$A$7:$O$445,11)</f>
        <v>1407525</v>
      </c>
      <c r="K191" s="103">
        <f>VLOOKUP($A191,'OI(Volume)'!$A$7:$O$445,12)</f>
        <v>-1637825</v>
      </c>
      <c r="L191" s="103">
        <f>VLOOKUP($A191,'OI(Value)'!$A$7:$O$329,8,0)</f>
        <v>111</v>
      </c>
      <c r="M191" s="103">
        <f>VLOOKUP($A191,'OI(Value)'!$A$7:$O$329,9,0)</f>
        <v>-196</v>
      </c>
      <c r="N191" s="103">
        <f>VLOOKUP($A191,'OI(Value)'!$A$7:$O$329,11,0)</f>
        <v>86</v>
      </c>
      <c r="O191" s="103">
        <f>VLOOKUP($A191,'OI(Value)'!$A$7:$O$329,12,0)</f>
        <v>-100</v>
      </c>
    </row>
    <row r="192" spans="1:15" x14ac:dyDescent="0.25">
      <c r="A192" s="105" t="str">
        <f>'Data Vlaue (Cr)'!C187</f>
        <v>SRF</v>
      </c>
      <c r="B192" s="143">
        <f>VLOOKUP($A192,'Data shares'!$C:$FA,118)</f>
        <v>0.57999999999999996</v>
      </c>
      <c r="C192" s="143">
        <f>VLOOKUP($A192,'Data shares'!$C:$FA,119)</f>
        <v>0.77</v>
      </c>
      <c r="D192" s="143">
        <f>VLOOKUP($A192,'Data shares'!$C:$FA,121)*100</f>
        <v>-24.68</v>
      </c>
      <c r="E192" s="143">
        <f>VLOOKUP($A192,'Data shares'!$C:$FA,124)</f>
        <v>0.38</v>
      </c>
      <c r="F192" s="143">
        <f>VLOOKUP($A192,'Data shares'!$C:$FA,125)</f>
        <v>0.4</v>
      </c>
      <c r="G192" s="143">
        <f>VLOOKUP($A192,'Data shares'!$C:$FA,127)*100</f>
        <v>-5</v>
      </c>
      <c r="H192" s="103">
        <f>VLOOKUP($A192,'OI(Volume)'!$A$7:$O$445,8)</f>
        <v>564400</v>
      </c>
      <c r="I192" s="103">
        <f>VLOOKUP($A192,'OI(Volume)'!$A$7:$O$445,9)</f>
        <v>-1003200</v>
      </c>
      <c r="J192" s="103">
        <f>VLOOKUP($A192,'OI(Volume)'!$A$7:$O$445,11)</f>
        <v>327800</v>
      </c>
      <c r="K192" s="103">
        <f>VLOOKUP($A192,'OI(Volume)'!$A$7:$O$445,12)</f>
        <v>-876800</v>
      </c>
      <c r="L192" s="103">
        <f>VLOOKUP($A192,'OI(Value)'!$A$7:$O$329,8,0)</f>
        <v>156</v>
      </c>
      <c r="M192" s="103">
        <f>VLOOKUP($A192,'OI(Value)'!$A$7:$O$329,9,0)</f>
        <v>-277</v>
      </c>
      <c r="N192" s="103">
        <f>VLOOKUP($A192,'OI(Value)'!$A$7:$O$329,11,0)</f>
        <v>91</v>
      </c>
      <c r="O192" s="103">
        <f>VLOOKUP($A192,'OI(Value)'!$A$7:$O$329,12,0)</f>
        <v>-242</v>
      </c>
    </row>
    <row r="193" spans="1:15" x14ac:dyDescent="0.25">
      <c r="A193" s="105" t="str">
        <f>'Data Vlaue (Cr)'!C188</f>
        <v>SUNPHARMA</v>
      </c>
      <c r="B193" s="143">
        <f>VLOOKUP($A193,'Data shares'!$C:$FA,118)</f>
        <v>0.94</v>
      </c>
      <c r="C193" s="143">
        <f>VLOOKUP($A193,'Data shares'!$C:$FA,119)</f>
        <v>0.62</v>
      </c>
      <c r="D193" s="143">
        <f>VLOOKUP($A193,'Data shares'!$C:$FA,121)*100</f>
        <v>51.61</v>
      </c>
      <c r="E193" s="143">
        <f>VLOOKUP($A193,'Data shares'!$C:$FA,124)</f>
        <v>0.94</v>
      </c>
      <c r="F193" s="143">
        <f>VLOOKUP($A193,'Data shares'!$C:$FA,125)</f>
        <v>0.7</v>
      </c>
      <c r="G193" s="143">
        <f>VLOOKUP($A193,'Data shares'!$C:$FA,127)*100</f>
        <v>34.29</v>
      </c>
      <c r="H193" s="103">
        <f>VLOOKUP($A193,'OI(Volume)'!$A$7:$O$445,8)</f>
        <v>4523400</v>
      </c>
      <c r="I193" s="103">
        <f>VLOOKUP($A193,'OI(Volume)'!$A$7:$O$445,9)</f>
        <v>-14304150</v>
      </c>
      <c r="J193" s="103">
        <f>VLOOKUP($A193,'OI(Volume)'!$A$7:$O$445,11)</f>
        <v>4236400</v>
      </c>
      <c r="K193" s="103">
        <f>VLOOKUP($A193,'OI(Volume)'!$A$7:$O$445,12)</f>
        <v>-7470400</v>
      </c>
      <c r="L193" s="103">
        <f>VLOOKUP($A193,'OI(Value)'!$A$7:$O$329,8,0)</f>
        <v>839</v>
      </c>
      <c r="M193" s="103">
        <f>VLOOKUP($A193,'OI(Value)'!$A$7:$O$329,9,0)</f>
        <v>-2653</v>
      </c>
      <c r="N193" s="103">
        <f>VLOOKUP($A193,'OI(Value)'!$A$7:$O$329,11,0)</f>
        <v>786</v>
      </c>
      <c r="O193" s="103">
        <f>VLOOKUP($A193,'OI(Value)'!$A$7:$O$329,12,0)</f>
        <v>-1386</v>
      </c>
    </row>
    <row r="194" spans="1:15" x14ac:dyDescent="0.25">
      <c r="A194" s="105" t="str">
        <f>'Data Vlaue (Cr)'!C189</f>
        <v>SUPREMEIND</v>
      </c>
      <c r="B194" s="143">
        <f>VLOOKUP($A194,'Data shares'!$C:$FA,118)</f>
        <v>1.02</v>
      </c>
      <c r="C194" s="143">
        <f>VLOOKUP($A194,'Data shares'!$C:$FA,119)</f>
        <v>0.41</v>
      </c>
      <c r="D194" s="143">
        <f>VLOOKUP($A194,'Data shares'!$C:$FA,121)*100</f>
        <v>148.78</v>
      </c>
      <c r="E194" s="143">
        <f>VLOOKUP($A194,'Data shares'!$C:$FA,124)</f>
        <v>0.38</v>
      </c>
      <c r="F194" s="143">
        <f>VLOOKUP($A194,'Data shares'!$C:$FA,125)</f>
        <v>0.8</v>
      </c>
      <c r="G194" s="143">
        <f>VLOOKUP($A194,'Data shares'!$C:$FA,127)*100</f>
        <v>-52.5</v>
      </c>
      <c r="H194" s="103">
        <f>VLOOKUP($A194,'OI(Volume)'!$A$7:$O$445,8)</f>
        <v>107625</v>
      </c>
      <c r="I194" s="103">
        <f>VLOOKUP($A194,'OI(Volume)'!$A$7:$O$445,9)</f>
        <v>-877625</v>
      </c>
      <c r="J194" s="103">
        <f>VLOOKUP($A194,'OI(Volume)'!$A$7:$O$445,11)</f>
        <v>110250</v>
      </c>
      <c r="K194" s="103">
        <f>VLOOKUP($A194,'OI(Volume)'!$A$7:$O$445,12)</f>
        <v>-297500</v>
      </c>
      <c r="L194" s="103">
        <f>VLOOKUP($A194,'OI(Value)'!$A$7:$O$329,8,0)</f>
        <v>38</v>
      </c>
      <c r="M194" s="103">
        <f>VLOOKUP($A194,'OI(Value)'!$A$7:$O$329,9,0)</f>
        <v>-314</v>
      </c>
      <c r="N194" s="103">
        <f>VLOOKUP($A194,'OI(Value)'!$A$7:$O$329,11,0)</f>
        <v>39</v>
      </c>
      <c r="O194" s="103">
        <f>VLOOKUP($A194,'OI(Value)'!$A$7:$O$329,12,0)</f>
        <v>-106</v>
      </c>
    </row>
    <row r="195" spans="1:15" x14ac:dyDescent="0.25">
      <c r="A195" s="105" t="str">
        <f>'Data Vlaue (Cr)'!C190</f>
        <v>SUZLON</v>
      </c>
      <c r="B195" s="143">
        <f>VLOOKUP($A195,'Data shares'!$C:$FA,118)</f>
        <v>0.57999999999999996</v>
      </c>
      <c r="C195" s="143">
        <f>VLOOKUP($A195,'Data shares'!$C:$FA,119)</f>
        <v>0.52</v>
      </c>
      <c r="D195" s="143">
        <f>VLOOKUP($A195,'Data shares'!$C:$FA,121)*100</f>
        <v>11.540000000000001</v>
      </c>
      <c r="E195" s="143">
        <f>VLOOKUP($A195,'Data shares'!$C:$FA,124)</f>
        <v>0.56000000000000005</v>
      </c>
      <c r="F195" s="143">
        <f>VLOOKUP($A195,'Data shares'!$C:$FA,125)</f>
        <v>0.61</v>
      </c>
      <c r="G195" s="143">
        <f>VLOOKUP($A195,'Data shares'!$C:$FA,127)*100</f>
        <v>-8.2000000000000011</v>
      </c>
      <c r="H195" s="103">
        <f>VLOOKUP($A195,'OI(Volume)'!$A$7:$O$445,8)</f>
        <v>82817075</v>
      </c>
      <c r="I195" s="103">
        <f>VLOOKUP($A195,'OI(Volume)'!$A$7:$O$445,9)</f>
        <v>-97836350</v>
      </c>
      <c r="J195" s="103">
        <f>VLOOKUP($A195,'OI(Volume)'!$A$7:$O$445,11)</f>
        <v>47807425</v>
      </c>
      <c r="K195" s="103">
        <f>VLOOKUP($A195,'OI(Volume)'!$A$7:$O$445,12)</f>
        <v>-45686225</v>
      </c>
      <c r="L195" s="103">
        <f>VLOOKUP($A195,'OI(Value)'!$A$7:$O$329,8,0)</f>
        <v>456</v>
      </c>
      <c r="M195" s="103">
        <f>VLOOKUP($A195,'OI(Value)'!$A$7:$O$329,9,0)</f>
        <v>-538</v>
      </c>
      <c r="N195" s="103">
        <f>VLOOKUP($A195,'OI(Value)'!$A$7:$O$329,11,0)</f>
        <v>263</v>
      </c>
      <c r="O195" s="103">
        <f>VLOOKUP($A195,'OI(Value)'!$A$7:$O$329,12,0)</f>
        <v>-251</v>
      </c>
    </row>
    <row r="196" spans="1:15" x14ac:dyDescent="0.25">
      <c r="A196" s="105" t="str">
        <f>'Data Vlaue (Cr)'!C191</f>
        <v>SWIGGY</v>
      </c>
      <c r="B196" s="143">
        <f>VLOOKUP($A196,'Data shares'!$C:$FA,118)</f>
        <v>0.41</v>
      </c>
      <c r="C196" s="143">
        <f>VLOOKUP($A196,'Data shares'!$C:$FA,119)</f>
        <v>0.37</v>
      </c>
      <c r="D196" s="143">
        <f>VLOOKUP($A196,'Data shares'!$C:$FA,121)*100</f>
        <v>10.81</v>
      </c>
      <c r="E196" s="143">
        <f>VLOOKUP($A196,'Data shares'!$C:$FA,124)</f>
        <v>0.4</v>
      </c>
      <c r="F196" s="143">
        <f>VLOOKUP($A196,'Data shares'!$C:$FA,125)</f>
        <v>0.42</v>
      </c>
      <c r="G196" s="143">
        <f>VLOOKUP($A196,'Data shares'!$C:$FA,127)*100</f>
        <v>-4.7600000000000007</v>
      </c>
      <c r="H196" s="103">
        <f>VLOOKUP($A196,'OI(Volume)'!$A$7:$O$445,8)</f>
        <v>5416325</v>
      </c>
      <c r="I196" s="103">
        <f>VLOOKUP($A196,'OI(Volume)'!$A$7:$O$445,9)</f>
        <v>-11495900</v>
      </c>
      <c r="J196" s="103">
        <f>VLOOKUP($A196,'OI(Volume)'!$A$7:$O$445,11)</f>
        <v>2200925</v>
      </c>
      <c r="K196" s="103">
        <f>VLOOKUP($A196,'OI(Volume)'!$A$7:$O$445,12)</f>
        <v>-4036500</v>
      </c>
      <c r="L196" s="103">
        <f>VLOOKUP($A196,'OI(Value)'!$A$7:$O$329,8,0)</f>
        <v>139</v>
      </c>
      <c r="M196" s="103">
        <f>VLOOKUP($A196,'OI(Value)'!$A$7:$O$329,9,0)</f>
        <v>-294</v>
      </c>
      <c r="N196" s="103">
        <f>VLOOKUP($A196,'OI(Value)'!$A$7:$O$329,11,0)</f>
        <v>56</v>
      </c>
      <c r="O196" s="103">
        <f>VLOOKUP($A196,'OI(Value)'!$A$7:$O$329,12,0)</f>
        <v>-103</v>
      </c>
    </row>
    <row r="197" spans="1:15" x14ac:dyDescent="0.25">
      <c r="A197" s="105" t="str">
        <f>'Data Vlaue (Cr)'!C192</f>
        <v>TATACONSUM</v>
      </c>
      <c r="B197" s="143">
        <f>VLOOKUP($A197,'Data shares'!$C:$FA,118)</f>
        <v>0.79</v>
      </c>
      <c r="C197" s="143">
        <f>VLOOKUP($A197,'Data shares'!$C:$FA,119)</f>
        <v>0.67</v>
      </c>
      <c r="D197" s="143">
        <f>VLOOKUP($A197,'Data shares'!$C:$FA,121)*100</f>
        <v>17.91</v>
      </c>
      <c r="E197" s="143">
        <f>VLOOKUP($A197,'Data shares'!$C:$FA,124)</f>
        <v>0.45</v>
      </c>
      <c r="F197" s="143">
        <f>VLOOKUP($A197,'Data shares'!$C:$FA,125)</f>
        <v>0.43</v>
      </c>
      <c r="G197" s="143">
        <f>VLOOKUP($A197,'Data shares'!$C:$FA,127)*100</f>
        <v>4.6500000000000004</v>
      </c>
      <c r="H197" s="103">
        <f>VLOOKUP($A197,'OI(Volume)'!$A$7:$O$445,8)</f>
        <v>1141250</v>
      </c>
      <c r="I197" s="103">
        <f>VLOOKUP($A197,'OI(Volume)'!$A$7:$O$445,9)</f>
        <v>-3570600</v>
      </c>
      <c r="J197" s="103">
        <f>VLOOKUP($A197,'OI(Volume)'!$A$7:$O$445,11)</f>
        <v>901450</v>
      </c>
      <c r="K197" s="103">
        <f>VLOOKUP($A197,'OI(Volume)'!$A$7:$O$445,12)</f>
        <v>-2234650</v>
      </c>
      <c r="L197" s="103">
        <f>VLOOKUP($A197,'OI(Value)'!$A$7:$O$329,8,0)</f>
        <v>137</v>
      </c>
      <c r="M197" s="103">
        <f>VLOOKUP($A197,'OI(Value)'!$A$7:$O$329,9,0)</f>
        <v>-428</v>
      </c>
      <c r="N197" s="103">
        <f>VLOOKUP($A197,'OI(Value)'!$A$7:$O$329,11,0)</f>
        <v>108</v>
      </c>
      <c r="O197" s="103">
        <f>VLOOKUP($A197,'OI(Value)'!$A$7:$O$329,12,0)</f>
        <v>-268</v>
      </c>
    </row>
    <row r="198" spans="1:15" x14ac:dyDescent="0.25">
      <c r="A198" s="105" t="str">
        <f>'Data Vlaue (Cr)'!C193</f>
        <v>TATAELXSI</v>
      </c>
      <c r="B198" s="143">
        <f>VLOOKUP($A198,'Data shares'!$C:$FA,118)</f>
        <v>0.71</v>
      </c>
      <c r="C198" s="143">
        <f>VLOOKUP($A198,'Data shares'!$C:$FA,119)</f>
        <v>0.51</v>
      </c>
      <c r="D198" s="143">
        <f>VLOOKUP($A198,'Data shares'!$C:$FA,121)*100</f>
        <v>39.22</v>
      </c>
      <c r="E198" s="143">
        <f>VLOOKUP($A198,'Data shares'!$C:$FA,124)</f>
        <v>0.25</v>
      </c>
      <c r="F198" s="143">
        <f>VLOOKUP($A198,'Data shares'!$C:$FA,125)</f>
        <v>0.3</v>
      </c>
      <c r="G198" s="143">
        <f>VLOOKUP($A198,'Data shares'!$C:$FA,127)*100</f>
        <v>-16.669999999999998</v>
      </c>
      <c r="H198" s="103">
        <f>VLOOKUP($A198,'OI(Volume)'!$A$7:$O$445,8)</f>
        <v>324550</v>
      </c>
      <c r="I198" s="103">
        <f>VLOOKUP($A198,'OI(Volume)'!$A$7:$O$445,9)</f>
        <v>-770900</v>
      </c>
      <c r="J198" s="103">
        <f>VLOOKUP($A198,'OI(Volume)'!$A$7:$O$445,11)</f>
        <v>229825</v>
      </c>
      <c r="K198" s="103">
        <f>VLOOKUP($A198,'OI(Volume)'!$A$7:$O$445,12)</f>
        <v>-324400</v>
      </c>
      <c r="L198" s="103">
        <f>VLOOKUP($A198,'OI(Value)'!$A$7:$O$329,8,0)</f>
        <v>138</v>
      </c>
      <c r="M198" s="103">
        <f>VLOOKUP($A198,'OI(Value)'!$A$7:$O$329,9,0)</f>
        <v>-327</v>
      </c>
      <c r="N198" s="103">
        <f>VLOOKUP($A198,'OI(Value)'!$A$7:$O$329,11,0)</f>
        <v>98</v>
      </c>
      <c r="O198" s="103">
        <f>VLOOKUP($A198,'OI(Value)'!$A$7:$O$329,12,0)</f>
        <v>-138</v>
      </c>
    </row>
    <row r="199" spans="1:15" x14ac:dyDescent="0.25">
      <c r="A199" s="105" t="str">
        <f>'Data Vlaue (Cr)'!C194</f>
        <v>TATAPOWER</v>
      </c>
      <c r="B199" s="143">
        <f>VLOOKUP($A199,'Data shares'!$C:$FA,118)</f>
        <v>0.66</v>
      </c>
      <c r="C199" s="143">
        <f>VLOOKUP($A199,'Data shares'!$C:$FA,119)</f>
        <v>0.56999999999999995</v>
      </c>
      <c r="D199" s="143">
        <f>VLOOKUP($A199,'Data shares'!$C:$FA,121)*100</f>
        <v>15.790000000000001</v>
      </c>
      <c r="E199" s="143">
        <f>VLOOKUP($A199,'Data shares'!$C:$FA,124)</f>
        <v>0.3</v>
      </c>
      <c r="F199" s="143">
        <f>VLOOKUP($A199,'Data shares'!$C:$FA,125)</f>
        <v>0.51</v>
      </c>
      <c r="G199" s="143">
        <f>VLOOKUP($A199,'Data shares'!$C:$FA,127)*100</f>
        <v>-41.18</v>
      </c>
      <c r="H199" s="103">
        <f>VLOOKUP($A199,'OI(Volume)'!$A$7:$O$445,8)</f>
        <v>19147250</v>
      </c>
      <c r="I199" s="103">
        <f>VLOOKUP($A199,'OI(Volume)'!$A$7:$O$445,9)</f>
        <v>-19695350</v>
      </c>
      <c r="J199" s="103">
        <f>VLOOKUP($A199,'OI(Volume)'!$A$7:$O$445,11)</f>
        <v>12717950</v>
      </c>
      <c r="K199" s="103">
        <f>VLOOKUP($A199,'OI(Volume)'!$A$7:$O$445,12)</f>
        <v>-9287250</v>
      </c>
      <c r="L199" s="103">
        <f>VLOOKUP($A199,'OI(Value)'!$A$7:$O$329,8,0)</f>
        <v>808</v>
      </c>
      <c r="M199" s="103">
        <f>VLOOKUP($A199,'OI(Value)'!$A$7:$O$329,9,0)</f>
        <v>-831</v>
      </c>
      <c r="N199" s="103">
        <f>VLOOKUP($A199,'OI(Value)'!$A$7:$O$329,11,0)</f>
        <v>537</v>
      </c>
      <c r="O199" s="103">
        <f>VLOOKUP($A199,'OI(Value)'!$A$7:$O$329,12,0)</f>
        <v>-392</v>
      </c>
    </row>
    <row r="200" spans="1:15" x14ac:dyDescent="0.25">
      <c r="A200" s="105" t="str">
        <f>'Data Vlaue (Cr)'!C195</f>
        <v>TATASTEEL</v>
      </c>
      <c r="B200" s="143">
        <f>VLOOKUP($A200,'Data shares'!$C:$FA,118)</f>
        <v>0.6</v>
      </c>
      <c r="C200" s="143">
        <f>VLOOKUP($A200,'Data shares'!$C:$FA,119)</f>
        <v>0.6</v>
      </c>
      <c r="D200" s="143">
        <f>VLOOKUP($A200,'Data shares'!$C:$FA,121)*100</f>
        <v>0</v>
      </c>
      <c r="E200" s="143">
        <f>VLOOKUP($A200,'Data shares'!$C:$FA,124)</f>
        <v>0.68</v>
      </c>
      <c r="F200" s="143">
        <f>VLOOKUP($A200,'Data shares'!$C:$FA,125)</f>
        <v>0.59</v>
      </c>
      <c r="G200" s="143">
        <f>VLOOKUP($A200,'Data shares'!$C:$FA,127)*100</f>
        <v>15.25</v>
      </c>
      <c r="H200" s="103">
        <f>VLOOKUP($A200,'OI(Volume)'!$A$7:$O$445,8)</f>
        <v>45523500</v>
      </c>
      <c r="I200" s="103">
        <f>VLOOKUP($A200,'OI(Volume)'!$A$7:$O$445,9)</f>
        <v>-74373750</v>
      </c>
      <c r="J200" s="103">
        <f>VLOOKUP($A200,'OI(Volume)'!$A$7:$O$445,11)</f>
        <v>27203000</v>
      </c>
      <c r="K200" s="103">
        <f>VLOOKUP($A200,'OI(Volume)'!$A$7:$O$445,12)</f>
        <v>-45080750</v>
      </c>
      <c r="L200" s="103">
        <f>VLOOKUP($A200,'OI(Value)'!$A$7:$O$329,8,0)</f>
        <v>947</v>
      </c>
      <c r="M200" s="103">
        <f>VLOOKUP($A200,'OI(Value)'!$A$7:$O$329,9,0)</f>
        <v>-1548</v>
      </c>
      <c r="N200" s="103">
        <f>VLOOKUP($A200,'OI(Value)'!$A$7:$O$329,11,0)</f>
        <v>566</v>
      </c>
      <c r="O200" s="103">
        <f>VLOOKUP($A200,'OI(Value)'!$A$7:$O$329,12,0)</f>
        <v>-938</v>
      </c>
    </row>
    <row r="201" spans="1:15" x14ac:dyDescent="0.25">
      <c r="A201" s="105" t="str">
        <f>'Data Vlaue (Cr)'!C196</f>
        <v>TCS</v>
      </c>
      <c r="B201" s="143">
        <f>VLOOKUP($A201,'Data shares'!$C:$FA,118)</f>
        <v>0.95</v>
      </c>
      <c r="C201" s="143">
        <f>VLOOKUP($A201,'Data shares'!$C:$FA,119)</f>
        <v>0.69</v>
      </c>
      <c r="D201" s="143">
        <f>VLOOKUP($A201,'Data shares'!$C:$FA,121)*100</f>
        <v>37.68</v>
      </c>
      <c r="E201" s="143">
        <f>VLOOKUP($A201,'Data shares'!$C:$FA,124)</f>
        <v>0.65</v>
      </c>
      <c r="F201" s="143">
        <f>VLOOKUP($A201,'Data shares'!$C:$FA,125)</f>
        <v>0.54</v>
      </c>
      <c r="G201" s="143">
        <f>VLOOKUP($A201,'Data shares'!$C:$FA,127)*100</f>
        <v>20.369999999999997</v>
      </c>
      <c r="H201" s="103">
        <f>VLOOKUP($A201,'OI(Volume)'!$A$7:$O$445,8)</f>
        <v>7363825</v>
      </c>
      <c r="I201" s="103">
        <f>VLOOKUP($A201,'OI(Volume)'!$A$7:$O$445,9)</f>
        <v>-11046675</v>
      </c>
      <c r="J201" s="103">
        <f>VLOOKUP($A201,'OI(Volume)'!$A$7:$O$445,11)</f>
        <v>7004100</v>
      </c>
      <c r="K201" s="103">
        <f>VLOOKUP($A201,'OI(Volume)'!$A$7:$O$445,12)</f>
        <v>-5777200</v>
      </c>
      <c r="L201" s="103">
        <f>VLOOKUP($A201,'OI(Value)'!$A$7:$O$329,8,0)</f>
        <v>1684</v>
      </c>
      <c r="M201" s="103">
        <f>VLOOKUP($A201,'OI(Value)'!$A$7:$O$329,9,0)</f>
        <v>-2527</v>
      </c>
      <c r="N201" s="103">
        <f>VLOOKUP($A201,'OI(Value)'!$A$7:$O$329,11,0)</f>
        <v>1602</v>
      </c>
      <c r="O201" s="103">
        <f>VLOOKUP($A201,'OI(Value)'!$A$7:$O$329,12,0)</f>
        <v>-1322</v>
      </c>
    </row>
    <row r="202" spans="1:15" x14ac:dyDescent="0.25">
      <c r="A202" s="105" t="str">
        <f>'Data Vlaue (Cr)'!C197</f>
        <v>TECHM</v>
      </c>
      <c r="B202" s="143">
        <f>VLOOKUP($A202,'Data shares'!$C:$FA,118)</f>
        <v>0.8</v>
      </c>
      <c r="C202" s="143">
        <f>VLOOKUP($A202,'Data shares'!$C:$FA,119)</f>
        <v>0.63</v>
      </c>
      <c r="D202" s="143">
        <f>VLOOKUP($A202,'Data shares'!$C:$FA,121)*100</f>
        <v>26.979999999999997</v>
      </c>
      <c r="E202" s="143">
        <f>VLOOKUP($A202,'Data shares'!$C:$FA,124)</f>
        <v>0.44</v>
      </c>
      <c r="F202" s="143">
        <f>VLOOKUP($A202,'Data shares'!$C:$FA,125)</f>
        <v>0.42</v>
      </c>
      <c r="G202" s="143">
        <f>VLOOKUP($A202,'Data shares'!$C:$FA,127)*100</f>
        <v>4.7600000000000007</v>
      </c>
      <c r="H202" s="103">
        <f>VLOOKUP($A202,'OI(Volume)'!$A$7:$O$445,8)</f>
        <v>2473200</v>
      </c>
      <c r="I202" s="103">
        <f>VLOOKUP($A202,'OI(Volume)'!$A$7:$O$445,9)</f>
        <v>-7488000</v>
      </c>
      <c r="J202" s="103">
        <f>VLOOKUP($A202,'OI(Volume)'!$A$7:$O$445,11)</f>
        <v>1987800</v>
      </c>
      <c r="K202" s="103">
        <f>VLOOKUP($A202,'OI(Volume)'!$A$7:$O$445,12)</f>
        <v>-4263600</v>
      </c>
      <c r="L202" s="103">
        <f>VLOOKUP($A202,'OI(Value)'!$A$7:$O$329,8,0)</f>
        <v>359</v>
      </c>
      <c r="M202" s="103">
        <f>VLOOKUP($A202,'OI(Value)'!$A$7:$O$329,9,0)</f>
        <v>-1087</v>
      </c>
      <c r="N202" s="103">
        <f>VLOOKUP($A202,'OI(Value)'!$A$7:$O$329,11,0)</f>
        <v>289</v>
      </c>
      <c r="O202" s="103">
        <f>VLOOKUP($A202,'OI(Value)'!$A$7:$O$329,12,0)</f>
        <v>-619</v>
      </c>
    </row>
    <row r="203" spans="1:15" x14ac:dyDescent="0.25">
      <c r="A203" s="105" t="str">
        <f>'Data Vlaue (Cr)'!C198</f>
        <v>TIINDIA</v>
      </c>
      <c r="B203" s="143">
        <f>VLOOKUP($A203,'Data shares'!$C:$FA,118)</f>
        <v>0.79</v>
      </c>
      <c r="C203" s="143">
        <f>VLOOKUP($A203,'Data shares'!$C:$FA,119)</f>
        <v>0.61</v>
      </c>
      <c r="D203" s="143">
        <f>VLOOKUP($A203,'Data shares'!$C:$FA,121)*100</f>
        <v>29.509999999999998</v>
      </c>
      <c r="E203" s="143">
        <f>VLOOKUP($A203,'Data shares'!$C:$FA,124)</f>
        <v>0.33</v>
      </c>
      <c r="F203" s="143">
        <f>VLOOKUP($A203,'Data shares'!$C:$FA,125)</f>
        <v>0.32</v>
      </c>
      <c r="G203" s="143">
        <f>VLOOKUP($A203,'Data shares'!$C:$FA,127)*100</f>
        <v>3.1300000000000003</v>
      </c>
      <c r="H203" s="103">
        <f>VLOOKUP($A203,'OI(Volume)'!$A$7:$O$445,8)</f>
        <v>130000</v>
      </c>
      <c r="I203" s="103">
        <f>VLOOKUP($A203,'OI(Volume)'!$A$7:$O$445,9)</f>
        <v>-591000</v>
      </c>
      <c r="J203" s="103">
        <f>VLOOKUP($A203,'OI(Volume)'!$A$7:$O$445,11)</f>
        <v>102600</v>
      </c>
      <c r="K203" s="103">
        <f>VLOOKUP($A203,'OI(Volume)'!$A$7:$O$445,12)</f>
        <v>-338400</v>
      </c>
      <c r="L203" s="103">
        <f>VLOOKUP($A203,'OI(Value)'!$A$7:$O$329,8,0)</f>
        <v>40</v>
      </c>
      <c r="M203" s="103">
        <f>VLOOKUP($A203,'OI(Value)'!$A$7:$O$329,9,0)</f>
        <v>-180</v>
      </c>
      <c r="N203" s="103">
        <f>VLOOKUP($A203,'OI(Value)'!$A$7:$O$329,11,0)</f>
        <v>31</v>
      </c>
      <c r="O203" s="103">
        <f>VLOOKUP($A203,'OI(Value)'!$A$7:$O$329,12,0)</f>
        <v>-103</v>
      </c>
    </row>
    <row r="204" spans="1:15" x14ac:dyDescent="0.25">
      <c r="A204" s="105" t="str">
        <f>'Data Vlaue (Cr)'!C199</f>
        <v>TITAN</v>
      </c>
      <c r="B204" s="143">
        <f>VLOOKUP($A204,'Data shares'!$C:$FA,118)</f>
        <v>0.76</v>
      </c>
      <c r="C204" s="143">
        <f>VLOOKUP($A204,'Data shares'!$C:$FA,119)</f>
        <v>0.56999999999999995</v>
      </c>
      <c r="D204" s="143">
        <f>VLOOKUP($A204,'Data shares'!$C:$FA,121)*100</f>
        <v>33.33</v>
      </c>
      <c r="E204" s="143">
        <f>VLOOKUP($A204,'Data shares'!$C:$FA,124)</f>
        <v>0.55000000000000004</v>
      </c>
      <c r="F204" s="143">
        <f>VLOOKUP($A204,'Data shares'!$C:$FA,125)</f>
        <v>0.48</v>
      </c>
      <c r="G204" s="143">
        <f>VLOOKUP($A204,'Data shares'!$C:$FA,127)*100</f>
        <v>14.580000000000002</v>
      </c>
      <c r="H204" s="103">
        <f>VLOOKUP($A204,'OI(Volume)'!$A$7:$O$445,8)</f>
        <v>1330000</v>
      </c>
      <c r="I204" s="103">
        <f>VLOOKUP($A204,'OI(Volume)'!$A$7:$O$445,9)</f>
        <v>-3914750</v>
      </c>
      <c r="J204" s="103">
        <f>VLOOKUP($A204,'OI(Volume)'!$A$7:$O$445,11)</f>
        <v>1011150</v>
      </c>
      <c r="K204" s="103">
        <f>VLOOKUP($A204,'OI(Volume)'!$A$7:$O$445,12)</f>
        <v>-1999550</v>
      </c>
      <c r="L204" s="103">
        <f>VLOOKUP($A204,'OI(Value)'!$A$7:$O$329,8,0)</f>
        <v>550</v>
      </c>
      <c r="M204" s="103">
        <f>VLOOKUP($A204,'OI(Value)'!$A$7:$O$329,9,0)</f>
        <v>-1618</v>
      </c>
      <c r="N204" s="103">
        <f>VLOOKUP($A204,'OI(Value)'!$A$7:$O$329,11,0)</f>
        <v>418</v>
      </c>
      <c r="O204" s="103">
        <f>VLOOKUP($A204,'OI(Value)'!$A$7:$O$329,12,0)</f>
        <v>-826</v>
      </c>
    </row>
    <row r="205" spans="1:15" x14ac:dyDescent="0.25">
      <c r="A205" s="105" t="str">
        <f>'Data Vlaue (Cr)'!C200</f>
        <v>TMPV</v>
      </c>
      <c r="B205" s="143">
        <f>VLOOKUP($A205,'Data shares'!$C:$FA,118)</f>
        <v>0.78</v>
      </c>
      <c r="C205" s="143">
        <f>VLOOKUP($A205,'Data shares'!$C:$FA,119)</f>
        <v>0.65</v>
      </c>
      <c r="D205" s="143">
        <f>VLOOKUP($A205,'Data shares'!$C:$FA,121)*100</f>
        <v>20</v>
      </c>
      <c r="E205" s="143">
        <f>VLOOKUP($A205,'Data shares'!$C:$FA,124)</f>
        <v>0.32</v>
      </c>
      <c r="F205" s="143">
        <f>VLOOKUP($A205,'Data shares'!$C:$FA,125)</f>
        <v>0.41</v>
      </c>
      <c r="G205" s="143">
        <f>VLOOKUP($A205,'Data shares'!$C:$FA,127)*100</f>
        <v>-21.95</v>
      </c>
      <c r="H205" s="103">
        <f>VLOOKUP($A205,'OI(Volume)'!$A$7:$O$445,8)</f>
        <v>14167200</v>
      </c>
      <c r="I205" s="103">
        <f>VLOOKUP($A205,'OI(Volume)'!$A$7:$O$445,9)</f>
        <v>-32819200</v>
      </c>
      <c r="J205" s="103">
        <f>VLOOKUP($A205,'OI(Volume)'!$A$7:$O$445,11)</f>
        <v>11083200</v>
      </c>
      <c r="K205" s="103">
        <f>VLOOKUP($A205,'OI(Volume)'!$A$7:$O$445,12)</f>
        <v>-19464800</v>
      </c>
      <c r="L205" s="103">
        <f>VLOOKUP($A205,'OI(Value)'!$A$7:$O$329,8,0)</f>
        <v>546</v>
      </c>
      <c r="M205" s="103">
        <f>VLOOKUP($A205,'OI(Value)'!$A$7:$O$329,9,0)</f>
        <v>-1265</v>
      </c>
      <c r="N205" s="103">
        <f>VLOOKUP($A205,'OI(Value)'!$A$7:$O$329,11,0)</f>
        <v>427</v>
      </c>
      <c r="O205" s="103">
        <f>VLOOKUP($A205,'OI(Value)'!$A$7:$O$329,12,0)</f>
        <v>-750</v>
      </c>
    </row>
    <row r="206" spans="1:15" x14ac:dyDescent="0.25">
      <c r="A206" s="105" t="str">
        <f>'Data Vlaue (Cr)'!C201</f>
        <v>TORNTPHARM</v>
      </c>
      <c r="B206" s="143">
        <f>VLOOKUP($A206,'Data shares'!$C:$FA,118)</f>
        <v>0.53</v>
      </c>
      <c r="C206" s="143">
        <f>VLOOKUP($A206,'Data shares'!$C:$FA,119)</f>
        <v>0.76</v>
      </c>
      <c r="D206" s="143">
        <f>VLOOKUP($A206,'Data shares'!$C:$FA,121)*100</f>
        <v>-30.259999999999998</v>
      </c>
      <c r="E206" s="143">
        <f>VLOOKUP($A206,'Data shares'!$C:$FA,124)</f>
        <v>0.88</v>
      </c>
      <c r="F206" s="143">
        <f>VLOOKUP($A206,'Data shares'!$C:$FA,125)</f>
        <v>0.42</v>
      </c>
      <c r="G206" s="143">
        <f>VLOOKUP($A206,'Data shares'!$C:$FA,127)*100</f>
        <v>109.52</v>
      </c>
      <c r="H206" s="103">
        <f>VLOOKUP($A206,'OI(Volume)'!$A$7:$O$445,8)</f>
        <v>520375</v>
      </c>
      <c r="I206" s="103">
        <f>VLOOKUP($A206,'OI(Volume)'!$A$7:$O$445,9)</f>
        <v>-398875</v>
      </c>
      <c r="J206" s="103">
        <f>VLOOKUP($A206,'OI(Volume)'!$A$7:$O$445,11)</f>
        <v>275000</v>
      </c>
      <c r="K206" s="103">
        <f>VLOOKUP($A206,'OI(Volume)'!$A$7:$O$445,12)</f>
        <v>-427125</v>
      </c>
      <c r="L206" s="103">
        <f>VLOOKUP($A206,'OI(Value)'!$A$7:$O$329,8,0)</f>
        <v>232</v>
      </c>
      <c r="M206" s="103">
        <f>VLOOKUP($A206,'OI(Value)'!$A$7:$O$329,9,0)</f>
        <v>-178</v>
      </c>
      <c r="N206" s="103">
        <f>VLOOKUP($A206,'OI(Value)'!$A$7:$O$329,11,0)</f>
        <v>123</v>
      </c>
      <c r="O206" s="103">
        <f>VLOOKUP($A206,'OI(Value)'!$A$7:$O$329,12,0)</f>
        <v>-190</v>
      </c>
    </row>
    <row r="207" spans="1:15" x14ac:dyDescent="0.25">
      <c r="A207" s="105" t="str">
        <f>'Data Vlaue (Cr)'!C202</f>
        <v>TRENT</v>
      </c>
      <c r="B207" s="143">
        <f>VLOOKUP($A207,'Data shares'!$C:$FA,118)</f>
        <v>0.63</v>
      </c>
      <c r="C207" s="143">
        <f>VLOOKUP($A207,'Data shares'!$C:$FA,119)</f>
        <v>0.52</v>
      </c>
      <c r="D207" s="143">
        <f>VLOOKUP($A207,'Data shares'!$C:$FA,121)*100</f>
        <v>21.15</v>
      </c>
      <c r="E207" s="143">
        <f>VLOOKUP($A207,'Data shares'!$C:$FA,124)</f>
        <v>0.52</v>
      </c>
      <c r="F207" s="143">
        <f>VLOOKUP($A207,'Data shares'!$C:$FA,125)</f>
        <v>0.4</v>
      </c>
      <c r="G207" s="143">
        <f>VLOOKUP($A207,'Data shares'!$C:$FA,127)*100</f>
        <v>30</v>
      </c>
      <c r="H207" s="103">
        <f>VLOOKUP($A207,'OI(Volume)'!$A$7:$O$445,8)</f>
        <v>0</v>
      </c>
      <c r="I207" s="103">
        <f>VLOOKUP($A207,'OI(Volume)'!$A$7:$O$445,9)</f>
        <v>0</v>
      </c>
      <c r="J207" s="103">
        <f>VLOOKUP($A207,'OI(Volume)'!$A$7:$O$445,11)</f>
        <v>0</v>
      </c>
      <c r="K207" s="103">
        <f>VLOOKUP($A207,'OI(Volume)'!$A$7:$O$445,12)</f>
        <v>0</v>
      </c>
      <c r="L207" s="103">
        <f>VLOOKUP($A207,'OI(Value)'!$A$7:$O$329,8,0)</f>
        <v>422</v>
      </c>
      <c r="M207" s="103">
        <f>VLOOKUP($A207,'OI(Value)'!$A$7:$O$329,9,0)</f>
        <v>-838</v>
      </c>
      <c r="N207" s="103">
        <f>VLOOKUP($A207,'OI(Value)'!$A$7:$O$329,11,0)</f>
        <v>268</v>
      </c>
      <c r="O207" s="103">
        <f>VLOOKUP($A207,'OI(Value)'!$A$7:$O$329,12,0)</f>
        <v>-386</v>
      </c>
    </row>
    <row r="208" spans="1:15" x14ac:dyDescent="0.25">
      <c r="A208" s="105" t="str">
        <f>'Data Vlaue (Cr)'!C203</f>
        <v>TVSMOTOR</v>
      </c>
      <c r="B208" s="143">
        <f>VLOOKUP($A208,'Data shares'!$C:$FA,118)</f>
        <v>1.04</v>
      </c>
      <c r="C208" s="143">
        <f>VLOOKUP($A208,'Data shares'!$C:$FA,119)</f>
        <v>0.72</v>
      </c>
      <c r="D208" s="143">
        <f>VLOOKUP($A208,'Data shares'!$C:$FA,121)*100</f>
        <v>44.440000000000005</v>
      </c>
      <c r="E208" s="143">
        <f>VLOOKUP($A208,'Data shares'!$C:$FA,124)</f>
        <v>0.98</v>
      </c>
      <c r="F208" s="143">
        <f>VLOOKUP($A208,'Data shares'!$C:$FA,125)</f>
        <v>0.43</v>
      </c>
      <c r="G208" s="143">
        <f>VLOOKUP($A208,'Data shares'!$C:$FA,127)*100</f>
        <v>127.91</v>
      </c>
      <c r="H208" s="103">
        <f>VLOOKUP($A208,'OI(Volume)'!$A$7:$O$445,8)</f>
        <v>0</v>
      </c>
      <c r="I208" s="103">
        <f>VLOOKUP($A208,'OI(Volume)'!$A$7:$O$445,9)</f>
        <v>0</v>
      </c>
      <c r="J208" s="103">
        <f>VLOOKUP($A208,'OI(Volume)'!$A$7:$O$445,11)</f>
        <v>0</v>
      </c>
      <c r="K208" s="103">
        <f>VLOOKUP($A208,'OI(Volume)'!$A$7:$O$445,12)</f>
        <v>0</v>
      </c>
      <c r="L208" s="103">
        <f>VLOOKUP($A208,'OI(Value)'!$A$7:$O$329,8,0)</f>
        <v>214</v>
      </c>
      <c r="M208" s="103">
        <f>VLOOKUP($A208,'OI(Value)'!$A$7:$O$329,9,0)</f>
        <v>-627</v>
      </c>
      <c r="N208" s="103">
        <f>VLOOKUP($A208,'OI(Value)'!$A$7:$O$329,11,0)</f>
        <v>223</v>
      </c>
      <c r="O208" s="103">
        <f>VLOOKUP($A208,'OI(Value)'!$A$7:$O$329,12,0)</f>
        <v>-386</v>
      </c>
    </row>
    <row r="209" spans="1:15" x14ac:dyDescent="0.25">
      <c r="A209" s="105" t="str">
        <f>'Data Vlaue (Cr)'!C204</f>
        <v>ULTRACEMCO</v>
      </c>
      <c r="B209" s="143">
        <f>VLOOKUP($A209,'Data shares'!$C:$FA,118)</f>
        <v>0.76</v>
      </c>
      <c r="C209" s="143">
        <f>VLOOKUP($A209,'Data shares'!$C:$FA,119)</f>
        <v>0.48</v>
      </c>
      <c r="D209" s="143">
        <f>VLOOKUP($A209,'Data shares'!$C:$FA,121)*100</f>
        <v>58.330000000000005</v>
      </c>
      <c r="E209" s="143">
        <f>VLOOKUP($A209,'Data shares'!$C:$FA,124)</f>
        <v>0.44</v>
      </c>
      <c r="F209" s="143">
        <f>VLOOKUP($A209,'Data shares'!$C:$FA,125)</f>
        <v>0.4</v>
      </c>
      <c r="G209" s="143">
        <f>VLOOKUP($A209,'Data shares'!$C:$FA,127)*100</f>
        <v>10</v>
      </c>
      <c r="H209" s="103">
        <f>VLOOKUP($A209,'OI(Volume)'!$A$7:$O$445,8)</f>
        <v>0</v>
      </c>
      <c r="I209" s="103">
        <f>VLOOKUP($A209,'OI(Volume)'!$A$7:$O$445,9)</f>
        <v>0</v>
      </c>
      <c r="J209" s="103">
        <f>VLOOKUP($A209,'OI(Volume)'!$A$7:$O$445,11)</f>
        <v>0</v>
      </c>
      <c r="K209" s="103">
        <f>VLOOKUP($A209,'OI(Volume)'!$A$7:$O$445,12)</f>
        <v>0</v>
      </c>
      <c r="L209" s="103">
        <f>VLOOKUP($A209,'OI(Value)'!$A$7:$O$329,8,0)</f>
        <v>194</v>
      </c>
      <c r="M209" s="103">
        <f>VLOOKUP($A209,'OI(Value)'!$A$7:$O$329,9,0)</f>
        <v>-1040</v>
      </c>
      <c r="N209" s="103">
        <f>VLOOKUP($A209,'OI(Value)'!$A$7:$O$329,11,0)</f>
        <v>147</v>
      </c>
      <c r="O209" s="103">
        <f>VLOOKUP($A209,'OI(Value)'!$A$7:$O$329,12,0)</f>
        <v>-441</v>
      </c>
    </row>
    <row r="210" spans="1:15" x14ac:dyDescent="0.25">
      <c r="A210" s="105" t="str">
        <f>'Data Vlaue (Cr)'!C205</f>
        <v>UNIONBANK</v>
      </c>
      <c r="B210" s="143">
        <f>VLOOKUP($A210,'Data shares'!$C:$FA,118)</f>
        <v>0.79</v>
      </c>
      <c r="C210" s="143">
        <f>VLOOKUP($A210,'Data shares'!$C:$FA,119)</f>
        <v>0.59</v>
      </c>
      <c r="D210" s="143">
        <f>VLOOKUP($A210,'Data shares'!$C:$FA,121)*100</f>
        <v>33.900000000000006</v>
      </c>
      <c r="E210" s="143">
        <f>VLOOKUP($A210,'Data shares'!$C:$FA,124)</f>
        <v>0.35</v>
      </c>
      <c r="F210" s="143">
        <f>VLOOKUP($A210,'Data shares'!$C:$FA,125)</f>
        <v>0.34</v>
      </c>
      <c r="G210" s="143">
        <f>VLOOKUP($A210,'Data shares'!$C:$FA,127)*100</f>
        <v>2.94</v>
      </c>
      <c r="H210" s="103">
        <f>VLOOKUP($A210,'OI(Volume)'!$A$7:$O$445,8)</f>
        <v>0</v>
      </c>
      <c r="I210" s="103">
        <f>VLOOKUP($A210,'OI(Volume)'!$A$7:$O$445,9)</f>
        <v>0</v>
      </c>
      <c r="J210" s="103">
        <f>VLOOKUP($A210,'OI(Volume)'!$A$7:$O$445,11)</f>
        <v>0</v>
      </c>
      <c r="K210" s="103">
        <f>VLOOKUP($A210,'OI(Volume)'!$A$7:$O$445,12)</f>
        <v>0</v>
      </c>
      <c r="L210" s="103">
        <f>VLOOKUP($A210,'OI(Value)'!$A$7:$O$329,8,0)</f>
        <v>315</v>
      </c>
      <c r="M210" s="103">
        <f>VLOOKUP($A210,'OI(Value)'!$A$7:$O$329,9,0)</f>
        <v>-554</v>
      </c>
      <c r="N210" s="103">
        <f>VLOOKUP($A210,'OI(Value)'!$A$7:$O$329,11,0)</f>
        <v>249</v>
      </c>
      <c r="O210" s="103">
        <f>VLOOKUP($A210,'OI(Value)'!$A$7:$O$329,12,0)</f>
        <v>-260</v>
      </c>
    </row>
    <row r="211" spans="1:15" x14ac:dyDescent="0.25">
      <c r="A211" s="105" t="str">
        <f>'Data Vlaue (Cr)'!C206</f>
        <v>UNITDSPR</v>
      </c>
      <c r="B211" s="143">
        <f>VLOOKUP($A211,'Data shares'!$C:$FA,118)</f>
        <v>0.89</v>
      </c>
      <c r="C211" s="143">
        <f>VLOOKUP($A211,'Data shares'!$C:$FA,119)</f>
        <v>0.81</v>
      </c>
      <c r="D211" s="143">
        <f>VLOOKUP($A211,'Data shares'!$C:$FA,121)*100</f>
        <v>9.879999999999999</v>
      </c>
      <c r="E211" s="143">
        <f>VLOOKUP($A211,'Data shares'!$C:$FA,124)</f>
        <v>0.85</v>
      </c>
      <c r="F211" s="143">
        <f>VLOOKUP($A211,'Data shares'!$C:$FA,125)</f>
        <v>0.76</v>
      </c>
      <c r="G211" s="143">
        <f>VLOOKUP($A211,'Data shares'!$C:$FA,127)*100</f>
        <v>11.84</v>
      </c>
      <c r="H211" s="103">
        <f>VLOOKUP($A211,'OI(Volume)'!$A$7:$O$445,8)</f>
        <v>0</v>
      </c>
      <c r="I211" s="103">
        <f>VLOOKUP($A211,'OI(Volume)'!$A$7:$O$445,9)</f>
        <v>0</v>
      </c>
      <c r="J211" s="103">
        <f>VLOOKUP($A211,'OI(Volume)'!$A$7:$O$445,11)</f>
        <v>0</v>
      </c>
      <c r="K211" s="103">
        <f>VLOOKUP($A211,'OI(Volume)'!$A$7:$O$445,12)</f>
        <v>0</v>
      </c>
      <c r="L211" s="103">
        <f>VLOOKUP($A211,'OI(Value)'!$A$7:$O$329,8,0)</f>
        <v>205</v>
      </c>
      <c r="M211" s="103">
        <f>VLOOKUP($A211,'OI(Value)'!$A$7:$O$329,9,0)</f>
        <v>-304</v>
      </c>
      <c r="N211" s="103">
        <f>VLOOKUP($A211,'OI(Value)'!$A$7:$O$329,11,0)</f>
        <v>182</v>
      </c>
      <c r="O211" s="103">
        <f>VLOOKUP($A211,'OI(Value)'!$A$7:$O$329,12,0)</f>
        <v>-230</v>
      </c>
    </row>
    <row r="212" spans="1:15" x14ac:dyDescent="0.25">
      <c r="A212" s="105" t="str">
        <f>'Data Vlaue (Cr)'!C207</f>
        <v>UNOMINDA</v>
      </c>
      <c r="B212" s="143">
        <f>VLOOKUP($A212,'Data shares'!$C:$FA,118)</f>
        <v>0.85</v>
      </c>
      <c r="C212" s="143">
        <f>VLOOKUP($A212,'Data shares'!$C:$FA,119)</f>
        <v>0.66</v>
      </c>
      <c r="D212" s="143">
        <f>VLOOKUP($A212,'Data shares'!$C:$FA,121)*100</f>
        <v>28.79</v>
      </c>
      <c r="E212" s="143">
        <f>VLOOKUP($A212,'Data shares'!$C:$FA,124)</f>
        <v>0.23</v>
      </c>
      <c r="F212" s="143">
        <f>VLOOKUP($A212,'Data shares'!$C:$FA,125)</f>
        <v>0.32</v>
      </c>
      <c r="G212" s="143">
        <f>VLOOKUP($A212,'Data shares'!$C:$FA,127)*100</f>
        <v>-28.13</v>
      </c>
      <c r="H212" s="103">
        <f>VLOOKUP($A212,'OI(Volume)'!$A$7:$O$445,8)</f>
        <v>0</v>
      </c>
      <c r="I212" s="103">
        <f>VLOOKUP($A212,'OI(Volume)'!$A$7:$O$445,9)</f>
        <v>0</v>
      </c>
      <c r="J212" s="103">
        <f>VLOOKUP($A212,'OI(Volume)'!$A$7:$O$445,11)</f>
        <v>0</v>
      </c>
      <c r="K212" s="103">
        <f>VLOOKUP($A212,'OI(Volume)'!$A$7:$O$445,12)</f>
        <v>0</v>
      </c>
      <c r="L212" s="103">
        <f>VLOOKUP($A212,'OI(Value)'!$A$7:$O$329,8,0)</f>
        <v>31</v>
      </c>
      <c r="M212" s="103">
        <f>VLOOKUP($A212,'OI(Value)'!$A$7:$O$329,9,0)</f>
        <v>-235</v>
      </c>
      <c r="N212" s="103">
        <f>VLOOKUP($A212,'OI(Value)'!$A$7:$O$329,11,0)</f>
        <v>27</v>
      </c>
      <c r="O212" s="103">
        <f>VLOOKUP($A212,'OI(Value)'!$A$7:$O$329,12,0)</f>
        <v>-148</v>
      </c>
    </row>
    <row r="213" spans="1:15" x14ac:dyDescent="0.25">
      <c r="A213" s="105" t="str">
        <f>'Data Vlaue (Cr)'!C208</f>
        <v>UPL</v>
      </c>
      <c r="B213" s="143">
        <f>VLOOKUP($A213,'Data shares'!$C:$FA,118)</f>
        <v>0.88</v>
      </c>
      <c r="C213" s="143">
        <f>VLOOKUP($A213,'Data shares'!$C:$FA,119)</f>
        <v>0.68</v>
      </c>
      <c r="D213" s="143">
        <f>VLOOKUP($A213,'Data shares'!$C:$FA,121)*100</f>
        <v>29.409999999999997</v>
      </c>
      <c r="E213" s="143">
        <f>VLOOKUP($A213,'Data shares'!$C:$FA,124)</f>
        <v>0.5</v>
      </c>
      <c r="F213" s="143">
        <f>VLOOKUP($A213,'Data shares'!$C:$FA,125)</f>
        <v>0.46</v>
      </c>
      <c r="G213" s="143">
        <f>VLOOKUP($A213,'Data shares'!$C:$FA,127)*100</f>
        <v>8.6999999999999993</v>
      </c>
      <c r="H213" s="103">
        <f>VLOOKUP($A213,'OI(Volume)'!$A$7:$O$445,8)</f>
        <v>0</v>
      </c>
      <c r="I213" s="103">
        <f>VLOOKUP($A213,'OI(Volume)'!$A$7:$O$445,9)</f>
        <v>0</v>
      </c>
      <c r="J213" s="103">
        <f>VLOOKUP($A213,'OI(Volume)'!$A$7:$O$445,11)</f>
        <v>0</v>
      </c>
      <c r="K213" s="103">
        <f>VLOOKUP($A213,'OI(Volume)'!$A$7:$O$445,12)</f>
        <v>0</v>
      </c>
      <c r="L213" s="103">
        <f>VLOOKUP($A213,'OI(Value)'!$A$7:$O$329,8,0)</f>
        <v>214</v>
      </c>
      <c r="M213" s="103">
        <f>VLOOKUP($A213,'OI(Value)'!$A$7:$O$329,9,0)</f>
        <v>-407</v>
      </c>
      <c r="N213" s="103">
        <f>VLOOKUP($A213,'OI(Value)'!$A$7:$O$329,11,0)</f>
        <v>188</v>
      </c>
      <c r="O213" s="103">
        <f>VLOOKUP($A213,'OI(Value)'!$A$7:$O$329,12,0)</f>
        <v>-232</v>
      </c>
    </row>
    <row r="214" spans="1:15" x14ac:dyDescent="0.25">
      <c r="A214" s="105" t="str">
        <f>'Data Vlaue (Cr)'!C209</f>
        <v>VBL</v>
      </c>
      <c r="B214" s="143">
        <f>VLOOKUP($A214,'Data shares'!$C:$FA,118)</f>
        <v>0.49</v>
      </c>
      <c r="C214" s="143">
        <f>VLOOKUP($A214,'Data shares'!$C:$FA,119)</f>
        <v>0.59</v>
      </c>
      <c r="D214" s="143">
        <f>VLOOKUP($A214,'Data shares'!$C:$FA,121)*100</f>
        <v>-16.950000000000003</v>
      </c>
      <c r="E214" s="143">
        <f>VLOOKUP($A214,'Data shares'!$C:$FA,124)</f>
        <v>0.61</v>
      </c>
      <c r="F214" s="143">
        <f>VLOOKUP($A214,'Data shares'!$C:$FA,125)</f>
        <v>0.62</v>
      </c>
      <c r="G214" s="143">
        <f>VLOOKUP($A214,'Data shares'!$C:$FA,127)*100</f>
        <v>-1.6099999999999999</v>
      </c>
      <c r="H214" s="103">
        <f>VLOOKUP($A214,'OI(Volume)'!$A$7:$O$445,8)</f>
        <v>0</v>
      </c>
      <c r="I214" s="103">
        <f>VLOOKUP($A214,'OI(Volume)'!$A$7:$O$445,9)</f>
        <v>0</v>
      </c>
      <c r="J214" s="103">
        <f>VLOOKUP($A214,'OI(Volume)'!$A$7:$O$445,11)</f>
        <v>0</v>
      </c>
      <c r="K214" s="103">
        <f>VLOOKUP($A214,'OI(Volume)'!$A$7:$O$445,12)</f>
        <v>0</v>
      </c>
      <c r="L214" s="103">
        <f>VLOOKUP($A214,'OI(Value)'!$A$7:$O$329,8,0)</f>
        <v>318</v>
      </c>
      <c r="M214" s="103">
        <f>VLOOKUP($A214,'OI(Value)'!$A$7:$O$329,9,0)</f>
        <v>-420</v>
      </c>
      <c r="N214" s="103">
        <f>VLOOKUP($A214,'OI(Value)'!$A$7:$O$329,11,0)</f>
        <v>154</v>
      </c>
      <c r="O214" s="103">
        <f>VLOOKUP($A214,'OI(Value)'!$A$7:$O$329,12,0)</f>
        <v>-278</v>
      </c>
    </row>
    <row r="215" spans="1:15" x14ac:dyDescent="0.25">
      <c r="A215" s="105" t="str">
        <f>'Data Vlaue (Cr)'!C210</f>
        <v>VEDL</v>
      </c>
      <c r="B215" s="143">
        <f>VLOOKUP($A215,'Data shares'!$C:$FA,118)</f>
        <v>0.64</v>
      </c>
      <c r="C215" s="143">
        <f>VLOOKUP($A215,'Data shares'!$C:$FA,119)</f>
        <v>0.77</v>
      </c>
      <c r="D215" s="143">
        <f>VLOOKUP($A215,'Data shares'!$C:$FA,121)*100</f>
        <v>-16.88</v>
      </c>
      <c r="E215" s="143">
        <f>VLOOKUP($A215,'Data shares'!$C:$FA,124)</f>
        <v>0.39</v>
      </c>
      <c r="F215" s="143">
        <f>VLOOKUP($A215,'Data shares'!$C:$FA,125)</f>
        <v>0.56000000000000005</v>
      </c>
      <c r="G215" s="143">
        <f>VLOOKUP($A215,'Data shares'!$C:$FA,127)*100</f>
        <v>-30.36</v>
      </c>
      <c r="H215" s="103">
        <f>VLOOKUP($A215,'OI(Volume)'!$A$7:$O$445,8)</f>
        <v>0</v>
      </c>
      <c r="I215" s="103">
        <f>VLOOKUP($A215,'OI(Volume)'!$A$7:$O$445,9)</f>
        <v>0</v>
      </c>
      <c r="J215" s="103">
        <f>VLOOKUP($A215,'OI(Volume)'!$A$7:$O$445,11)</f>
        <v>0</v>
      </c>
      <c r="K215" s="103">
        <f>VLOOKUP($A215,'OI(Volume)'!$A$7:$O$445,12)</f>
        <v>0</v>
      </c>
      <c r="L215" s="103">
        <f>VLOOKUP($A215,'OI(Value)'!$A$7:$O$329,8,0)</f>
        <v>590</v>
      </c>
      <c r="M215" s="103">
        <f>VLOOKUP($A215,'OI(Value)'!$A$7:$O$329,9,0)</f>
        <v>-652</v>
      </c>
      <c r="N215" s="103">
        <f>VLOOKUP($A215,'OI(Value)'!$A$7:$O$329,11,0)</f>
        <v>375</v>
      </c>
      <c r="O215" s="103">
        <f>VLOOKUP($A215,'OI(Value)'!$A$7:$O$329,12,0)</f>
        <v>-587</v>
      </c>
    </row>
    <row r="216" spans="1:15" x14ac:dyDescent="0.25">
      <c r="A216" s="105" t="str">
        <f>'Data Vlaue (Cr)'!C211</f>
        <v>VMM</v>
      </c>
      <c r="B216" s="143">
        <f>VLOOKUP($A216,'Data shares'!$C:$FA,118)</f>
        <v>1.71</v>
      </c>
      <c r="C216" s="143">
        <f>VLOOKUP($A216,'Data shares'!$C:$FA,119)</f>
        <v>0.69</v>
      </c>
      <c r="D216" s="143">
        <f>VLOOKUP($A216,'Data shares'!$C:$FA,121)*100</f>
        <v>147.82999999999998</v>
      </c>
      <c r="E216" s="143">
        <f>VLOOKUP($A216,'Data shares'!$C:$FA,124)</f>
        <v>0.37</v>
      </c>
      <c r="F216" s="143">
        <f>VLOOKUP($A216,'Data shares'!$C:$FA,125)</f>
        <v>0.28999999999999998</v>
      </c>
      <c r="G216" s="143">
        <f>VLOOKUP($A216,'Data shares'!$C:$FA,127)*100</f>
        <v>27.589999999999996</v>
      </c>
      <c r="H216" s="103">
        <f>VLOOKUP($A216,'OI(Volume)'!$A$7:$O$445,8)</f>
        <v>0</v>
      </c>
      <c r="I216" s="103">
        <f>VLOOKUP($A216,'OI(Volume)'!$A$7:$O$445,9)</f>
        <v>0</v>
      </c>
      <c r="J216" s="103">
        <f>VLOOKUP($A216,'OI(Volume)'!$A$7:$O$445,11)</f>
        <v>0</v>
      </c>
      <c r="K216" s="103">
        <f>VLOOKUP($A216,'OI(Volume)'!$A$7:$O$445,12)</f>
        <v>0</v>
      </c>
      <c r="L216" s="103">
        <f>VLOOKUP($A216,'OI(Value)'!$A$7:$O$329,8,0)</f>
        <v>14</v>
      </c>
      <c r="M216" s="103">
        <f>VLOOKUP($A216,'OI(Value)'!$A$7:$O$329,9,0)</f>
        <v>-88</v>
      </c>
      <c r="N216" s="103">
        <f>VLOOKUP($A216,'OI(Value)'!$A$7:$O$329,11,0)</f>
        <v>23</v>
      </c>
      <c r="O216" s="103">
        <f>VLOOKUP($A216,'OI(Value)'!$A$7:$O$329,12,0)</f>
        <v>-46</v>
      </c>
    </row>
    <row r="217" spans="1:15" x14ac:dyDescent="0.25">
      <c r="A217" s="105" t="str">
        <f>'Data Vlaue (Cr)'!C212</f>
        <v>VOLTAS</v>
      </c>
      <c r="B217" s="143">
        <f>VLOOKUP($A217,'Data shares'!$C:$FA,118)</f>
        <v>0.78</v>
      </c>
      <c r="C217" s="143">
        <f>VLOOKUP($A217,'Data shares'!$C:$FA,119)</f>
        <v>0.65</v>
      </c>
      <c r="D217" s="143">
        <f>VLOOKUP($A217,'Data shares'!$C:$FA,121)*100</f>
        <v>20</v>
      </c>
      <c r="E217" s="143">
        <f>VLOOKUP($A217,'Data shares'!$C:$FA,124)</f>
        <v>0.54</v>
      </c>
      <c r="F217" s="143">
        <f>VLOOKUP($A217,'Data shares'!$C:$FA,125)</f>
        <v>0.43</v>
      </c>
      <c r="G217" s="143">
        <f>VLOOKUP($A217,'Data shares'!$C:$FA,127)*100</f>
        <v>25.580000000000002</v>
      </c>
      <c r="H217" s="103">
        <f>VLOOKUP($A217,'OI(Volume)'!$A$7:$O$445,8)</f>
        <v>0</v>
      </c>
      <c r="I217" s="103">
        <f>VLOOKUP($A217,'OI(Volume)'!$A$7:$O$445,9)</f>
        <v>0</v>
      </c>
      <c r="J217" s="103">
        <f>VLOOKUP($A217,'OI(Volume)'!$A$7:$O$445,11)</f>
        <v>0</v>
      </c>
      <c r="K217" s="103">
        <f>VLOOKUP($A217,'OI(Volume)'!$A$7:$O$445,12)</f>
        <v>0</v>
      </c>
      <c r="L217" s="103">
        <f>VLOOKUP($A217,'OI(Value)'!$A$7:$O$329,8,0)</f>
        <v>287</v>
      </c>
      <c r="M217" s="103">
        <f>VLOOKUP($A217,'OI(Value)'!$A$7:$O$329,9,0)</f>
        <v>-526</v>
      </c>
      <c r="N217" s="103">
        <f>VLOOKUP($A217,'OI(Value)'!$A$7:$O$329,11,0)</f>
        <v>223</v>
      </c>
      <c r="O217" s="103">
        <f>VLOOKUP($A217,'OI(Value)'!$A$7:$O$329,12,0)</f>
        <v>-309</v>
      </c>
    </row>
    <row r="218" spans="1:15" x14ac:dyDescent="0.25">
      <c r="A218" s="105" t="str">
        <f>'Data Vlaue (Cr)'!C213</f>
        <v>WAAREEENER</v>
      </c>
      <c r="B218" s="143">
        <f>VLOOKUP($A218,'Data shares'!$C:$FA,118)</f>
        <v>0.7</v>
      </c>
      <c r="C218" s="143">
        <f>VLOOKUP($A218,'Data shares'!$C:$FA,119)</f>
        <v>0.44</v>
      </c>
      <c r="D218" s="143">
        <f>VLOOKUP($A218,'Data shares'!$C:$FA,121)*100</f>
        <v>59.089999999999996</v>
      </c>
      <c r="E218" s="143">
        <f>VLOOKUP($A218,'Data shares'!$C:$FA,124)</f>
        <v>0.33</v>
      </c>
      <c r="F218" s="143">
        <f>VLOOKUP($A218,'Data shares'!$C:$FA,125)</f>
        <v>0.25</v>
      </c>
      <c r="G218" s="143">
        <f>VLOOKUP($A218,'Data shares'!$C:$FA,127)*100</f>
        <v>32</v>
      </c>
      <c r="H218" s="103">
        <f>VLOOKUP($A218,'OI(Volume)'!$A$7:$O$445,8)</f>
        <v>0</v>
      </c>
      <c r="I218" s="103">
        <f>VLOOKUP($A218,'OI(Volume)'!$A$7:$O$445,9)</f>
        <v>0</v>
      </c>
      <c r="J218" s="103">
        <f>VLOOKUP($A218,'OI(Volume)'!$A$7:$O$445,11)</f>
        <v>0</v>
      </c>
      <c r="K218" s="103">
        <f>VLOOKUP($A218,'OI(Volume)'!$A$7:$O$445,12)</f>
        <v>0</v>
      </c>
      <c r="L218" s="103">
        <f>VLOOKUP($A218,'OI(Value)'!$A$7:$O$329,8,0)</f>
        <v>336</v>
      </c>
      <c r="M218" s="103">
        <f>VLOOKUP($A218,'OI(Value)'!$A$7:$O$329,9,0)</f>
        <v>-1012</v>
      </c>
      <c r="N218" s="103">
        <f>VLOOKUP($A218,'OI(Value)'!$A$7:$O$329,11,0)</f>
        <v>235</v>
      </c>
      <c r="O218" s="103">
        <f>VLOOKUP($A218,'OI(Value)'!$A$7:$O$329,12,0)</f>
        <v>-359</v>
      </c>
    </row>
    <row r="219" spans="1:15" x14ac:dyDescent="0.25">
      <c r="A219" s="105" t="str">
        <f>'Data Vlaue (Cr)'!C214</f>
        <v>WIPRO</v>
      </c>
      <c r="B219" s="143">
        <f>VLOOKUP($A219,'Data shares'!$C:$FA,118)</f>
        <v>0.66</v>
      </c>
      <c r="C219" s="143">
        <f>VLOOKUP($A219,'Data shares'!$C:$FA,119)</f>
        <v>0.6</v>
      </c>
      <c r="D219" s="143">
        <f>VLOOKUP($A219,'Data shares'!$C:$FA,121)*100</f>
        <v>10</v>
      </c>
      <c r="E219" s="143">
        <f>VLOOKUP($A219,'Data shares'!$C:$FA,124)</f>
        <v>0.57999999999999996</v>
      </c>
      <c r="F219" s="143">
        <f>VLOOKUP($A219,'Data shares'!$C:$FA,125)</f>
        <v>0.45</v>
      </c>
      <c r="G219" s="143">
        <f>VLOOKUP($A219,'Data shares'!$C:$FA,127)*100</f>
        <v>28.89</v>
      </c>
      <c r="H219" s="103">
        <f>VLOOKUP($A219,'OI(Volume)'!$A$7:$O$445,8)</f>
        <v>0</v>
      </c>
      <c r="I219" s="103">
        <f>VLOOKUP($A219,'OI(Volume)'!$A$7:$O$445,9)</f>
        <v>0</v>
      </c>
      <c r="J219" s="103">
        <f>VLOOKUP($A219,'OI(Volume)'!$A$7:$O$445,11)</f>
        <v>0</v>
      </c>
      <c r="K219" s="103">
        <f>VLOOKUP($A219,'OI(Volume)'!$A$7:$O$445,12)</f>
        <v>0</v>
      </c>
      <c r="L219" s="103">
        <f>VLOOKUP($A219,'OI(Value)'!$A$7:$O$329,8,0)</f>
        <v>2300</v>
      </c>
      <c r="M219" s="103">
        <f>VLOOKUP($A219,'OI(Value)'!$A$7:$O$329,9,0)</f>
        <v>-869</v>
      </c>
      <c r="N219" s="103">
        <f>VLOOKUP($A219,'OI(Value)'!$A$7:$O$329,11,0)</f>
        <v>1510</v>
      </c>
      <c r="O219" s="103">
        <f>VLOOKUP($A219,'OI(Value)'!$A$7:$O$329,12,0)</f>
        <v>-403</v>
      </c>
    </row>
    <row r="220" spans="1:15" x14ac:dyDescent="0.25">
      <c r="A220" s="105" t="str">
        <f>'Data Vlaue (Cr)'!C215</f>
        <v>YESBANK</v>
      </c>
      <c r="B220" s="143">
        <f>VLOOKUP($A220,'Data shares'!$C:$FA,118)</f>
        <v>0.65</v>
      </c>
      <c r="C220" s="143">
        <f>VLOOKUP($A220,'Data shares'!$C:$FA,119)</f>
        <v>0.64</v>
      </c>
      <c r="D220" s="143">
        <f>VLOOKUP($A220,'Data shares'!$C:$FA,121)*100</f>
        <v>1.5599999999999998</v>
      </c>
      <c r="E220" s="143">
        <f>VLOOKUP($A220,'Data shares'!$C:$FA,124)</f>
        <v>0.43</v>
      </c>
      <c r="F220" s="143">
        <f>VLOOKUP($A220,'Data shares'!$C:$FA,125)</f>
        <v>0.7</v>
      </c>
      <c r="G220" s="143">
        <f>VLOOKUP($A220,'Data shares'!$C:$FA,127)*100</f>
        <v>-38.57</v>
      </c>
      <c r="H220" s="103">
        <f>VLOOKUP($A220,'OI(Volume)'!$A$7:$O$445,8)</f>
        <v>0</v>
      </c>
      <c r="I220" s="103">
        <f>VLOOKUP($A220,'OI(Volume)'!$A$7:$O$445,9)</f>
        <v>0</v>
      </c>
      <c r="J220" s="103">
        <f>VLOOKUP($A220,'OI(Volume)'!$A$7:$O$445,11)</f>
        <v>0</v>
      </c>
      <c r="K220" s="103">
        <f>VLOOKUP($A220,'OI(Volume)'!$A$7:$O$445,12)</f>
        <v>0</v>
      </c>
      <c r="L220" s="103">
        <f>VLOOKUP($A220,'OI(Value)'!$A$7:$O$329,8,0)</f>
        <v>405</v>
      </c>
      <c r="M220" s="103">
        <f>VLOOKUP($A220,'OI(Value)'!$A$7:$O$329,9,0)</f>
        <v>-537</v>
      </c>
      <c r="N220" s="103">
        <f>VLOOKUP($A220,'OI(Value)'!$A$7:$O$329,11,0)</f>
        <v>262</v>
      </c>
      <c r="O220" s="103">
        <f>VLOOKUP($A220,'OI(Value)'!$A$7:$O$329,12,0)</f>
        <v>-342</v>
      </c>
    </row>
    <row r="221" spans="1:15" x14ac:dyDescent="0.25">
      <c r="A221" s="105" t="str">
        <f>'Data Vlaue (Cr)'!C216</f>
        <v>ZYDUSLIFE</v>
      </c>
      <c r="B221" s="143">
        <f>VLOOKUP($A221,'Data shares'!$C:$FA,118)</f>
        <v>0.62</v>
      </c>
      <c r="C221" s="143">
        <f>VLOOKUP($A221,'Data shares'!$C:$FA,119)</f>
        <v>0.66</v>
      </c>
      <c r="D221" s="143">
        <f>VLOOKUP($A221,'Data shares'!$C:$FA,121)*100</f>
        <v>-6.0600000000000005</v>
      </c>
      <c r="E221" s="143">
        <f>VLOOKUP($A221,'Data shares'!$C:$FA,124)</f>
        <v>0.44</v>
      </c>
      <c r="F221" s="143">
        <f>VLOOKUP($A221,'Data shares'!$C:$FA,125)</f>
        <v>0.28999999999999998</v>
      </c>
      <c r="G221" s="143">
        <f>VLOOKUP($A221,'Data shares'!$C:$FA,127)*100</f>
        <v>51.72</v>
      </c>
      <c r="H221" s="103">
        <f>VLOOKUP($A221,'OI(Volume)'!$A$7:$O$445,8)</f>
        <v>0</v>
      </c>
      <c r="I221" s="103">
        <f>VLOOKUP($A221,'OI(Volume)'!$A$7:$O$445,9)</f>
        <v>0</v>
      </c>
      <c r="J221" s="103">
        <f>VLOOKUP($A221,'OI(Volume)'!$A$7:$O$445,11)</f>
        <v>0</v>
      </c>
      <c r="K221" s="103">
        <f>VLOOKUP($A221,'OI(Volume)'!$A$7:$O$445,12)</f>
        <v>0</v>
      </c>
      <c r="L221" s="103">
        <f>VLOOKUP($A221,'OI(Value)'!$A$7:$O$329,8,0)</f>
        <v>290</v>
      </c>
      <c r="M221" s="103">
        <f>VLOOKUP($A221,'OI(Value)'!$A$7:$O$329,9,0)</f>
        <v>-520</v>
      </c>
      <c r="N221" s="103">
        <f>VLOOKUP($A221,'OI(Value)'!$A$7:$O$329,11,0)</f>
        <v>180</v>
      </c>
      <c r="O221" s="103">
        <f>VLOOKUP($A221,'OI(Value)'!$A$7:$O$329,12,0)</f>
        <v>-354</v>
      </c>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2866623565</v>
      </c>
      <c r="I241" s="135">
        <f t="shared" si="0"/>
        <v>-2983107004</v>
      </c>
      <c r="J241" s="135">
        <f t="shared" si="0"/>
        <v>1863008250</v>
      </c>
      <c r="K241" s="135">
        <f t="shared" si="0"/>
        <v>-2044795841</v>
      </c>
      <c r="L241" s="135">
        <f t="shared" si="0"/>
        <v>484525</v>
      </c>
      <c r="M241" s="135">
        <f t="shared" si="0"/>
        <v>-499707</v>
      </c>
      <c r="N241" s="135">
        <f t="shared" si="0"/>
        <v>487384</v>
      </c>
      <c r="O241" s="135">
        <f>SUM(O7:O240)</f>
        <v>-567076</v>
      </c>
    </row>
    <row r="242" spans="1:15" x14ac:dyDescent="0.25">
      <c r="A242" s="126" t="s">
        <v>415</v>
      </c>
      <c r="B242" s="136"/>
      <c r="C242" s="136"/>
      <c r="D242" s="136"/>
      <c r="E242" s="136"/>
      <c r="F242" s="136"/>
      <c r="G242" s="136"/>
      <c r="H242" s="137">
        <f>H241/10000000</f>
        <v>286.66235649999999</v>
      </c>
      <c r="I242" s="137">
        <f>I241/10000000</f>
        <v>-298.31070039999997</v>
      </c>
      <c r="J242" s="137">
        <f>J241/10000000</f>
        <v>186.300825</v>
      </c>
      <c r="K242" s="137">
        <f>K241/10000000</f>
        <v>-204.47958410000001</v>
      </c>
      <c r="L242" s="138">
        <f>L241</f>
        <v>484525</v>
      </c>
      <c r="M242" s="138">
        <f>M241</f>
        <v>-499707</v>
      </c>
      <c r="N242" s="138">
        <f>N241</f>
        <v>487384</v>
      </c>
      <c r="O242" s="138">
        <f>O241</f>
        <v>-567076</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2026-05-27T03:05:21Z</dcterms:modified>
</cp:coreProperties>
</file>